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zlinskykraj_cz/Documents/Dokumenty/NEZISKOVKY/Databáze/Databáze kraje/Databáze 2025 dle ČSÚ/"/>
    </mc:Choice>
  </mc:AlternateContent>
  <xr:revisionPtr revIDLastSave="0" documentId="8_{B913995C-BD3C-4B46-90E4-C0AA8D2DBF4E}" xr6:coauthVersionLast="47" xr6:coauthVersionMax="47" xr10:uidLastSave="{00000000-0000-0000-0000-000000000000}"/>
  <bookViews>
    <workbookView xWindow="-108" yWindow="-108" windowWidth="23256" windowHeight="12456" xr2:uid="{A21D5C06-013A-4405-B7F8-D0D15B0AA854}"/>
  </bookViews>
  <sheets>
    <sheet name="VŠE" sheetId="1" r:id="rId1"/>
    <sheet name="Právní forma" sheetId="2" r:id="rId2"/>
    <sheet name="Okres" sheetId="3" r:id="rId3"/>
  </sheets>
  <definedNames>
    <definedName name="_xlnm._FilterDatabase" localSheetId="0" hidden="1">VŠE!$A$3:$I$6590</definedName>
  </definedNames>
  <calcPr calcId="191029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90" i="1" l="1"/>
  <c r="C6590" i="1"/>
  <c r="A6590" i="1"/>
  <c r="H6589" i="1"/>
  <c r="C6589" i="1"/>
  <c r="A6589" i="1"/>
  <c r="H6588" i="1"/>
  <c r="C6588" i="1"/>
  <c r="A6588" i="1"/>
  <c r="H6587" i="1"/>
  <c r="C6587" i="1"/>
  <c r="A6587" i="1"/>
  <c r="H6586" i="1"/>
  <c r="C6586" i="1"/>
  <c r="A6586" i="1"/>
  <c r="H6585" i="1"/>
  <c r="C6585" i="1"/>
  <c r="A6585" i="1"/>
  <c r="H6584" i="1"/>
  <c r="C6584" i="1"/>
  <c r="A6584" i="1"/>
  <c r="H6583" i="1"/>
  <c r="C6583" i="1"/>
  <c r="A6583" i="1"/>
  <c r="H6582" i="1"/>
  <c r="C6582" i="1"/>
  <c r="A6582" i="1"/>
  <c r="H6581" i="1"/>
  <c r="C6581" i="1"/>
  <c r="A6581" i="1"/>
  <c r="H6580" i="1"/>
  <c r="C6580" i="1"/>
  <c r="A6580" i="1"/>
  <c r="H6579" i="1"/>
  <c r="C6579" i="1"/>
  <c r="A6579" i="1"/>
  <c r="H6578" i="1"/>
  <c r="C6578" i="1"/>
  <c r="A6578" i="1"/>
  <c r="H6577" i="1"/>
  <c r="C6577" i="1"/>
  <c r="A6577" i="1"/>
  <c r="H6576" i="1"/>
  <c r="C6576" i="1"/>
  <c r="A6576" i="1"/>
  <c r="H6575" i="1"/>
  <c r="C6575" i="1"/>
  <c r="A6575" i="1"/>
  <c r="H6574" i="1"/>
  <c r="C6574" i="1"/>
  <c r="A6574" i="1"/>
  <c r="H6573" i="1"/>
  <c r="C6573" i="1"/>
  <c r="A6573" i="1"/>
  <c r="H6572" i="1"/>
  <c r="C6572" i="1"/>
  <c r="A6572" i="1"/>
  <c r="H6571" i="1"/>
  <c r="C6571" i="1"/>
  <c r="A6571" i="1"/>
  <c r="H6570" i="1"/>
  <c r="C6570" i="1"/>
  <c r="A6570" i="1"/>
  <c r="H6569" i="1"/>
  <c r="C6569" i="1"/>
  <c r="A6569" i="1"/>
  <c r="H6568" i="1"/>
  <c r="C6568" i="1"/>
  <c r="A6568" i="1"/>
  <c r="H6567" i="1"/>
  <c r="C6567" i="1"/>
  <c r="A6567" i="1"/>
  <c r="H6566" i="1"/>
  <c r="C6566" i="1"/>
  <c r="A6566" i="1"/>
  <c r="H6565" i="1"/>
  <c r="C6565" i="1"/>
  <c r="A6565" i="1"/>
  <c r="H6564" i="1"/>
  <c r="C6564" i="1"/>
  <c r="A6564" i="1"/>
  <c r="H6563" i="1"/>
  <c r="C6563" i="1"/>
  <c r="A6563" i="1"/>
  <c r="H6562" i="1"/>
  <c r="C6562" i="1"/>
  <c r="A6562" i="1"/>
  <c r="H6561" i="1"/>
  <c r="C6561" i="1"/>
  <c r="A6561" i="1"/>
  <c r="H6560" i="1"/>
  <c r="C6560" i="1"/>
  <c r="A6560" i="1"/>
  <c r="H6559" i="1"/>
  <c r="C6559" i="1"/>
  <c r="A6559" i="1"/>
  <c r="H6558" i="1"/>
  <c r="C6558" i="1"/>
  <c r="A6558" i="1"/>
  <c r="H6557" i="1"/>
  <c r="C6557" i="1"/>
  <c r="A6557" i="1"/>
  <c r="H6556" i="1"/>
  <c r="C6556" i="1"/>
  <c r="A6556" i="1"/>
  <c r="H6555" i="1"/>
  <c r="C6555" i="1"/>
  <c r="A6555" i="1"/>
  <c r="H6554" i="1"/>
  <c r="C6554" i="1"/>
  <c r="A6554" i="1"/>
  <c r="H6553" i="1"/>
  <c r="C6553" i="1"/>
  <c r="A6553" i="1"/>
  <c r="H6552" i="1"/>
  <c r="C6552" i="1"/>
  <c r="A6552" i="1"/>
  <c r="H6551" i="1"/>
  <c r="C6551" i="1"/>
  <c r="A6551" i="1"/>
  <c r="H6550" i="1"/>
  <c r="C6550" i="1"/>
  <c r="A6550" i="1"/>
  <c r="H6549" i="1"/>
  <c r="C6549" i="1"/>
  <c r="A6549" i="1"/>
  <c r="H6548" i="1"/>
  <c r="C6548" i="1"/>
  <c r="A6548" i="1"/>
  <c r="H6547" i="1"/>
  <c r="C6547" i="1"/>
  <c r="A6547" i="1"/>
  <c r="H6546" i="1"/>
  <c r="C6546" i="1"/>
  <c r="A6546" i="1"/>
  <c r="H6545" i="1"/>
  <c r="C6545" i="1"/>
  <c r="A6545" i="1"/>
  <c r="H6544" i="1"/>
  <c r="C6544" i="1"/>
  <c r="A6544" i="1"/>
  <c r="H6543" i="1"/>
  <c r="C6543" i="1"/>
  <c r="A6543" i="1"/>
  <c r="H6542" i="1"/>
  <c r="C6542" i="1"/>
  <c r="A6542" i="1"/>
  <c r="H6541" i="1"/>
  <c r="C6541" i="1"/>
  <c r="A6541" i="1"/>
  <c r="H6540" i="1"/>
  <c r="C6540" i="1"/>
  <c r="A6540" i="1"/>
  <c r="H6539" i="1"/>
  <c r="C6539" i="1"/>
  <c r="A6539" i="1"/>
  <c r="H6538" i="1"/>
  <c r="C6538" i="1"/>
  <c r="A6538" i="1"/>
  <c r="H6537" i="1"/>
  <c r="C6537" i="1"/>
  <c r="A6537" i="1"/>
  <c r="H6536" i="1"/>
  <c r="C6536" i="1"/>
  <c r="A6536" i="1"/>
  <c r="H6535" i="1"/>
  <c r="C6535" i="1"/>
  <c r="A6535" i="1"/>
  <c r="H6534" i="1"/>
  <c r="C6534" i="1"/>
  <c r="A6534" i="1"/>
  <c r="H6533" i="1"/>
  <c r="C6533" i="1"/>
  <c r="A6533" i="1"/>
  <c r="H6532" i="1"/>
  <c r="C6532" i="1"/>
  <c r="A6532" i="1"/>
  <c r="H6531" i="1"/>
  <c r="C6531" i="1"/>
  <c r="A6531" i="1"/>
  <c r="H6530" i="1"/>
  <c r="C6530" i="1"/>
  <c r="A6530" i="1"/>
  <c r="H6529" i="1"/>
  <c r="C6529" i="1"/>
  <c r="A6529" i="1"/>
  <c r="H6528" i="1"/>
  <c r="C6528" i="1"/>
  <c r="A6528" i="1"/>
  <c r="H6527" i="1"/>
  <c r="C6527" i="1"/>
  <c r="A6527" i="1"/>
  <c r="H6526" i="1"/>
  <c r="C6526" i="1"/>
  <c r="A6526" i="1"/>
  <c r="H6525" i="1"/>
  <c r="C6525" i="1"/>
  <c r="A6525" i="1"/>
  <c r="H6524" i="1"/>
  <c r="C6524" i="1"/>
  <c r="A6524" i="1"/>
  <c r="H6523" i="1"/>
  <c r="C6523" i="1"/>
  <c r="A6523" i="1"/>
  <c r="H6522" i="1"/>
  <c r="C6522" i="1"/>
  <c r="A6522" i="1"/>
  <c r="H6521" i="1"/>
  <c r="C6521" i="1"/>
  <c r="A6521" i="1"/>
  <c r="H6520" i="1"/>
  <c r="C6520" i="1"/>
  <c r="A6520" i="1"/>
  <c r="H6519" i="1"/>
  <c r="C6519" i="1"/>
  <c r="A6519" i="1"/>
  <c r="H6518" i="1"/>
  <c r="C6518" i="1"/>
  <c r="A6518" i="1"/>
  <c r="H6517" i="1"/>
  <c r="C6517" i="1"/>
  <c r="A6517" i="1"/>
  <c r="H6516" i="1"/>
  <c r="C6516" i="1"/>
  <c r="A6516" i="1"/>
  <c r="H6515" i="1"/>
  <c r="C6515" i="1"/>
  <c r="A6515" i="1"/>
  <c r="H6514" i="1"/>
  <c r="C6514" i="1"/>
  <c r="A6514" i="1"/>
  <c r="H6513" i="1"/>
  <c r="C6513" i="1"/>
  <c r="A6513" i="1"/>
  <c r="H6512" i="1"/>
  <c r="C6512" i="1"/>
  <c r="A6512" i="1"/>
  <c r="H6511" i="1"/>
  <c r="C6511" i="1"/>
  <c r="A6511" i="1"/>
  <c r="H6510" i="1"/>
  <c r="C6510" i="1"/>
  <c r="A6510" i="1"/>
  <c r="H6509" i="1"/>
  <c r="C6509" i="1"/>
  <c r="A6509" i="1"/>
  <c r="H6508" i="1"/>
  <c r="C6508" i="1"/>
  <c r="A6508" i="1"/>
  <c r="H6507" i="1"/>
  <c r="C6507" i="1"/>
  <c r="A6507" i="1"/>
  <c r="H6506" i="1"/>
  <c r="C6506" i="1"/>
  <c r="A6506" i="1"/>
  <c r="H6505" i="1"/>
  <c r="C6505" i="1"/>
  <c r="A6505" i="1"/>
  <c r="H6504" i="1"/>
  <c r="C6504" i="1"/>
  <c r="A6504" i="1"/>
  <c r="H6503" i="1"/>
  <c r="C6503" i="1"/>
  <c r="A6503" i="1"/>
  <c r="H6502" i="1"/>
  <c r="C6502" i="1"/>
  <c r="A6502" i="1"/>
  <c r="H6501" i="1"/>
  <c r="C6501" i="1"/>
  <c r="A6501" i="1"/>
  <c r="H6500" i="1"/>
  <c r="C6500" i="1"/>
  <c r="A6500" i="1"/>
  <c r="H6499" i="1"/>
  <c r="C6499" i="1"/>
  <c r="A6499" i="1"/>
  <c r="H6498" i="1"/>
  <c r="C6498" i="1"/>
  <c r="A6498" i="1"/>
  <c r="H6497" i="1"/>
  <c r="C6497" i="1"/>
  <c r="A6497" i="1"/>
  <c r="H6496" i="1"/>
  <c r="C6496" i="1"/>
  <c r="A6496" i="1"/>
  <c r="H6495" i="1"/>
  <c r="C6495" i="1"/>
  <c r="A6495" i="1"/>
  <c r="H6494" i="1"/>
  <c r="C6494" i="1"/>
  <c r="A6494" i="1"/>
  <c r="H6493" i="1"/>
  <c r="C6493" i="1"/>
  <c r="A6493" i="1"/>
  <c r="H6492" i="1"/>
  <c r="C6492" i="1"/>
  <c r="A6492" i="1"/>
  <c r="H6491" i="1"/>
  <c r="C6491" i="1"/>
  <c r="A6491" i="1"/>
  <c r="H6490" i="1"/>
  <c r="C6490" i="1"/>
  <c r="A6490" i="1"/>
  <c r="H6489" i="1"/>
  <c r="C6489" i="1"/>
  <c r="A6489" i="1"/>
  <c r="H6488" i="1"/>
  <c r="C6488" i="1"/>
  <c r="A6488" i="1"/>
  <c r="H6487" i="1"/>
  <c r="C6487" i="1"/>
  <c r="A6487" i="1"/>
  <c r="H6486" i="1"/>
  <c r="C6486" i="1"/>
  <c r="A6486" i="1"/>
  <c r="H6485" i="1"/>
  <c r="C6485" i="1"/>
  <c r="A6485" i="1"/>
  <c r="H6484" i="1"/>
  <c r="C6484" i="1"/>
  <c r="A6484" i="1"/>
  <c r="H6483" i="1"/>
  <c r="C6483" i="1"/>
  <c r="A6483" i="1"/>
  <c r="H6482" i="1"/>
  <c r="C6482" i="1"/>
  <c r="A6482" i="1"/>
  <c r="H6481" i="1"/>
  <c r="C6481" i="1"/>
  <c r="A6481" i="1"/>
  <c r="H6480" i="1"/>
  <c r="C6480" i="1"/>
  <c r="A6480" i="1"/>
  <c r="H6479" i="1"/>
  <c r="C6479" i="1"/>
  <c r="A6479" i="1"/>
  <c r="H6478" i="1"/>
  <c r="C6478" i="1"/>
  <c r="A6478" i="1"/>
  <c r="H6477" i="1"/>
  <c r="C6477" i="1"/>
  <c r="A6477" i="1"/>
  <c r="H6476" i="1"/>
  <c r="C6476" i="1"/>
  <c r="A6476" i="1"/>
  <c r="H6475" i="1"/>
  <c r="C6475" i="1"/>
  <c r="A6475" i="1"/>
  <c r="H6474" i="1"/>
  <c r="C6474" i="1"/>
  <c r="A6474" i="1"/>
  <c r="H6473" i="1"/>
  <c r="C6473" i="1"/>
  <c r="A6473" i="1"/>
  <c r="H6472" i="1"/>
  <c r="C6472" i="1"/>
  <c r="A6472" i="1"/>
  <c r="H6471" i="1"/>
  <c r="C6471" i="1"/>
  <c r="A6471" i="1"/>
  <c r="H6470" i="1"/>
  <c r="C6470" i="1"/>
  <c r="A6470" i="1"/>
  <c r="H6469" i="1"/>
  <c r="C6469" i="1"/>
  <c r="A6469" i="1"/>
  <c r="H6468" i="1"/>
  <c r="C6468" i="1"/>
  <c r="A6468" i="1"/>
  <c r="H6467" i="1"/>
  <c r="C6467" i="1"/>
  <c r="A6467" i="1"/>
  <c r="H6466" i="1"/>
  <c r="C6466" i="1"/>
  <c r="A6466" i="1"/>
  <c r="H6465" i="1"/>
  <c r="C6465" i="1"/>
  <c r="A6465" i="1"/>
  <c r="H6464" i="1"/>
  <c r="C6464" i="1"/>
  <c r="A6464" i="1"/>
  <c r="H6463" i="1"/>
  <c r="C6463" i="1"/>
  <c r="A6463" i="1"/>
  <c r="H6462" i="1"/>
  <c r="C6462" i="1"/>
  <c r="A6462" i="1"/>
  <c r="H6461" i="1"/>
  <c r="C6461" i="1"/>
  <c r="A6461" i="1"/>
  <c r="H6460" i="1"/>
  <c r="C6460" i="1"/>
  <c r="A6460" i="1"/>
  <c r="H6459" i="1"/>
  <c r="C6459" i="1"/>
  <c r="A6459" i="1"/>
  <c r="H6458" i="1"/>
  <c r="C6458" i="1"/>
  <c r="A6458" i="1"/>
  <c r="H6457" i="1"/>
  <c r="C6457" i="1"/>
  <c r="A6457" i="1"/>
  <c r="H6456" i="1"/>
  <c r="C6456" i="1"/>
  <c r="A6456" i="1"/>
  <c r="H6455" i="1"/>
  <c r="C6455" i="1"/>
  <c r="A6455" i="1"/>
  <c r="H6454" i="1"/>
  <c r="C6454" i="1"/>
  <c r="A6454" i="1"/>
  <c r="H6453" i="1"/>
  <c r="C6453" i="1"/>
  <c r="A6453" i="1"/>
  <c r="H6452" i="1"/>
  <c r="C6452" i="1"/>
  <c r="A6452" i="1"/>
  <c r="H6451" i="1"/>
  <c r="C6451" i="1"/>
  <c r="A6451" i="1"/>
  <c r="H6450" i="1"/>
  <c r="C6450" i="1"/>
  <c r="A6450" i="1"/>
  <c r="H6449" i="1"/>
  <c r="C6449" i="1"/>
  <c r="A6449" i="1"/>
  <c r="H6448" i="1"/>
  <c r="C6448" i="1"/>
  <c r="A6448" i="1"/>
  <c r="H6447" i="1"/>
  <c r="C6447" i="1"/>
  <c r="A6447" i="1"/>
  <c r="H6446" i="1"/>
  <c r="C6446" i="1"/>
  <c r="A6446" i="1"/>
  <c r="H6445" i="1"/>
  <c r="C6445" i="1"/>
  <c r="A6445" i="1"/>
  <c r="H6444" i="1"/>
  <c r="C6444" i="1"/>
  <c r="A6444" i="1"/>
  <c r="H6443" i="1"/>
  <c r="C6443" i="1"/>
  <c r="A6443" i="1"/>
  <c r="H6442" i="1"/>
  <c r="C6442" i="1"/>
  <c r="A6442" i="1"/>
  <c r="H6441" i="1"/>
  <c r="C6441" i="1"/>
  <c r="A6441" i="1"/>
  <c r="H6440" i="1"/>
  <c r="C6440" i="1"/>
  <c r="A6440" i="1"/>
  <c r="H6439" i="1"/>
  <c r="C6439" i="1"/>
  <c r="A6439" i="1"/>
  <c r="H6438" i="1"/>
  <c r="C6438" i="1"/>
  <c r="A6438" i="1"/>
  <c r="H6437" i="1"/>
  <c r="C6437" i="1"/>
  <c r="A6437" i="1"/>
  <c r="H6436" i="1"/>
  <c r="C6436" i="1"/>
  <c r="A6436" i="1"/>
  <c r="H6435" i="1"/>
  <c r="C6435" i="1"/>
  <c r="A6435" i="1"/>
  <c r="H6434" i="1"/>
  <c r="C6434" i="1"/>
  <c r="A6434" i="1"/>
  <c r="H6433" i="1"/>
  <c r="C6433" i="1"/>
  <c r="A6433" i="1"/>
  <c r="H6432" i="1"/>
  <c r="C6432" i="1"/>
  <c r="A6432" i="1"/>
  <c r="H6431" i="1"/>
  <c r="C6431" i="1"/>
  <c r="A6431" i="1"/>
  <c r="H6430" i="1"/>
  <c r="C6430" i="1"/>
  <c r="A6430" i="1"/>
  <c r="H6429" i="1"/>
  <c r="C6429" i="1"/>
  <c r="A6429" i="1"/>
  <c r="H6428" i="1"/>
  <c r="C6428" i="1"/>
  <c r="A6428" i="1"/>
  <c r="H6427" i="1"/>
  <c r="C6427" i="1"/>
  <c r="A6427" i="1"/>
  <c r="H6426" i="1"/>
  <c r="C6426" i="1"/>
  <c r="A6426" i="1"/>
  <c r="H6425" i="1"/>
  <c r="C6425" i="1"/>
  <c r="A6425" i="1"/>
  <c r="H6424" i="1"/>
  <c r="C6424" i="1"/>
  <c r="A6424" i="1"/>
  <c r="H6423" i="1"/>
  <c r="C6423" i="1"/>
  <c r="A6423" i="1"/>
  <c r="H6422" i="1"/>
  <c r="C6422" i="1"/>
  <c r="A6422" i="1"/>
  <c r="H6421" i="1"/>
  <c r="C6421" i="1"/>
  <c r="A6421" i="1"/>
  <c r="H6420" i="1"/>
  <c r="C6420" i="1"/>
  <c r="A6420" i="1"/>
  <c r="H6419" i="1"/>
  <c r="C6419" i="1"/>
  <c r="A6419" i="1"/>
  <c r="H6418" i="1"/>
  <c r="C6418" i="1"/>
  <c r="A6418" i="1"/>
  <c r="H6417" i="1"/>
  <c r="C6417" i="1"/>
  <c r="A6417" i="1"/>
  <c r="H6416" i="1"/>
  <c r="C6416" i="1"/>
  <c r="A6416" i="1"/>
  <c r="H6415" i="1"/>
  <c r="C6415" i="1"/>
  <c r="A6415" i="1"/>
  <c r="H6414" i="1"/>
  <c r="C6414" i="1"/>
  <c r="A6414" i="1"/>
  <c r="H6413" i="1"/>
  <c r="C6413" i="1"/>
  <c r="A6413" i="1"/>
  <c r="H6412" i="1"/>
  <c r="C6412" i="1"/>
  <c r="A6412" i="1"/>
  <c r="H6411" i="1"/>
  <c r="C6411" i="1"/>
  <c r="A6411" i="1"/>
  <c r="H6410" i="1"/>
  <c r="C6410" i="1"/>
  <c r="A6410" i="1"/>
  <c r="H6409" i="1"/>
  <c r="C6409" i="1"/>
  <c r="A6409" i="1"/>
  <c r="H6408" i="1"/>
  <c r="C6408" i="1"/>
  <c r="A6408" i="1"/>
  <c r="H6407" i="1"/>
  <c r="C6407" i="1"/>
  <c r="A6407" i="1"/>
  <c r="H6406" i="1"/>
  <c r="C6406" i="1"/>
  <c r="A6406" i="1"/>
  <c r="H6405" i="1"/>
  <c r="C6405" i="1"/>
  <c r="A6405" i="1"/>
  <c r="H6404" i="1"/>
  <c r="C6404" i="1"/>
  <c r="A6404" i="1"/>
  <c r="H6403" i="1"/>
  <c r="C6403" i="1"/>
  <c r="A6403" i="1"/>
  <c r="H6402" i="1"/>
  <c r="C6402" i="1"/>
  <c r="A6402" i="1"/>
  <c r="H6401" i="1"/>
  <c r="C6401" i="1"/>
  <c r="A6401" i="1"/>
  <c r="H6400" i="1"/>
  <c r="C6400" i="1"/>
  <c r="A6400" i="1"/>
  <c r="H6399" i="1"/>
  <c r="C6399" i="1"/>
  <c r="A6399" i="1"/>
  <c r="H6398" i="1"/>
  <c r="C6398" i="1"/>
  <c r="A6398" i="1"/>
  <c r="H6397" i="1"/>
  <c r="C6397" i="1"/>
  <c r="A6397" i="1"/>
  <c r="H6396" i="1"/>
  <c r="C6396" i="1"/>
  <c r="A6396" i="1"/>
  <c r="H6395" i="1"/>
  <c r="C6395" i="1"/>
  <c r="A6395" i="1"/>
  <c r="H6394" i="1"/>
  <c r="C6394" i="1"/>
  <c r="A6394" i="1"/>
  <c r="H6393" i="1"/>
  <c r="C6393" i="1"/>
  <c r="A6393" i="1"/>
  <c r="H6392" i="1"/>
  <c r="C6392" i="1"/>
  <c r="A6392" i="1"/>
  <c r="H6391" i="1"/>
  <c r="C6391" i="1"/>
  <c r="A6391" i="1"/>
  <c r="H6390" i="1"/>
  <c r="C6390" i="1"/>
  <c r="A6390" i="1"/>
  <c r="H6389" i="1"/>
  <c r="C6389" i="1"/>
  <c r="A6389" i="1"/>
  <c r="H6388" i="1"/>
  <c r="C6388" i="1"/>
  <c r="A6388" i="1"/>
  <c r="H6387" i="1"/>
  <c r="C6387" i="1"/>
  <c r="A6387" i="1"/>
  <c r="H6386" i="1"/>
  <c r="C6386" i="1"/>
  <c r="A6386" i="1"/>
  <c r="H6385" i="1"/>
  <c r="C6385" i="1"/>
  <c r="A6385" i="1"/>
  <c r="H6384" i="1"/>
  <c r="C6384" i="1"/>
  <c r="A6384" i="1"/>
  <c r="H6383" i="1"/>
  <c r="C6383" i="1"/>
  <c r="A6383" i="1"/>
  <c r="H6382" i="1"/>
  <c r="C6382" i="1"/>
  <c r="A6382" i="1"/>
  <c r="H6381" i="1"/>
  <c r="C6381" i="1"/>
  <c r="A6381" i="1"/>
  <c r="H6380" i="1"/>
  <c r="C6380" i="1"/>
  <c r="A6380" i="1"/>
  <c r="H6379" i="1"/>
  <c r="C6379" i="1"/>
  <c r="A6379" i="1"/>
  <c r="H6378" i="1"/>
  <c r="C6378" i="1"/>
  <c r="A6378" i="1"/>
  <c r="H6377" i="1"/>
  <c r="C6377" i="1"/>
  <c r="A6377" i="1"/>
  <c r="H6376" i="1"/>
  <c r="C6376" i="1"/>
  <c r="A6376" i="1"/>
  <c r="H6375" i="1"/>
  <c r="C6375" i="1"/>
  <c r="A6375" i="1"/>
  <c r="H6374" i="1"/>
  <c r="C6374" i="1"/>
  <c r="A6374" i="1"/>
  <c r="H6373" i="1"/>
  <c r="C6373" i="1"/>
  <c r="A6373" i="1"/>
  <c r="H6372" i="1"/>
  <c r="C6372" i="1"/>
  <c r="A6372" i="1"/>
  <c r="H6371" i="1"/>
  <c r="C6371" i="1"/>
  <c r="A6371" i="1"/>
  <c r="H6370" i="1"/>
  <c r="C6370" i="1"/>
  <c r="A6370" i="1"/>
  <c r="H6369" i="1"/>
  <c r="C6369" i="1"/>
  <c r="A6369" i="1"/>
  <c r="H6368" i="1"/>
  <c r="C6368" i="1"/>
  <c r="A6368" i="1"/>
  <c r="H6367" i="1"/>
  <c r="C6367" i="1"/>
  <c r="A6367" i="1"/>
  <c r="H6366" i="1"/>
  <c r="C6366" i="1"/>
  <c r="A6366" i="1"/>
  <c r="H6365" i="1"/>
  <c r="C6365" i="1"/>
  <c r="A6365" i="1"/>
  <c r="H6364" i="1"/>
  <c r="C6364" i="1"/>
  <c r="A6364" i="1"/>
  <c r="H6363" i="1"/>
  <c r="C6363" i="1"/>
  <c r="A6363" i="1"/>
  <c r="H6362" i="1"/>
  <c r="C6362" i="1"/>
  <c r="A6362" i="1"/>
  <c r="H6361" i="1"/>
  <c r="C6361" i="1"/>
  <c r="A6361" i="1"/>
  <c r="H6360" i="1"/>
  <c r="C6360" i="1"/>
  <c r="A6360" i="1"/>
  <c r="H6359" i="1"/>
  <c r="C6359" i="1"/>
  <c r="A6359" i="1"/>
  <c r="H6358" i="1"/>
  <c r="C6358" i="1"/>
  <c r="A6358" i="1"/>
  <c r="H6357" i="1"/>
  <c r="C6357" i="1"/>
  <c r="A6357" i="1"/>
  <c r="H6356" i="1"/>
  <c r="C6356" i="1"/>
  <c r="A6356" i="1"/>
  <c r="H6355" i="1"/>
  <c r="C6355" i="1"/>
  <c r="A6355" i="1"/>
  <c r="H6354" i="1"/>
  <c r="C6354" i="1"/>
  <c r="A6354" i="1"/>
  <c r="H6353" i="1"/>
  <c r="C6353" i="1"/>
  <c r="A6353" i="1"/>
  <c r="H6352" i="1"/>
  <c r="C6352" i="1"/>
  <c r="A6352" i="1"/>
  <c r="H6351" i="1"/>
  <c r="C6351" i="1"/>
  <c r="A6351" i="1"/>
  <c r="H6350" i="1"/>
  <c r="C6350" i="1"/>
  <c r="A6350" i="1"/>
  <c r="H6349" i="1"/>
  <c r="C6349" i="1"/>
  <c r="A6349" i="1"/>
  <c r="H6348" i="1"/>
  <c r="C6348" i="1"/>
  <c r="A6348" i="1"/>
  <c r="H6347" i="1"/>
  <c r="C6347" i="1"/>
  <c r="A6347" i="1"/>
  <c r="H6346" i="1"/>
  <c r="C6346" i="1"/>
  <c r="A6346" i="1"/>
  <c r="H6345" i="1"/>
  <c r="C6345" i="1"/>
  <c r="A6345" i="1"/>
  <c r="H6344" i="1"/>
  <c r="C6344" i="1"/>
  <c r="A6344" i="1"/>
  <c r="H6343" i="1"/>
  <c r="C6343" i="1"/>
  <c r="A6343" i="1"/>
  <c r="H6342" i="1"/>
  <c r="C6342" i="1"/>
  <c r="A6342" i="1"/>
  <c r="H6341" i="1"/>
  <c r="C6341" i="1"/>
  <c r="A6341" i="1"/>
  <c r="H6340" i="1"/>
  <c r="C6340" i="1"/>
  <c r="A6340" i="1"/>
  <c r="H6339" i="1"/>
  <c r="C6339" i="1"/>
  <c r="A6339" i="1"/>
  <c r="H6338" i="1"/>
  <c r="C6338" i="1"/>
  <c r="A6338" i="1"/>
  <c r="H6337" i="1"/>
  <c r="C6337" i="1"/>
  <c r="A6337" i="1"/>
  <c r="H6336" i="1"/>
  <c r="C6336" i="1"/>
  <c r="A6336" i="1"/>
  <c r="H6335" i="1"/>
  <c r="C6335" i="1"/>
  <c r="A6335" i="1"/>
  <c r="H6334" i="1"/>
  <c r="C6334" i="1"/>
  <c r="A6334" i="1"/>
  <c r="H6333" i="1"/>
  <c r="C6333" i="1"/>
  <c r="A6333" i="1"/>
  <c r="H6332" i="1"/>
  <c r="C6332" i="1"/>
  <c r="A6332" i="1"/>
  <c r="H6331" i="1"/>
  <c r="C6331" i="1"/>
  <c r="A6331" i="1"/>
  <c r="H6330" i="1"/>
  <c r="C6330" i="1"/>
  <c r="A6330" i="1"/>
  <c r="H6329" i="1"/>
  <c r="C6329" i="1"/>
  <c r="A6329" i="1"/>
  <c r="H6328" i="1"/>
  <c r="C6328" i="1"/>
  <c r="A6328" i="1"/>
  <c r="H6327" i="1"/>
  <c r="C6327" i="1"/>
  <c r="A6327" i="1"/>
  <c r="H6326" i="1"/>
  <c r="C6326" i="1"/>
  <c r="A6326" i="1"/>
  <c r="H6325" i="1"/>
  <c r="C6325" i="1"/>
  <c r="A6325" i="1"/>
  <c r="H6324" i="1"/>
  <c r="C6324" i="1"/>
  <c r="A6324" i="1"/>
  <c r="H6323" i="1"/>
  <c r="C6323" i="1"/>
  <c r="A6323" i="1"/>
  <c r="H6322" i="1"/>
  <c r="C6322" i="1"/>
  <c r="A6322" i="1"/>
  <c r="H6321" i="1"/>
  <c r="C6321" i="1"/>
  <c r="A6321" i="1"/>
  <c r="H6320" i="1"/>
  <c r="C6320" i="1"/>
  <c r="A6320" i="1"/>
  <c r="H6319" i="1"/>
  <c r="C6319" i="1"/>
  <c r="A6319" i="1"/>
  <c r="H6318" i="1"/>
  <c r="C6318" i="1"/>
  <c r="A6318" i="1"/>
  <c r="H6317" i="1"/>
  <c r="C6317" i="1"/>
  <c r="A6317" i="1"/>
  <c r="H6316" i="1"/>
  <c r="C6316" i="1"/>
  <c r="A6316" i="1"/>
  <c r="H6315" i="1"/>
  <c r="C6315" i="1"/>
  <c r="A6315" i="1"/>
  <c r="H6314" i="1"/>
  <c r="C6314" i="1"/>
  <c r="A6314" i="1"/>
  <c r="H6313" i="1"/>
  <c r="C6313" i="1"/>
  <c r="A6313" i="1"/>
  <c r="H6312" i="1"/>
  <c r="C6312" i="1"/>
  <c r="A6312" i="1"/>
  <c r="H6311" i="1"/>
  <c r="C6311" i="1"/>
  <c r="A6311" i="1"/>
  <c r="H6310" i="1"/>
  <c r="C6310" i="1"/>
  <c r="A6310" i="1"/>
  <c r="H6309" i="1"/>
  <c r="C6309" i="1"/>
  <c r="A6309" i="1"/>
  <c r="H6308" i="1"/>
  <c r="C6308" i="1"/>
  <c r="A6308" i="1"/>
  <c r="H6307" i="1"/>
  <c r="C6307" i="1"/>
  <c r="A6307" i="1"/>
  <c r="H6306" i="1"/>
  <c r="C6306" i="1"/>
  <c r="A6306" i="1"/>
  <c r="H6305" i="1"/>
  <c r="C6305" i="1"/>
  <c r="A6305" i="1"/>
  <c r="H6304" i="1"/>
  <c r="C6304" i="1"/>
  <c r="A6304" i="1"/>
  <c r="H6303" i="1"/>
  <c r="C6303" i="1"/>
  <c r="A6303" i="1"/>
  <c r="H6302" i="1"/>
  <c r="C6302" i="1"/>
  <c r="A6302" i="1"/>
  <c r="H6301" i="1"/>
  <c r="C6301" i="1"/>
  <c r="A6301" i="1"/>
  <c r="H6300" i="1"/>
  <c r="C6300" i="1"/>
  <c r="A6300" i="1"/>
  <c r="H6299" i="1"/>
  <c r="C6299" i="1"/>
  <c r="A6299" i="1"/>
  <c r="H6298" i="1"/>
  <c r="C6298" i="1"/>
  <c r="A6298" i="1"/>
  <c r="H6297" i="1"/>
  <c r="C6297" i="1"/>
  <c r="A6297" i="1"/>
  <c r="H6296" i="1"/>
  <c r="C6296" i="1"/>
  <c r="A6296" i="1"/>
  <c r="H6295" i="1"/>
  <c r="C6295" i="1"/>
  <c r="A6295" i="1"/>
  <c r="H6294" i="1"/>
  <c r="C6294" i="1"/>
  <c r="A6294" i="1"/>
  <c r="H6293" i="1"/>
  <c r="C6293" i="1"/>
  <c r="A6293" i="1"/>
  <c r="H6292" i="1"/>
  <c r="C6292" i="1"/>
  <c r="A6292" i="1"/>
  <c r="H6291" i="1"/>
  <c r="C6291" i="1"/>
  <c r="A6291" i="1"/>
  <c r="H6290" i="1"/>
  <c r="C6290" i="1"/>
  <c r="A6290" i="1"/>
  <c r="H6289" i="1"/>
  <c r="C6289" i="1"/>
  <c r="A6289" i="1"/>
  <c r="H6288" i="1"/>
  <c r="C6288" i="1"/>
  <c r="A6288" i="1"/>
  <c r="H6287" i="1"/>
  <c r="C6287" i="1"/>
  <c r="A6287" i="1"/>
  <c r="H6286" i="1"/>
  <c r="C6286" i="1"/>
  <c r="A6286" i="1"/>
  <c r="H6285" i="1"/>
  <c r="C6285" i="1"/>
  <c r="A6285" i="1"/>
  <c r="H6284" i="1"/>
  <c r="C6284" i="1"/>
  <c r="A6284" i="1"/>
  <c r="H6283" i="1"/>
  <c r="C6283" i="1"/>
  <c r="A6283" i="1"/>
  <c r="H6282" i="1"/>
  <c r="C6282" i="1"/>
  <c r="A6282" i="1"/>
  <c r="H6281" i="1"/>
  <c r="C6281" i="1"/>
  <c r="A6281" i="1"/>
  <c r="H6280" i="1"/>
  <c r="C6280" i="1"/>
  <c r="A6280" i="1"/>
  <c r="H6279" i="1"/>
  <c r="C6279" i="1"/>
  <c r="A6279" i="1"/>
  <c r="H6278" i="1"/>
  <c r="C6278" i="1"/>
  <c r="A6278" i="1"/>
  <c r="H6277" i="1"/>
  <c r="C6277" i="1"/>
  <c r="A6277" i="1"/>
  <c r="H6276" i="1"/>
  <c r="C6276" i="1"/>
  <c r="A6276" i="1"/>
  <c r="H6275" i="1"/>
  <c r="C6275" i="1"/>
  <c r="A6275" i="1"/>
  <c r="H6274" i="1"/>
  <c r="C6274" i="1"/>
  <c r="A6274" i="1"/>
  <c r="H6273" i="1"/>
  <c r="C6273" i="1"/>
  <c r="A6273" i="1"/>
  <c r="H6272" i="1"/>
  <c r="C6272" i="1"/>
  <c r="A6272" i="1"/>
  <c r="H6271" i="1"/>
  <c r="C6271" i="1"/>
  <c r="A6271" i="1"/>
  <c r="H6270" i="1"/>
  <c r="C6270" i="1"/>
  <c r="A6270" i="1"/>
  <c r="H6269" i="1"/>
  <c r="C6269" i="1"/>
  <c r="A6269" i="1"/>
  <c r="H6268" i="1"/>
  <c r="C6268" i="1"/>
  <c r="A6268" i="1"/>
  <c r="H6267" i="1"/>
  <c r="C6267" i="1"/>
  <c r="A6267" i="1"/>
  <c r="H6266" i="1"/>
  <c r="C6266" i="1"/>
  <c r="A6266" i="1"/>
  <c r="H6265" i="1"/>
  <c r="C6265" i="1"/>
  <c r="A6265" i="1"/>
  <c r="H6264" i="1"/>
  <c r="C6264" i="1"/>
  <c r="A6264" i="1"/>
  <c r="H6263" i="1"/>
  <c r="C6263" i="1"/>
  <c r="A6263" i="1"/>
  <c r="H6262" i="1"/>
  <c r="C6262" i="1"/>
  <c r="A6262" i="1"/>
  <c r="H6261" i="1"/>
  <c r="C6261" i="1"/>
  <c r="A6261" i="1"/>
  <c r="H6260" i="1"/>
  <c r="C6260" i="1"/>
  <c r="A6260" i="1"/>
  <c r="H6259" i="1"/>
  <c r="C6259" i="1"/>
  <c r="A6259" i="1"/>
  <c r="H6258" i="1"/>
  <c r="C6258" i="1"/>
  <c r="A6258" i="1"/>
  <c r="H6257" i="1"/>
  <c r="C6257" i="1"/>
  <c r="A6257" i="1"/>
  <c r="H6256" i="1"/>
  <c r="C6256" i="1"/>
  <c r="A6256" i="1"/>
  <c r="H6255" i="1"/>
  <c r="C6255" i="1"/>
  <c r="A6255" i="1"/>
  <c r="H6254" i="1"/>
  <c r="C6254" i="1"/>
  <c r="A6254" i="1"/>
  <c r="H6253" i="1"/>
  <c r="C6253" i="1"/>
  <c r="A6253" i="1"/>
  <c r="H6252" i="1"/>
  <c r="C6252" i="1"/>
  <c r="A6252" i="1"/>
  <c r="H6251" i="1"/>
  <c r="C6251" i="1"/>
  <c r="A6251" i="1"/>
  <c r="H6250" i="1"/>
  <c r="C6250" i="1"/>
  <c r="A6250" i="1"/>
  <c r="H6249" i="1"/>
  <c r="C6249" i="1"/>
  <c r="A6249" i="1"/>
  <c r="H6248" i="1"/>
  <c r="C6248" i="1"/>
  <c r="A6248" i="1"/>
  <c r="H6247" i="1"/>
  <c r="C6247" i="1"/>
  <c r="A6247" i="1"/>
  <c r="H6246" i="1"/>
  <c r="C6246" i="1"/>
  <c r="A6246" i="1"/>
  <c r="H6245" i="1"/>
  <c r="C6245" i="1"/>
  <c r="A6245" i="1"/>
  <c r="H6244" i="1"/>
  <c r="C6244" i="1"/>
  <c r="A6244" i="1"/>
  <c r="H6243" i="1"/>
  <c r="C6243" i="1"/>
  <c r="A6243" i="1"/>
  <c r="H6242" i="1"/>
  <c r="C6242" i="1"/>
  <c r="A6242" i="1"/>
  <c r="H6241" i="1"/>
  <c r="C6241" i="1"/>
  <c r="A6241" i="1"/>
  <c r="H6240" i="1"/>
  <c r="C6240" i="1"/>
  <c r="A6240" i="1"/>
  <c r="H6239" i="1"/>
  <c r="C6239" i="1"/>
  <c r="A6239" i="1"/>
  <c r="H6238" i="1"/>
  <c r="C6238" i="1"/>
  <c r="A6238" i="1"/>
  <c r="H6237" i="1"/>
  <c r="C6237" i="1"/>
  <c r="A6237" i="1"/>
  <c r="H6236" i="1"/>
  <c r="C6236" i="1"/>
  <c r="A6236" i="1"/>
  <c r="H6235" i="1"/>
  <c r="C6235" i="1"/>
  <c r="A6235" i="1"/>
  <c r="H6234" i="1"/>
  <c r="C6234" i="1"/>
  <c r="A6234" i="1"/>
  <c r="H6233" i="1"/>
  <c r="C6233" i="1"/>
  <c r="A6233" i="1"/>
  <c r="H6232" i="1"/>
  <c r="C6232" i="1"/>
  <c r="A6232" i="1"/>
  <c r="H6231" i="1"/>
  <c r="C6231" i="1"/>
  <c r="A6231" i="1"/>
  <c r="H6230" i="1"/>
  <c r="C6230" i="1"/>
  <c r="A6230" i="1"/>
  <c r="H6229" i="1"/>
  <c r="C6229" i="1"/>
  <c r="A6229" i="1"/>
  <c r="H6228" i="1"/>
  <c r="C6228" i="1"/>
  <c r="A6228" i="1"/>
  <c r="H6227" i="1"/>
  <c r="C6227" i="1"/>
  <c r="A6227" i="1"/>
  <c r="H6226" i="1"/>
  <c r="C6226" i="1"/>
  <c r="A6226" i="1"/>
  <c r="H6225" i="1"/>
  <c r="C6225" i="1"/>
  <c r="A6225" i="1"/>
  <c r="H6224" i="1"/>
  <c r="C6224" i="1"/>
  <c r="A6224" i="1"/>
  <c r="H6223" i="1"/>
  <c r="C6223" i="1"/>
  <c r="A6223" i="1"/>
  <c r="H6222" i="1"/>
  <c r="C6222" i="1"/>
  <c r="A6222" i="1"/>
  <c r="H6221" i="1"/>
  <c r="C6221" i="1"/>
  <c r="A6221" i="1"/>
  <c r="H6220" i="1"/>
  <c r="C6220" i="1"/>
  <c r="A6220" i="1"/>
  <c r="H6219" i="1"/>
  <c r="C6219" i="1"/>
  <c r="A6219" i="1"/>
  <c r="H6218" i="1"/>
  <c r="C6218" i="1"/>
  <c r="A6218" i="1"/>
  <c r="H6217" i="1"/>
  <c r="C6217" i="1"/>
  <c r="A6217" i="1"/>
  <c r="H6216" i="1"/>
  <c r="C6216" i="1"/>
  <c r="A6216" i="1"/>
  <c r="H6215" i="1"/>
  <c r="C6215" i="1"/>
  <c r="A6215" i="1"/>
  <c r="H6214" i="1"/>
  <c r="C6214" i="1"/>
  <c r="A6214" i="1"/>
  <c r="H6213" i="1"/>
  <c r="C6213" i="1"/>
  <c r="A6213" i="1"/>
  <c r="H6212" i="1"/>
  <c r="C6212" i="1"/>
  <c r="A6212" i="1"/>
  <c r="H6211" i="1"/>
  <c r="C6211" i="1"/>
  <c r="A6211" i="1"/>
  <c r="H6210" i="1"/>
  <c r="C6210" i="1"/>
  <c r="A6210" i="1"/>
  <c r="H6209" i="1"/>
  <c r="C6209" i="1"/>
  <c r="A6209" i="1"/>
  <c r="H6208" i="1"/>
  <c r="C6208" i="1"/>
  <c r="A6208" i="1"/>
  <c r="H6207" i="1"/>
  <c r="C6207" i="1"/>
  <c r="A6207" i="1"/>
  <c r="H6206" i="1"/>
  <c r="C6206" i="1"/>
  <c r="A6206" i="1"/>
  <c r="H6205" i="1"/>
  <c r="C6205" i="1"/>
  <c r="A6205" i="1"/>
  <c r="H6204" i="1"/>
  <c r="C6204" i="1"/>
  <c r="A6204" i="1"/>
  <c r="H6203" i="1"/>
  <c r="C6203" i="1"/>
  <c r="A6203" i="1"/>
  <c r="H6202" i="1"/>
  <c r="C6202" i="1"/>
  <c r="A6202" i="1"/>
  <c r="H6201" i="1"/>
  <c r="C6201" i="1"/>
  <c r="A6201" i="1"/>
  <c r="H6200" i="1"/>
  <c r="C6200" i="1"/>
  <c r="A6200" i="1"/>
  <c r="H6199" i="1"/>
  <c r="C6199" i="1"/>
  <c r="A6199" i="1"/>
  <c r="H6198" i="1"/>
  <c r="C6198" i="1"/>
  <c r="A6198" i="1"/>
  <c r="H6197" i="1"/>
  <c r="C6197" i="1"/>
  <c r="A6197" i="1"/>
  <c r="H6196" i="1"/>
  <c r="C6196" i="1"/>
  <c r="A6196" i="1"/>
  <c r="H6195" i="1"/>
  <c r="C6195" i="1"/>
  <c r="A6195" i="1"/>
  <c r="H6194" i="1"/>
  <c r="C6194" i="1"/>
  <c r="A6194" i="1"/>
  <c r="H6193" i="1"/>
  <c r="C6193" i="1"/>
  <c r="A6193" i="1"/>
  <c r="H6192" i="1"/>
  <c r="C6192" i="1"/>
  <c r="A6192" i="1"/>
  <c r="H6191" i="1"/>
  <c r="C6191" i="1"/>
  <c r="A6191" i="1"/>
  <c r="H6190" i="1"/>
  <c r="C6190" i="1"/>
  <c r="A6190" i="1"/>
  <c r="H6189" i="1"/>
  <c r="C6189" i="1"/>
  <c r="A6189" i="1"/>
  <c r="H6188" i="1"/>
  <c r="C6188" i="1"/>
  <c r="A6188" i="1"/>
  <c r="H6187" i="1"/>
  <c r="C6187" i="1"/>
  <c r="A6187" i="1"/>
  <c r="H6186" i="1"/>
  <c r="C6186" i="1"/>
  <c r="A6186" i="1"/>
  <c r="H6185" i="1"/>
  <c r="C6185" i="1"/>
  <c r="A6185" i="1"/>
  <c r="H6184" i="1"/>
  <c r="C6184" i="1"/>
  <c r="A6184" i="1"/>
  <c r="H6183" i="1"/>
  <c r="C6183" i="1"/>
  <c r="A6183" i="1"/>
  <c r="H6182" i="1"/>
  <c r="C6182" i="1"/>
  <c r="A6182" i="1"/>
  <c r="H6181" i="1"/>
  <c r="C6181" i="1"/>
  <c r="A6181" i="1"/>
  <c r="H6180" i="1"/>
  <c r="C6180" i="1"/>
  <c r="A6180" i="1"/>
  <c r="H6179" i="1"/>
  <c r="C6179" i="1"/>
  <c r="A6179" i="1"/>
  <c r="H6178" i="1"/>
  <c r="C6178" i="1"/>
  <c r="A6178" i="1"/>
  <c r="H6177" i="1"/>
  <c r="C6177" i="1"/>
  <c r="A6177" i="1"/>
  <c r="H6176" i="1"/>
  <c r="C6176" i="1"/>
  <c r="A6176" i="1"/>
  <c r="H6175" i="1"/>
  <c r="C6175" i="1"/>
  <c r="A6175" i="1"/>
  <c r="H6174" i="1"/>
  <c r="C6174" i="1"/>
  <c r="A6174" i="1"/>
  <c r="H6173" i="1"/>
  <c r="C6173" i="1"/>
  <c r="A6173" i="1"/>
  <c r="H6172" i="1"/>
  <c r="C6172" i="1"/>
  <c r="A6172" i="1"/>
  <c r="H6171" i="1"/>
  <c r="C6171" i="1"/>
  <c r="A6171" i="1"/>
  <c r="H6170" i="1"/>
  <c r="C6170" i="1"/>
  <c r="A6170" i="1"/>
  <c r="H6169" i="1"/>
  <c r="C6169" i="1"/>
  <c r="A6169" i="1"/>
  <c r="H6168" i="1"/>
  <c r="C6168" i="1"/>
  <c r="A6168" i="1"/>
  <c r="H6167" i="1"/>
  <c r="C6167" i="1"/>
  <c r="A6167" i="1"/>
  <c r="H6166" i="1"/>
  <c r="C6166" i="1"/>
  <c r="A6166" i="1"/>
  <c r="H6165" i="1"/>
  <c r="C6165" i="1"/>
  <c r="A6165" i="1"/>
  <c r="H6164" i="1"/>
  <c r="C6164" i="1"/>
  <c r="A6164" i="1"/>
  <c r="H6163" i="1"/>
  <c r="C6163" i="1"/>
  <c r="A6163" i="1"/>
  <c r="H6162" i="1"/>
  <c r="C6162" i="1"/>
  <c r="A6162" i="1"/>
  <c r="H6161" i="1"/>
  <c r="C6161" i="1"/>
  <c r="A6161" i="1"/>
  <c r="H6160" i="1"/>
  <c r="C6160" i="1"/>
  <c r="A6160" i="1"/>
  <c r="H6159" i="1"/>
  <c r="C6159" i="1"/>
  <c r="A6159" i="1"/>
  <c r="H6158" i="1"/>
  <c r="C6158" i="1"/>
  <c r="A6158" i="1"/>
  <c r="H6157" i="1"/>
  <c r="C6157" i="1"/>
  <c r="A6157" i="1"/>
  <c r="H6156" i="1"/>
  <c r="C6156" i="1"/>
  <c r="A6156" i="1"/>
  <c r="H6155" i="1"/>
  <c r="C6155" i="1"/>
  <c r="A6155" i="1"/>
  <c r="H6154" i="1"/>
  <c r="C6154" i="1"/>
  <c r="A6154" i="1"/>
  <c r="H6153" i="1"/>
  <c r="C6153" i="1"/>
  <c r="A6153" i="1"/>
  <c r="H6152" i="1"/>
  <c r="C6152" i="1"/>
  <c r="A6152" i="1"/>
  <c r="H6151" i="1"/>
  <c r="C6151" i="1"/>
  <c r="A6151" i="1"/>
  <c r="H6150" i="1"/>
  <c r="C6150" i="1"/>
  <c r="A6150" i="1"/>
  <c r="H6149" i="1"/>
  <c r="C6149" i="1"/>
  <c r="A6149" i="1"/>
  <c r="H6148" i="1"/>
  <c r="C6148" i="1"/>
  <c r="A6148" i="1"/>
  <c r="H6147" i="1"/>
  <c r="C6147" i="1"/>
  <c r="A6147" i="1"/>
  <c r="H6146" i="1"/>
  <c r="C6146" i="1"/>
  <c r="A6146" i="1"/>
  <c r="H6145" i="1"/>
  <c r="C6145" i="1"/>
  <c r="A6145" i="1"/>
  <c r="H6144" i="1"/>
  <c r="C6144" i="1"/>
  <c r="A6144" i="1"/>
  <c r="H6143" i="1"/>
  <c r="C6143" i="1"/>
  <c r="A6143" i="1"/>
  <c r="H6142" i="1"/>
  <c r="C6142" i="1"/>
  <c r="A6142" i="1"/>
  <c r="H6141" i="1"/>
  <c r="C6141" i="1"/>
  <c r="A6141" i="1"/>
  <c r="H6140" i="1"/>
  <c r="C6140" i="1"/>
  <c r="A6140" i="1"/>
  <c r="H6139" i="1"/>
  <c r="C6139" i="1"/>
  <c r="A6139" i="1"/>
  <c r="H6138" i="1"/>
  <c r="C6138" i="1"/>
  <c r="A6138" i="1"/>
  <c r="H6137" i="1"/>
  <c r="C6137" i="1"/>
  <c r="A6137" i="1"/>
  <c r="H6136" i="1"/>
  <c r="C6136" i="1"/>
  <c r="A6136" i="1"/>
  <c r="H6135" i="1"/>
  <c r="C6135" i="1"/>
  <c r="A6135" i="1"/>
  <c r="H6134" i="1"/>
  <c r="C6134" i="1"/>
  <c r="A6134" i="1"/>
  <c r="H6133" i="1"/>
  <c r="C6133" i="1"/>
  <c r="A6133" i="1"/>
  <c r="H6132" i="1"/>
  <c r="C6132" i="1"/>
  <c r="A6132" i="1"/>
  <c r="H6131" i="1"/>
  <c r="C6131" i="1"/>
  <c r="A6131" i="1"/>
  <c r="H6130" i="1"/>
  <c r="C6130" i="1"/>
  <c r="A6130" i="1"/>
  <c r="H6129" i="1"/>
  <c r="C6129" i="1"/>
  <c r="A6129" i="1"/>
  <c r="H6128" i="1"/>
  <c r="C6128" i="1"/>
  <c r="A6128" i="1"/>
  <c r="H6127" i="1"/>
  <c r="C6127" i="1"/>
  <c r="A6127" i="1"/>
  <c r="H6126" i="1"/>
  <c r="C6126" i="1"/>
  <c r="A6126" i="1"/>
  <c r="H6125" i="1"/>
  <c r="C6125" i="1"/>
  <c r="A6125" i="1"/>
  <c r="H6124" i="1"/>
  <c r="C6124" i="1"/>
  <c r="A6124" i="1"/>
  <c r="H6123" i="1"/>
  <c r="C6123" i="1"/>
  <c r="A6123" i="1"/>
  <c r="H6122" i="1"/>
  <c r="C6122" i="1"/>
  <c r="A6122" i="1"/>
  <c r="H6121" i="1"/>
  <c r="C6121" i="1"/>
  <c r="A6121" i="1"/>
  <c r="H6120" i="1"/>
  <c r="C6120" i="1"/>
  <c r="A6120" i="1"/>
  <c r="H6119" i="1"/>
  <c r="C6119" i="1"/>
  <c r="A6119" i="1"/>
  <c r="H6118" i="1"/>
  <c r="C6118" i="1"/>
  <c r="A6118" i="1"/>
  <c r="H6117" i="1"/>
  <c r="C6117" i="1"/>
  <c r="A6117" i="1"/>
  <c r="H6116" i="1"/>
  <c r="C6116" i="1"/>
  <c r="A6116" i="1"/>
  <c r="H6115" i="1"/>
  <c r="C6115" i="1"/>
  <c r="A6115" i="1"/>
  <c r="H6114" i="1"/>
  <c r="C6114" i="1"/>
  <c r="A6114" i="1"/>
  <c r="H6113" i="1"/>
  <c r="C6113" i="1"/>
  <c r="A6113" i="1"/>
  <c r="H6112" i="1"/>
  <c r="C6112" i="1"/>
  <c r="A6112" i="1"/>
  <c r="H6111" i="1"/>
  <c r="C6111" i="1"/>
  <c r="A6111" i="1"/>
  <c r="H6110" i="1"/>
  <c r="C6110" i="1"/>
  <c r="A6110" i="1"/>
  <c r="H6109" i="1"/>
  <c r="C6109" i="1"/>
  <c r="A6109" i="1"/>
  <c r="H6108" i="1"/>
  <c r="C6108" i="1"/>
  <c r="A6108" i="1"/>
  <c r="H6107" i="1"/>
  <c r="C6107" i="1"/>
  <c r="A6107" i="1"/>
  <c r="H6106" i="1"/>
  <c r="C6106" i="1"/>
  <c r="A6106" i="1"/>
  <c r="H6105" i="1"/>
  <c r="C6105" i="1"/>
  <c r="A6105" i="1"/>
  <c r="H6104" i="1"/>
  <c r="C6104" i="1"/>
  <c r="A6104" i="1"/>
  <c r="H6103" i="1"/>
  <c r="C6103" i="1"/>
  <c r="A6103" i="1"/>
  <c r="H6102" i="1"/>
  <c r="C6102" i="1"/>
  <c r="A6102" i="1"/>
  <c r="H6101" i="1"/>
  <c r="C6101" i="1"/>
  <c r="A6101" i="1"/>
  <c r="H6100" i="1"/>
  <c r="C6100" i="1"/>
  <c r="A6100" i="1"/>
  <c r="H6099" i="1"/>
  <c r="C6099" i="1"/>
  <c r="A6099" i="1"/>
  <c r="H6098" i="1"/>
  <c r="C6098" i="1"/>
  <c r="A6098" i="1"/>
  <c r="H6097" i="1"/>
  <c r="C6097" i="1"/>
  <c r="A6097" i="1"/>
  <c r="H6096" i="1"/>
  <c r="C6096" i="1"/>
  <c r="A6096" i="1"/>
  <c r="H6095" i="1"/>
  <c r="C6095" i="1"/>
  <c r="A6095" i="1"/>
  <c r="H6094" i="1"/>
  <c r="C6094" i="1"/>
  <c r="A6094" i="1"/>
  <c r="H6093" i="1"/>
  <c r="C6093" i="1"/>
  <c r="A6093" i="1"/>
  <c r="H6092" i="1"/>
  <c r="C6092" i="1"/>
  <c r="A6092" i="1"/>
  <c r="H6091" i="1"/>
  <c r="C6091" i="1"/>
  <c r="A6091" i="1"/>
  <c r="H6090" i="1"/>
  <c r="C6090" i="1"/>
  <c r="A6090" i="1"/>
  <c r="H6089" i="1"/>
  <c r="C6089" i="1"/>
  <c r="A6089" i="1"/>
  <c r="H6088" i="1"/>
  <c r="C6088" i="1"/>
  <c r="A6088" i="1"/>
  <c r="H6087" i="1"/>
  <c r="C6087" i="1"/>
  <c r="A6087" i="1"/>
  <c r="H6086" i="1"/>
  <c r="C6086" i="1"/>
  <c r="A6086" i="1"/>
  <c r="H6085" i="1"/>
  <c r="C6085" i="1"/>
  <c r="A6085" i="1"/>
  <c r="H6084" i="1"/>
  <c r="C6084" i="1"/>
  <c r="A6084" i="1"/>
  <c r="H6083" i="1"/>
  <c r="C6083" i="1"/>
  <c r="A6083" i="1"/>
  <c r="H6082" i="1"/>
  <c r="C6082" i="1"/>
  <c r="A6082" i="1"/>
  <c r="H6081" i="1"/>
  <c r="C6081" i="1"/>
  <c r="A6081" i="1"/>
  <c r="H6080" i="1"/>
  <c r="C6080" i="1"/>
  <c r="A6080" i="1"/>
  <c r="H6079" i="1"/>
  <c r="C6079" i="1"/>
  <c r="A6079" i="1"/>
  <c r="H6078" i="1"/>
  <c r="C6078" i="1"/>
  <c r="A6078" i="1"/>
  <c r="H6077" i="1"/>
  <c r="C6077" i="1"/>
  <c r="A6077" i="1"/>
  <c r="H6076" i="1"/>
  <c r="C6076" i="1"/>
  <c r="A6076" i="1"/>
  <c r="H6075" i="1"/>
  <c r="C6075" i="1"/>
  <c r="A6075" i="1"/>
  <c r="H6074" i="1"/>
  <c r="C6074" i="1"/>
  <c r="A6074" i="1"/>
  <c r="H6073" i="1"/>
  <c r="C6073" i="1"/>
  <c r="A6073" i="1"/>
  <c r="H6072" i="1"/>
  <c r="C6072" i="1"/>
  <c r="A6072" i="1"/>
  <c r="H6071" i="1"/>
  <c r="C6071" i="1"/>
  <c r="A6071" i="1"/>
  <c r="H6070" i="1"/>
  <c r="C6070" i="1"/>
  <c r="A6070" i="1"/>
  <c r="H6069" i="1"/>
  <c r="C6069" i="1"/>
  <c r="A6069" i="1"/>
  <c r="H6068" i="1"/>
  <c r="C6068" i="1"/>
  <c r="A6068" i="1"/>
  <c r="H6067" i="1"/>
  <c r="C6067" i="1"/>
  <c r="A6067" i="1"/>
  <c r="H6066" i="1"/>
  <c r="C6066" i="1"/>
  <c r="A6066" i="1"/>
  <c r="H6065" i="1"/>
  <c r="C6065" i="1"/>
  <c r="A6065" i="1"/>
  <c r="H6064" i="1"/>
  <c r="C6064" i="1"/>
  <c r="A6064" i="1"/>
  <c r="H6063" i="1"/>
  <c r="C6063" i="1"/>
  <c r="A6063" i="1"/>
  <c r="H6062" i="1"/>
  <c r="C6062" i="1"/>
  <c r="A6062" i="1"/>
  <c r="H6061" i="1"/>
  <c r="C6061" i="1"/>
  <c r="A6061" i="1"/>
  <c r="H6060" i="1"/>
  <c r="C6060" i="1"/>
  <c r="A6060" i="1"/>
  <c r="H6059" i="1"/>
  <c r="C6059" i="1"/>
  <c r="A6059" i="1"/>
  <c r="H6058" i="1"/>
  <c r="C6058" i="1"/>
  <c r="A6058" i="1"/>
  <c r="H6057" i="1"/>
  <c r="C6057" i="1"/>
  <c r="A6057" i="1"/>
  <c r="H6056" i="1"/>
  <c r="C6056" i="1"/>
  <c r="A6056" i="1"/>
  <c r="H6055" i="1"/>
  <c r="C6055" i="1"/>
  <c r="A6055" i="1"/>
  <c r="H6054" i="1"/>
  <c r="C6054" i="1"/>
  <c r="A6054" i="1"/>
  <c r="H6053" i="1"/>
  <c r="C6053" i="1"/>
  <c r="A6053" i="1"/>
  <c r="H6052" i="1"/>
  <c r="C6052" i="1"/>
  <c r="A6052" i="1"/>
  <c r="H6051" i="1"/>
  <c r="C6051" i="1"/>
  <c r="A6051" i="1"/>
  <c r="H6050" i="1"/>
  <c r="C6050" i="1"/>
  <c r="A6050" i="1"/>
  <c r="H6049" i="1"/>
  <c r="C6049" i="1"/>
  <c r="A6049" i="1"/>
  <c r="H6048" i="1"/>
  <c r="C6048" i="1"/>
  <c r="A6048" i="1"/>
  <c r="H6047" i="1"/>
  <c r="C6047" i="1"/>
  <c r="A6047" i="1"/>
  <c r="H6046" i="1"/>
  <c r="C6046" i="1"/>
  <c r="A6046" i="1"/>
  <c r="H6045" i="1"/>
  <c r="C6045" i="1"/>
  <c r="A6045" i="1"/>
  <c r="H6044" i="1"/>
  <c r="C6044" i="1"/>
  <c r="A6044" i="1"/>
  <c r="H6043" i="1"/>
  <c r="C6043" i="1"/>
  <c r="A6043" i="1"/>
  <c r="H6042" i="1"/>
  <c r="C6042" i="1"/>
  <c r="A6042" i="1"/>
  <c r="H6041" i="1"/>
  <c r="C6041" i="1"/>
  <c r="A6041" i="1"/>
  <c r="H6040" i="1"/>
  <c r="C6040" i="1"/>
  <c r="A6040" i="1"/>
  <c r="H6039" i="1"/>
  <c r="C6039" i="1"/>
  <c r="A6039" i="1"/>
  <c r="H6038" i="1"/>
  <c r="C6038" i="1"/>
  <c r="A6038" i="1"/>
  <c r="H6037" i="1"/>
  <c r="C6037" i="1"/>
  <c r="A6037" i="1"/>
  <c r="H6036" i="1"/>
  <c r="C6036" i="1"/>
  <c r="A6036" i="1"/>
  <c r="H6035" i="1"/>
  <c r="C6035" i="1"/>
  <c r="A6035" i="1"/>
  <c r="H6034" i="1"/>
  <c r="C6034" i="1"/>
  <c r="A6034" i="1"/>
  <c r="H6033" i="1"/>
  <c r="C6033" i="1"/>
  <c r="A6033" i="1"/>
  <c r="H6032" i="1"/>
  <c r="C6032" i="1"/>
  <c r="A6032" i="1"/>
  <c r="H6031" i="1"/>
  <c r="C6031" i="1"/>
  <c r="A6031" i="1"/>
  <c r="H6030" i="1"/>
  <c r="C6030" i="1"/>
  <c r="A6030" i="1"/>
  <c r="H6029" i="1"/>
  <c r="C6029" i="1"/>
  <c r="A6029" i="1"/>
  <c r="H6028" i="1"/>
  <c r="C6028" i="1"/>
  <c r="A6028" i="1"/>
  <c r="H6027" i="1"/>
  <c r="C6027" i="1"/>
  <c r="A6027" i="1"/>
  <c r="H6026" i="1"/>
  <c r="C6026" i="1"/>
  <c r="A6026" i="1"/>
  <c r="H6025" i="1"/>
  <c r="C6025" i="1"/>
  <c r="A6025" i="1"/>
  <c r="H6024" i="1"/>
  <c r="C6024" i="1"/>
  <c r="A6024" i="1"/>
  <c r="H6023" i="1"/>
  <c r="C6023" i="1"/>
  <c r="A6023" i="1"/>
  <c r="H6022" i="1"/>
  <c r="C6022" i="1"/>
  <c r="A6022" i="1"/>
  <c r="H6021" i="1"/>
  <c r="C6021" i="1"/>
  <c r="A6021" i="1"/>
  <c r="H6020" i="1"/>
  <c r="C6020" i="1"/>
  <c r="A6020" i="1"/>
  <c r="H6019" i="1"/>
  <c r="C6019" i="1"/>
  <c r="A6019" i="1"/>
  <c r="H6018" i="1"/>
  <c r="C6018" i="1"/>
  <c r="A6018" i="1"/>
  <c r="H6017" i="1"/>
  <c r="C6017" i="1"/>
  <c r="A6017" i="1"/>
  <c r="H6016" i="1"/>
  <c r="C6016" i="1"/>
  <c r="A6016" i="1"/>
  <c r="H6015" i="1"/>
  <c r="C6015" i="1"/>
  <c r="A6015" i="1"/>
  <c r="H6014" i="1"/>
  <c r="C6014" i="1"/>
  <c r="A6014" i="1"/>
  <c r="H6013" i="1"/>
  <c r="C6013" i="1"/>
  <c r="A6013" i="1"/>
  <c r="H6012" i="1"/>
  <c r="C6012" i="1"/>
  <c r="A6012" i="1"/>
  <c r="H6011" i="1"/>
  <c r="C6011" i="1"/>
  <c r="A6011" i="1"/>
  <c r="H6010" i="1"/>
  <c r="C6010" i="1"/>
  <c r="A6010" i="1"/>
  <c r="H6009" i="1"/>
  <c r="C6009" i="1"/>
  <c r="A6009" i="1"/>
  <c r="H6008" i="1"/>
  <c r="C6008" i="1"/>
  <c r="A6008" i="1"/>
  <c r="H6007" i="1"/>
  <c r="C6007" i="1"/>
  <c r="A6007" i="1"/>
  <c r="H6006" i="1"/>
  <c r="C6006" i="1"/>
  <c r="A6006" i="1"/>
  <c r="H6005" i="1"/>
  <c r="C6005" i="1"/>
  <c r="A6005" i="1"/>
  <c r="H6004" i="1"/>
  <c r="C6004" i="1"/>
  <c r="A6004" i="1"/>
  <c r="H6003" i="1"/>
  <c r="C6003" i="1"/>
  <c r="A6003" i="1"/>
  <c r="H6002" i="1"/>
  <c r="C6002" i="1"/>
  <c r="A6002" i="1"/>
  <c r="H6001" i="1"/>
  <c r="C6001" i="1"/>
  <c r="A6001" i="1"/>
  <c r="H6000" i="1"/>
  <c r="C6000" i="1"/>
  <c r="A6000" i="1"/>
  <c r="H5999" i="1"/>
  <c r="C5999" i="1"/>
  <c r="A5999" i="1"/>
  <c r="H5998" i="1"/>
  <c r="C5998" i="1"/>
  <c r="A5998" i="1"/>
  <c r="H5997" i="1"/>
  <c r="C5997" i="1"/>
  <c r="A5997" i="1"/>
  <c r="H5996" i="1"/>
  <c r="C5996" i="1"/>
  <c r="A5996" i="1"/>
  <c r="H5995" i="1"/>
  <c r="C5995" i="1"/>
  <c r="A5995" i="1"/>
  <c r="H5994" i="1"/>
  <c r="C5994" i="1"/>
  <c r="A5994" i="1"/>
  <c r="H5993" i="1"/>
  <c r="C5993" i="1"/>
  <c r="A5993" i="1"/>
  <c r="H5992" i="1"/>
  <c r="C5992" i="1"/>
  <c r="A5992" i="1"/>
  <c r="H5991" i="1"/>
  <c r="C5991" i="1"/>
  <c r="A5991" i="1"/>
  <c r="H5990" i="1"/>
  <c r="C5990" i="1"/>
  <c r="A5990" i="1"/>
  <c r="H5989" i="1"/>
  <c r="C5989" i="1"/>
  <c r="A5989" i="1"/>
  <c r="H5988" i="1"/>
  <c r="C5988" i="1"/>
  <c r="A5988" i="1"/>
  <c r="H5987" i="1"/>
  <c r="C5987" i="1"/>
  <c r="A5987" i="1"/>
  <c r="H5986" i="1"/>
  <c r="C5986" i="1"/>
  <c r="A5986" i="1"/>
  <c r="H5985" i="1"/>
  <c r="C5985" i="1"/>
  <c r="A5985" i="1"/>
  <c r="H5984" i="1"/>
  <c r="C5984" i="1"/>
  <c r="A5984" i="1"/>
  <c r="H5983" i="1"/>
  <c r="C5983" i="1"/>
  <c r="A5983" i="1"/>
  <c r="H5982" i="1"/>
  <c r="C5982" i="1"/>
  <c r="A5982" i="1"/>
  <c r="H5981" i="1"/>
  <c r="C5981" i="1"/>
  <c r="A5981" i="1"/>
  <c r="H5980" i="1"/>
  <c r="C5980" i="1"/>
  <c r="A5980" i="1"/>
  <c r="H5979" i="1"/>
  <c r="C5979" i="1"/>
  <c r="A5979" i="1"/>
  <c r="H5978" i="1"/>
  <c r="C5978" i="1"/>
  <c r="A5978" i="1"/>
  <c r="H5977" i="1"/>
  <c r="C5977" i="1"/>
  <c r="A5977" i="1"/>
  <c r="H5976" i="1"/>
  <c r="C5976" i="1"/>
  <c r="A5976" i="1"/>
  <c r="H5975" i="1"/>
  <c r="C5975" i="1"/>
  <c r="A5975" i="1"/>
  <c r="H5974" i="1"/>
  <c r="C5974" i="1"/>
  <c r="A5974" i="1"/>
  <c r="H5973" i="1"/>
  <c r="C5973" i="1"/>
  <c r="A5973" i="1"/>
  <c r="H5972" i="1"/>
  <c r="C5972" i="1"/>
  <c r="A5972" i="1"/>
  <c r="H5971" i="1"/>
  <c r="C5971" i="1"/>
  <c r="A5971" i="1"/>
  <c r="H5970" i="1"/>
  <c r="C5970" i="1"/>
  <c r="A5970" i="1"/>
  <c r="H5969" i="1"/>
  <c r="C5969" i="1"/>
  <c r="A5969" i="1"/>
  <c r="H5968" i="1"/>
  <c r="C5968" i="1"/>
  <c r="A5968" i="1"/>
  <c r="H5967" i="1"/>
  <c r="C5967" i="1"/>
  <c r="A5967" i="1"/>
  <c r="H5966" i="1"/>
  <c r="C5966" i="1"/>
  <c r="A5966" i="1"/>
  <c r="H5965" i="1"/>
  <c r="C5965" i="1"/>
  <c r="A5965" i="1"/>
  <c r="H5964" i="1"/>
  <c r="C5964" i="1"/>
  <c r="A5964" i="1"/>
  <c r="H5963" i="1"/>
  <c r="C5963" i="1"/>
  <c r="A5963" i="1"/>
  <c r="H5962" i="1"/>
  <c r="C5962" i="1"/>
  <c r="A5962" i="1"/>
  <c r="H5961" i="1"/>
  <c r="C5961" i="1"/>
  <c r="A5961" i="1"/>
  <c r="H5960" i="1"/>
  <c r="C5960" i="1"/>
  <c r="A5960" i="1"/>
  <c r="H5959" i="1"/>
  <c r="C5959" i="1"/>
  <c r="A5959" i="1"/>
  <c r="H5958" i="1"/>
  <c r="C5958" i="1"/>
  <c r="A5958" i="1"/>
  <c r="H5957" i="1"/>
  <c r="C5957" i="1"/>
  <c r="A5957" i="1"/>
  <c r="H5956" i="1"/>
  <c r="C5956" i="1"/>
  <c r="A5956" i="1"/>
  <c r="H5955" i="1"/>
  <c r="C5955" i="1"/>
  <c r="A5955" i="1"/>
  <c r="H5954" i="1"/>
  <c r="C5954" i="1"/>
  <c r="A5954" i="1"/>
  <c r="H5953" i="1"/>
  <c r="C5953" i="1"/>
  <c r="A5953" i="1"/>
  <c r="H5952" i="1"/>
  <c r="C5952" i="1"/>
  <c r="A5952" i="1"/>
  <c r="H5951" i="1"/>
  <c r="C5951" i="1"/>
  <c r="A5951" i="1"/>
  <c r="H5950" i="1"/>
  <c r="C5950" i="1"/>
  <c r="A5950" i="1"/>
  <c r="H5949" i="1"/>
  <c r="C5949" i="1"/>
  <c r="A5949" i="1"/>
  <c r="H5948" i="1"/>
  <c r="C5948" i="1"/>
  <c r="A5948" i="1"/>
  <c r="H5947" i="1"/>
  <c r="C5947" i="1"/>
  <c r="A5947" i="1"/>
  <c r="H5946" i="1"/>
  <c r="C5946" i="1"/>
  <c r="A5946" i="1"/>
  <c r="H5945" i="1"/>
  <c r="C5945" i="1"/>
  <c r="A5945" i="1"/>
  <c r="H5944" i="1"/>
  <c r="C5944" i="1"/>
  <c r="A5944" i="1"/>
  <c r="H5943" i="1"/>
  <c r="C5943" i="1"/>
  <c r="A5943" i="1"/>
  <c r="H5942" i="1"/>
  <c r="C5942" i="1"/>
  <c r="A5942" i="1"/>
  <c r="H5941" i="1"/>
  <c r="C5941" i="1"/>
  <c r="A5941" i="1"/>
  <c r="H5940" i="1"/>
  <c r="C5940" i="1"/>
  <c r="A5940" i="1"/>
  <c r="H5939" i="1"/>
  <c r="C5939" i="1"/>
  <c r="A5939" i="1"/>
  <c r="H5938" i="1"/>
  <c r="C5938" i="1"/>
  <c r="A5938" i="1"/>
  <c r="H5937" i="1"/>
  <c r="C5937" i="1"/>
  <c r="A5937" i="1"/>
  <c r="H5936" i="1"/>
  <c r="C5936" i="1"/>
  <c r="A5936" i="1"/>
  <c r="H5935" i="1"/>
  <c r="C5935" i="1"/>
  <c r="A5935" i="1"/>
  <c r="H5934" i="1"/>
  <c r="C5934" i="1"/>
  <c r="A5934" i="1"/>
  <c r="H5933" i="1"/>
  <c r="C5933" i="1"/>
  <c r="A5933" i="1"/>
  <c r="H5932" i="1"/>
  <c r="C5932" i="1"/>
  <c r="A5932" i="1"/>
  <c r="H5931" i="1"/>
  <c r="C5931" i="1"/>
  <c r="A5931" i="1"/>
  <c r="H5930" i="1"/>
  <c r="C5930" i="1"/>
  <c r="A5930" i="1"/>
  <c r="H5929" i="1"/>
  <c r="C5929" i="1"/>
  <c r="A5929" i="1"/>
  <c r="H5928" i="1"/>
  <c r="C5928" i="1"/>
  <c r="A5928" i="1"/>
  <c r="H5927" i="1"/>
  <c r="C5927" i="1"/>
  <c r="A5927" i="1"/>
  <c r="H5926" i="1"/>
  <c r="C5926" i="1"/>
  <c r="A5926" i="1"/>
  <c r="H5925" i="1"/>
  <c r="C5925" i="1"/>
  <c r="A5925" i="1"/>
  <c r="H5924" i="1"/>
  <c r="C5924" i="1"/>
  <c r="A5924" i="1"/>
  <c r="H5923" i="1"/>
  <c r="C5923" i="1"/>
  <c r="A5923" i="1"/>
  <c r="H5922" i="1"/>
  <c r="C5922" i="1"/>
  <c r="A5922" i="1"/>
  <c r="H5921" i="1"/>
  <c r="C5921" i="1"/>
  <c r="A5921" i="1"/>
  <c r="H5920" i="1"/>
  <c r="C5920" i="1"/>
  <c r="A5920" i="1"/>
  <c r="H5919" i="1"/>
  <c r="C5919" i="1"/>
  <c r="A5919" i="1"/>
  <c r="H5918" i="1"/>
  <c r="C5918" i="1"/>
  <c r="A5918" i="1"/>
  <c r="H5917" i="1"/>
  <c r="C5917" i="1"/>
  <c r="A5917" i="1"/>
  <c r="H5916" i="1"/>
  <c r="C5916" i="1"/>
  <c r="A5916" i="1"/>
  <c r="H5915" i="1"/>
  <c r="C5915" i="1"/>
  <c r="A5915" i="1"/>
  <c r="H5914" i="1"/>
  <c r="C5914" i="1"/>
  <c r="A5914" i="1"/>
  <c r="H5913" i="1"/>
  <c r="C5913" i="1"/>
  <c r="A5913" i="1"/>
  <c r="H5912" i="1"/>
  <c r="C5912" i="1"/>
  <c r="A5912" i="1"/>
  <c r="H5911" i="1"/>
  <c r="C5911" i="1"/>
  <c r="A5911" i="1"/>
  <c r="H5910" i="1"/>
  <c r="C5910" i="1"/>
  <c r="A5910" i="1"/>
  <c r="H5909" i="1"/>
  <c r="C5909" i="1"/>
  <c r="A5909" i="1"/>
  <c r="H5908" i="1"/>
  <c r="C5908" i="1"/>
  <c r="A5908" i="1"/>
  <c r="H5907" i="1"/>
  <c r="C5907" i="1"/>
  <c r="A5907" i="1"/>
  <c r="H5906" i="1"/>
  <c r="C5906" i="1"/>
  <c r="A5906" i="1"/>
  <c r="H5905" i="1"/>
  <c r="C5905" i="1"/>
  <c r="A5905" i="1"/>
  <c r="Y5904" i="1"/>
  <c r="W5904" i="1"/>
  <c r="H5904" i="1"/>
  <c r="C5904" i="1"/>
  <c r="A5904" i="1"/>
  <c r="H5903" i="1"/>
  <c r="C5903" i="1"/>
  <c r="A5903" i="1"/>
  <c r="H5902" i="1"/>
  <c r="C5902" i="1"/>
  <c r="A5902" i="1"/>
  <c r="H5901" i="1"/>
  <c r="C5901" i="1"/>
  <c r="A5901" i="1"/>
  <c r="H5900" i="1"/>
  <c r="C5900" i="1"/>
  <c r="A5900" i="1"/>
  <c r="H5899" i="1"/>
  <c r="C5899" i="1"/>
  <c r="A5899" i="1"/>
  <c r="H5898" i="1"/>
  <c r="C5898" i="1"/>
  <c r="A5898" i="1"/>
  <c r="H5897" i="1"/>
  <c r="C5897" i="1"/>
  <c r="A5897" i="1"/>
  <c r="H5896" i="1"/>
  <c r="C5896" i="1"/>
  <c r="A5896" i="1"/>
  <c r="H5895" i="1"/>
  <c r="C5895" i="1"/>
  <c r="A5895" i="1"/>
  <c r="H5894" i="1"/>
  <c r="C5894" i="1"/>
  <c r="A5894" i="1"/>
  <c r="H5893" i="1"/>
  <c r="C5893" i="1"/>
  <c r="A5893" i="1"/>
  <c r="H5892" i="1"/>
  <c r="C5892" i="1"/>
  <c r="A5892" i="1"/>
  <c r="H5891" i="1"/>
  <c r="C5891" i="1"/>
  <c r="A5891" i="1"/>
  <c r="H5890" i="1"/>
  <c r="C5890" i="1"/>
  <c r="A5890" i="1"/>
  <c r="H5889" i="1"/>
  <c r="C5889" i="1"/>
  <c r="A5889" i="1"/>
  <c r="H5888" i="1"/>
  <c r="C5888" i="1"/>
  <c r="A5888" i="1"/>
  <c r="H5887" i="1"/>
  <c r="C5887" i="1"/>
  <c r="A5887" i="1"/>
  <c r="H5886" i="1"/>
  <c r="C5886" i="1"/>
  <c r="A5886" i="1"/>
  <c r="H5885" i="1"/>
  <c r="C5885" i="1"/>
  <c r="A5885" i="1"/>
  <c r="H5884" i="1"/>
  <c r="C5884" i="1"/>
  <c r="A5884" i="1"/>
  <c r="H5883" i="1"/>
  <c r="C5883" i="1"/>
  <c r="A5883" i="1"/>
  <c r="H5882" i="1"/>
  <c r="C5882" i="1"/>
  <c r="A5882" i="1"/>
  <c r="H5881" i="1"/>
  <c r="C5881" i="1"/>
  <c r="A5881" i="1"/>
  <c r="H5880" i="1"/>
  <c r="C5880" i="1"/>
  <c r="A5880" i="1"/>
  <c r="H5879" i="1"/>
  <c r="C5879" i="1"/>
  <c r="A5879" i="1"/>
  <c r="H5878" i="1"/>
  <c r="C5878" i="1"/>
  <c r="A5878" i="1"/>
  <c r="H5877" i="1"/>
  <c r="C5877" i="1"/>
  <c r="A5877" i="1"/>
  <c r="H5876" i="1"/>
  <c r="C5876" i="1"/>
  <c r="A5876" i="1"/>
  <c r="H5875" i="1"/>
  <c r="C5875" i="1"/>
  <c r="A5875" i="1"/>
  <c r="H5874" i="1"/>
  <c r="C5874" i="1"/>
  <c r="A5874" i="1"/>
  <c r="H5873" i="1"/>
  <c r="C5873" i="1"/>
  <c r="A5873" i="1"/>
  <c r="H5872" i="1"/>
  <c r="C5872" i="1"/>
  <c r="A5872" i="1"/>
  <c r="H5871" i="1"/>
  <c r="C5871" i="1"/>
  <c r="A5871" i="1"/>
  <c r="H5870" i="1"/>
  <c r="C5870" i="1"/>
  <c r="A5870" i="1"/>
  <c r="H5869" i="1"/>
  <c r="C5869" i="1"/>
  <c r="A5869" i="1"/>
  <c r="H5868" i="1"/>
  <c r="C5868" i="1"/>
  <c r="A5868" i="1"/>
  <c r="H5867" i="1"/>
  <c r="C5867" i="1"/>
  <c r="A5867" i="1"/>
  <c r="H5866" i="1"/>
  <c r="C5866" i="1"/>
  <c r="A5866" i="1"/>
  <c r="H5865" i="1"/>
  <c r="C5865" i="1"/>
  <c r="A5865" i="1"/>
  <c r="H5864" i="1"/>
  <c r="C5864" i="1"/>
  <c r="A5864" i="1"/>
  <c r="H5863" i="1"/>
  <c r="C5863" i="1"/>
  <c r="A5863" i="1"/>
  <c r="H5862" i="1"/>
  <c r="C5862" i="1"/>
  <c r="A5862" i="1"/>
  <c r="H5861" i="1"/>
  <c r="C5861" i="1"/>
  <c r="A5861" i="1"/>
  <c r="H5860" i="1"/>
  <c r="C5860" i="1"/>
  <c r="A5860" i="1"/>
  <c r="H5859" i="1"/>
  <c r="C5859" i="1"/>
  <c r="A5859" i="1"/>
  <c r="H5858" i="1"/>
  <c r="C5858" i="1"/>
  <c r="A5858" i="1"/>
  <c r="H5857" i="1"/>
  <c r="C5857" i="1"/>
  <c r="A5857" i="1"/>
  <c r="H5856" i="1"/>
  <c r="C5856" i="1"/>
  <c r="A5856" i="1"/>
  <c r="H5855" i="1"/>
  <c r="C5855" i="1"/>
  <c r="A5855" i="1"/>
  <c r="H5854" i="1"/>
  <c r="C5854" i="1"/>
  <c r="A5854" i="1"/>
  <c r="H5853" i="1"/>
  <c r="C5853" i="1"/>
  <c r="A5853" i="1"/>
  <c r="H5852" i="1"/>
  <c r="C5852" i="1"/>
  <c r="A5852" i="1"/>
  <c r="H5851" i="1"/>
  <c r="C5851" i="1"/>
  <c r="A5851" i="1"/>
  <c r="H5850" i="1"/>
  <c r="C5850" i="1"/>
  <c r="A5850" i="1"/>
  <c r="H5849" i="1"/>
  <c r="C5849" i="1"/>
  <c r="A5849" i="1"/>
  <c r="H5848" i="1"/>
  <c r="C5848" i="1"/>
  <c r="A5848" i="1"/>
  <c r="H5847" i="1"/>
  <c r="C5847" i="1"/>
  <c r="A5847" i="1"/>
  <c r="H5846" i="1"/>
  <c r="C5846" i="1"/>
  <c r="A5846" i="1"/>
  <c r="H5845" i="1"/>
  <c r="C5845" i="1"/>
  <c r="A5845" i="1"/>
  <c r="H5844" i="1"/>
  <c r="C5844" i="1"/>
  <c r="A5844" i="1"/>
  <c r="H5843" i="1"/>
  <c r="C5843" i="1"/>
  <c r="A5843" i="1"/>
  <c r="H5842" i="1"/>
  <c r="C5842" i="1"/>
  <c r="A5842" i="1"/>
  <c r="H5841" i="1"/>
  <c r="C5841" i="1"/>
  <c r="A5841" i="1"/>
  <c r="H5840" i="1"/>
  <c r="C5840" i="1"/>
  <c r="A5840" i="1"/>
  <c r="H5839" i="1"/>
  <c r="C5839" i="1"/>
  <c r="A5839" i="1"/>
  <c r="H5838" i="1"/>
  <c r="C5838" i="1"/>
  <c r="A5838" i="1"/>
  <c r="H5837" i="1"/>
  <c r="C5837" i="1"/>
  <c r="A5837" i="1"/>
  <c r="H5836" i="1"/>
  <c r="C5836" i="1"/>
  <c r="A5836" i="1"/>
  <c r="H5835" i="1"/>
  <c r="C5835" i="1"/>
  <c r="A5835" i="1"/>
  <c r="H5834" i="1"/>
  <c r="C5834" i="1"/>
  <c r="A5834" i="1"/>
  <c r="H5833" i="1"/>
  <c r="C5833" i="1"/>
  <c r="A5833" i="1"/>
  <c r="H5832" i="1"/>
  <c r="C5832" i="1"/>
  <c r="A5832" i="1"/>
  <c r="H5831" i="1"/>
  <c r="C5831" i="1"/>
  <c r="A5831" i="1"/>
  <c r="H5830" i="1"/>
  <c r="C5830" i="1"/>
  <c r="A5830" i="1"/>
  <c r="H5829" i="1"/>
  <c r="C5829" i="1"/>
  <c r="A5829" i="1"/>
  <c r="H5828" i="1"/>
  <c r="C5828" i="1"/>
  <c r="A5828" i="1"/>
  <c r="H5827" i="1"/>
  <c r="C5827" i="1"/>
  <c r="A5827" i="1"/>
  <c r="H5826" i="1"/>
  <c r="C5826" i="1"/>
  <c r="A5826" i="1"/>
  <c r="H5825" i="1"/>
  <c r="C5825" i="1"/>
  <c r="A5825" i="1"/>
  <c r="H5824" i="1"/>
  <c r="C5824" i="1"/>
  <c r="A5824" i="1"/>
  <c r="H5823" i="1"/>
  <c r="C5823" i="1"/>
  <c r="A5823" i="1"/>
  <c r="H5822" i="1"/>
  <c r="C5822" i="1"/>
  <c r="A5822" i="1"/>
  <c r="H5821" i="1"/>
  <c r="C5821" i="1"/>
  <c r="A5821" i="1"/>
  <c r="H5820" i="1"/>
  <c r="C5820" i="1"/>
  <c r="A5820" i="1"/>
  <c r="H5819" i="1"/>
  <c r="C5819" i="1"/>
  <c r="A5819" i="1"/>
  <c r="H5818" i="1"/>
  <c r="C5818" i="1"/>
  <c r="A5818" i="1"/>
  <c r="H5817" i="1"/>
  <c r="C5817" i="1"/>
  <c r="A5817" i="1"/>
  <c r="H5816" i="1"/>
  <c r="C5816" i="1"/>
  <c r="A5816" i="1"/>
  <c r="H5815" i="1"/>
  <c r="C5815" i="1"/>
  <c r="A5815" i="1"/>
  <c r="H5814" i="1"/>
  <c r="C5814" i="1"/>
  <c r="A5814" i="1"/>
  <c r="H5813" i="1"/>
  <c r="C5813" i="1"/>
  <c r="A5813" i="1"/>
  <c r="H5812" i="1"/>
  <c r="C5812" i="1"/>
  <c r="A5812" i="1"/>
  <c r="H5811" i="1"/>
  <c r="C5811" i="1"/>
  <c r="A5811" i="1"/>
  <c r="H5810" i="1"/>
  <c r="C5810" i="1"/>
  <c r="A5810" i="1"/>
  <c r="H5809" i="1"/>
  <c r="C5809" i="1"/>
  <c r="A5809" i="1"/>
  <c r="H5808" i="1"/>
  <c r="C5808" i="1"/>
  <c r="A5808" i="1"/>
  <c r="H5807" i="1"/>
  <c r="C5807" i="1"/>
  <c r="A5807" i="1"/>
  <c r="H5806" i="1"/>
  <c r="C5806" i="1"/>
  <c r="A5806" i="1"/>
  <c r="H5805" i="1"/>
  <c r="C5805" i="1"/>
  <c r="A5805" i="1"/>
  <c r="H5804" i="1"/>
  <c r="C5804" i="1"/>
  <c r="A5804" i="1"/>
  <c r="H5803" i="1"/>
  <c r="C5803" i="1"/>
  <c r="A5803" i="1"/>
  <c r="H5802" i="1"/>
  <c r="C5802" i="1"/>
  <c r="A5802" i="1"/>
  <c r="H5801" i="1"/>
  <c r="C5801" i="1"/>
  <c r="A5801" i="1"/>
  <c r="H5800" i="1"/>
  <c r="C5800" i="1"/>
  <c r="A5800" i="1"/>
  <c r="H5799" i="1"/>
  <c r="C5799" i="1"/>
  <c r="A5799" i="1"/>
  <c r="H5798" i="1"/>
  <c r="C5798" i="1"/>
  <c r="A5798" i="1"/>
  <c r="H5797" i="1"/>
  <c r="C5797" i="1"/>
  <c r="A5797" i="1"/>
  <c r="H5796" i="1"/>
  <c r="C5796" i="1"/>
  <c r="A5796" i="1"/>
  <c r="H5795" i="1"/>
  <c r="C5795" i="1"/>
  <c r="A5795" i="1"/>
  <c r="H5794" i="1"/>
  <c r="C5794" i="1"/>
  <c r="A5794" i="1"/>
  <c r="H5793" i="1"/>
  <c r="C5793" i="1"/>
  <c r="A5793" i="1"/>
  <c r="H5792" i="1"/>
  <c r="C5792" i="1"/>
  <c r="A5792" i="1"/>
  <c r="H5791" i="1"/>
  <c r="C5791" i="1"/>
  <c r="A5791" i="1"/>
  <c r="H5790" i="1"/>
  <c r="C5790" i="1"/>
  <c r="A5790" i="1"/>
  <c r="H5789" i="1"/>
  <c r="C5789" i="1"/>
  <c r="A5789" i="1"/>
  <c r="H5788" i="1"/>
  <c r="C5788" i="1"/>
  <c r="A5788" i="1"/>
  <c r="H5787" i="1"/>
  <c r="C5787" i="1"/>
  <c r="A5787" i="1"/>
  <c r="H5786" i="1"/>
  <c r="C5786" i="1"/>
  <c r="A5786" i="1"/>
  <c r="H5785" i="1"/>
  <c r="C5785" i="1"/>
  <c r="A5785" i="1"/>
  <c r="H5784" i="1"/>
  <c r="C5784" i="1"/>
  <c r="A5784" i="1"/>
  <c r="H5783" i="1"/>
  <c r="C5783" i="1"/>
  <c r="A5783" i="1"/>
  <c r="H5782" i="1"/>
  <c r="C5782" i="1"/>
  <c r="A5782" i="1"/>
  <c r="H5781" i="1"/>
  <c r="C5781" i="1"/>
  <c r="A5781" i="1"/>
  <c r="H5780" i="1"/>
  <c r="C5780" i="1"/>
  <c r="A5780" i="1"/>
  <c r="H5779" i="1"/>
  <c r="C5779" i="1"/>
  <c r="A5779" i="1"/>
  <c r="H5778" i="1"/>
  <c r="C5778" i="1"/>
  <c r="A5778" i="1"/>
  <c r="H5777" i="1"/>
  <c r="C5777" i="1"/>
  <c r="A5777" i="1"/>
  <c r="H5776" i="1"/>
  <c r="C5776" i="1"/>
  <c r="A5776" i="1"/>
  <c r="H5775" i="1"/>
  <c r="C5775" i="1"/>
  <c r="A5775" i="1"/>
  <c r="H5774" i="1"/>
  <c r="C5774" i="1"/>
  <c r="A5774" i="1"/>
  <c r="H5773" i="1"/>
  <c r="C5773" i="1"/>
  <c r="A5773" i="1"/>
  <c r="H5772" i="1"/>
  <c r="C5772" i="1"/>
  <c r="A5772" i="1"/>
  <c r="H5771" i="1"/>
  <c r="C5771" i="1"/>
  <c r="A5771" i="1"/>
  <c r="H5770" i="1"/>
  <c r="C5770" i="1"/>
  <c r="A5770" i="1"/>
  <c r="H5769" i="1"/>
  <c r="C5769" i="1"/>
  <c r="A5769" i="1"/>
  <c r="H5768" i="1"/>
  <c r="C5768" i="1"/>
  <c r="A5768" i="1"/>
  <c r="H5767" i="1"/>
  <c r="C5767" i="1"/>
  <c r="A5767" i="1"/>
  <c r="H5766" i="1"/>
  <c r="C5766" i="1"/>
  <c r="A5766" i="1"/>
  <c r="H5765" i="1"/>
  <c r="C5765" i="1"/>
  <c r="A5765" i="1"/>
  <c r="H5764" i="1"/>
  <c r="C5764" i="1"/>
  <c r="A5764" i="1"/>
  <c r="H5763" i="1"/>
  <c r="C5763" i="1"/>
  <c r="A5763" i="1"/>
  <c r="H5762" i="1"/>
  <c r="C5762" i="1"/>
  <c r="A5762" i="1"/>
  <c r="H5761" i="1"/>
  <c r="C5761" i="1"/>
  <c r="A5761" i="1"/>
  <c r="H5760" i="1"/>
  <c r="C5760" i="1"/>
  <c r="A5760" i="1"/>
  <c r="H5759" i="1"/>
  <c r="C5759" i="1"/>
  <c r="A5759" i="1"/>
  <c r="H5758" i="1"/>
  <c r="C5758" i="1"/>
  <c r="A5758" i="1"/>
  <c r="H5757" i="1"/>
  <c r="C5757" i="1"/>
  <c r="A5757" i="1"/>
  <c r="H5756" i="1"/>
  <c r="C5756" i="1"/>
  <c r="A5756" i="1"/>
  <c r="H5755" i="1"/>
  <c r="C5755" i="1"/>
  <c r="A5755" i="1"/>
  <c r="H5754" i="1"/>
  <c r="C5754" i="1"/>
  <c r="A5754" i="1"/>
  <c r="H5753" i="1"/>
  <c r="C5753" i="1"/>
  <c r="A5753" i="1"/>
  <c r="H5752" i="1"/>
  <c r="C5752" i="1"/>
  <c r="A5752" i="1"/>
  <c r="H5751" i="1"/>
  <c r="C5751" i="1"/>
  <c r="A5751" i="1"/>
  <c r="H5750" i="1"/>
  <c r="C5750" i="1"/>
  <c r="A5750" i="1"/>
  <c r="H5749" i="1"/>
  <c r="C5749" i="1"/>
  <c r="A5749" i="1"/>
  <c r="H5748" i="1"/>
  <c r="C5748" i="1"/>
  <c r="A5748" i="1"/>
  <c r="H5747" i="1"/>
  <c r="C5747" i="1"/>
  <c r="A5747" i="1"/>
  <c r="H5746" i="1"/>
  <c r="C5746" i="1"/>
  <c r="A5746" i="1"/>
  <c r="H5745" i="1"/>
  <c r="C5745" i="1"/>
  <c r="A5745" i="1"/>
  <c r="H5744" i="1"/>
  <c r="C5744" i="1"/>
  <c r="A5744" i="1"/>
  <c r="H5743" i="1"/>
  <c r="C5743" i="1"/>
  <c r="A5743" i="1"/>
  <c r="H5742" i="1"/>
  <c r="C5742" i="1"/>
  <c r="A5742" i="1"/>
  <c r="H5741" i="1"/>
  <c r="C5741" i="1"/>
  <c r="A5741" i="1"/>
  <c r="H5740" i="1"/>
  <c r="C5740" i="1"/>
  <c r="A5740" i="1"/>
  <c r="H5739" i="1"/>
  <c r="C5739" i="1"/>
  <c r="A5739" i="1"/>
  <c r="H5738" i="1"/>
  <c r="C5738" i="1"/>
  <c r="A5738" i="1"/>
  <c r="H5737" i="1"/>
  <c r="C5737" i="1"/>
  <c r="A5737" i="1"/>
  <c r="H5736" i="1"/>
  <c r="C5736" i="1"/>
  <c r="A5736" i="1"/>
  <c r="H5735" i="1"/>
  <c r="C5735" i="1"/>
  <c r="A5735" i="1"/>
  <c r="H5734" i="1"/>
  <c r="C5734" i="1"/>
  <c r="A5734" i="1"/>
  <c r="H5733" i="1"/>
  <c r="C5733" i="1"/>
  <c r="A5733" i="1"/>
  <c r="H5732" i="1"/>
  <c r="C5732" i="1"/>
  <c r="A5732" i="1"/>
  <c r="H5731" i="1"/>
  <c r="C5731" i="1"/>
  <c r="A5731" i="1"/>
  <c r="H5730" i="1"/>
  <c r="C5730" i="1"/>
  <c r="A5730" i="1"/>
  <c r="H5729" i="1"/>
  <c r="C5729" i="1"/>
  <c r="A5729" i="1"/>
  <c r="H5728" i="1"/>
  <c r="C5728" i="1"/>
  <c r="A5728" i="1"/>
  <c r="H5727" i="1"/>
  <c r="C5727" i="1"/>
  <c r="A5727" i="1"/>
  <c r="H5726" i="1"/>
  <c r="C5726" i="1"/>
  <c r="A5726" i="1"/>
  <c r="H5725" i="1"/>
  <c r="C5725" i="1"/>
  <c r="A5725" i="1"/>
  <c r="H5724" i="1"/>
  <c r="C5724" i="1"/>
  <c r="A5724" i="1"/>
  <c r="H5723" i="1"/>
  <c r="C5723" i="1"/>
  <c r="A5723" i="1"/>
  <c r="H5722" i="1"/>
  <c r="C5722" i="1"/>
  <c r="A5722" i="1"/>
  <c r="H5721" i="1"/>
  <c r="C5721" i="1"/>
  <c r="A5721" i="1"/>
  <c r="H5720" i="1"/>
  <c r="C5720" i="1"/>
  <c r="A5720" i="1"/>
  <c r="H5719" i="1"/>
  <c r="C5719" i="1"/>
  <c r="A5719" i="1"/>
  <c r="H5718" i="1"/>
  <c r="C5718" i="1"/>
  <c r="A5718" i="1"/>
  <c r="H5717" i="1"/>
  <c r="C5717" i="1"/>
  <c r="A5717" i="1"/>
  <c r="H5716" i="1"/>
  <c r="C5716" i="1"/>
  <c r="A5716" i="1"/>
  <c r="H5715" i="1"/>
  <c r="C5715" i="1"/>
  <c r="A5715" i="1"/>
  <c r="H5714" i="1"/>
  <c r="C5714" i="1"/>
  <c r="A5714" i="1"/>
  <c r="H5713" i="1"/>
  <c r="C5713" i="1"/>
  <c r="A5713" i="1"/>
  <c r="H5712" i="1"/>
  <c r="C5712" i="1"/>
  <c r="A5712" i="1"/>
  <c r="H5711" i="1"/>
  <c r="C5711" i="1"/>
  <c r="A5711" i="1"/>
  <c r="H5710" i="1"/>
  <c r="C5710" i="1"/>
  <c r="A5710" i="1"/>
  <c r="H5709" i="1"/>
  <c r="C5709" i="1"/>
  <c r="A5709" i="1"/>
  <c r="H5708" i="1"/>
  <c r="C5708" i="1"/>
  <c r="A5708" i="1"/>
  <c r="H5707" i="1"/>
  <c r="C5707" i="1"/>
  <c r="A5707" i="1"/>
  <c r="H5706" i="1"/>
  <c r="C5706" i="1"/>
  <c r="A5706" i="1"/>
  <c r="H5705" i="1"/>
  <c r="C5705" i="1"/>
  <c r="A5705" i="1"/>
  <c r="H5704" i="1"/>
  <c r="C5704" i="1"/>
  <c r="A5704" i="1"/>
  <c r="H5703" i="1"/>
  <c r="C5703" i="1"/>
  <c r="A5703" i="1"/>
  <c r="H5702" i="1"/>
  <c r="C5702" i="1"/>
  <c r="A5702" i="1"/>
  <c r="H5701" i="1"/>
  <c r="C5701" i="1"/>
  <c r="A5701" i="1"/>
  <c r="H5700" i="1"/>
  <c r="C5700" i="1"/>
  <c r="A5700" i="1"/>
  <c r="H5699" i="1"/>
  <c r="C5699" i="1"/>
  <c r="A5699" i="1"/>
  <c r="H5698" i="1"/>
  <c r="C5698" i="1"/>
  <c r="A5698" i="1"/>
  <c r="H5697" i="1"/>
  <c r="C5697" i="1"/>
  <c r="A5697" i="1"/>
  <c r="H5696" i="1"/>
  <c r="C5696" i="1"/>
  <c r="A5696" i="1"/>
  <c r="H5695" i="1"/>
  <c r="C5695" i="1"/>
  <c r="A5695" i="1"/>
  <c r="H5694" i="1"/>
  <c r="C5694" i="1"/>
  <c r="A5694" i="1"/>
  <c r="H5693" i="1"/>
  <c r="C5693" i="1"/>
  <c r="A5693" i="1"/>
  <c r="H5692" i="1"/>
  <c r="C5692" i="1"/>
  <c r="A5692" i="1"/>
  <c r="H5691" i="1"/>
  <c r="C5691" i="1"/>
  <c r="A5691" i="1"/>
  <c r="H5690" i="1"/>
  <c r="C5690" i="1"/>
  <c r="A5690" i="1"/>
  <c r="H5689" i="1"/>
  <c r="C5689" i="1"/>
  <c r="A5689" i="1"/>
  <c r="H5688" i="1"/>
  <c r="C5688" i="1"/>
  <c r="A5688" i="1"/>
  <c r="H5687" i="1"/>
  <c r="C5687" i="1"/>
  <c r="A5687" i="1"/>
  <c r="H5686" i="1"/>
  <c r="C5686" i="1"/>
  <c r="A5686" i="1"/>
  <c r="H5685" i="1"/>
  <c r="C5685" i="1"/>
  <c r="A5685" i="1"/>
  <c r="H5684" i="1"/>
  <c r="C5684" i="1"/>
  <c r="A5684" i="1"/>
  <c r="H5683" i="1"/>
  <c r="C5683" i="1"/>
  <c r="A5683" i="1"/>
  <c r="H5682" i="1"/>
  <c r="C5682" i="1"/>
  <c r="A5682" i="1"/>
  <c r="H5681" i="1"/>
  <c r="C5681" i="1"/>
  <c r="A5681" i="1"/>
  <c r="H5680" i="1"/>
  <c r="C5680" i="1"/>
  <c r="A5680" i="1"/>
  <c r="H5679" i="1"/>
  <c r="C5679" i="1"/>
  <c r="A5679" i="1"/>
  <c r="H5678" i="1"/>
  <c r="C5678" i="1"/>
  <c r="A5678" i="1"/>
  <c r="H5677" i="1"/>
  <c r="C5677" i="1"/>
  <c r="A5677" i="1"/>
  <c r="H5676" i="1"/>
  <c r="C5676" i="1"/>
  <c r="A5676" i="1"/>
  <c r="H5675" i="1"/>
  <c r="C5675" i="1"/>
  <c r="A5675" i="1"/>
  <c r="H5674" i="1"/>
  <c r="C5674" i="1"/>
  <c r="A5674" i="1"/>
  <c r="H5673" i="1"/>
  <c r="C5673" i="1"/>
  <c r="A5673" i="1"/>
  <c r="H5672" i="1"/>
  <c r="C5672" i="1"/>
  <c r="A5672" i="1"/>
  <c r="H5671" i="1"/>
  <c r="C5671" i="1"/>
  <c r="A5671" i="1"/>
  <c r="H5670" i="1"/>
  <c r="C5670" i="1"/>
  <c r="A5670" i="1"/>
  <c r="H5669" i="1"/>
  <c r="C5669" i="1"/>
  <c r="A5669" i="1"/>
  <c r="H5668" i="1"/>
  <c r="C5668" i="1"/>
  <c r="A5668" i="1"/>
  <c r="H5667" i="1"/>
  <c r="C5667" i="1"/>
  <c r="A5667" i="1"/>
  <c r="H5666" i="1"/>
  <c r="C5666" i="1"/>
  <c r="A5666" i="1"/>
  <c r="H5665" i="1"/>
  <c r="C5665" i="1"/>
  <c r="A5665" i="1"/>
  <c r="H5664" i="1"/>
  <c r="C5664" i="1"/>
  <c r="A5664" i="1"/>
  <c r="H5663" i="1"/>
  <c r="C5663" i="1"/>
  <c r="A5663" i="1"/>
  <c r="H5662" i="1"/>
  <c r="C5662" i="1"/>
  <c r="A5662" i="1"/>
  <c r="H5661" i="1"/>
  <c r="C5661" i="1"/>
  <c r="A5661" i="1"/>
  <c r="H5660" i="1"/>
  <c r="C5660" i="1"/>
  <c r="A5660" i="1"/>
  <c r="H5659" i="1"/>
  <c r="C5659" i="1"/>
  <c r="A5659" i="1"/>
  <c r="H5658" i="1"/>
  <c r="C5658" i="1"/>
  <c r="A5658" i="1"/>
  <c r="H5657" i="1"/>
  <c r="C5657" i="1"/>
  <c r="A5657" i="1"/>
  <c r="H5656" i="1"/>
  <c r="C5656" i="1"/>
  <c r="A5656" i="1"/>
  <c r="H5655" i="1"/>
  <c r="C5655" i="1"/>
  <c r="A5655" i="1"/>
  <c r="H5654" i="1"/>
  <c r="C5654" i="1"/>
  <c r="A5654" i="1"/>
  <c r="H5653" i="1"/>
  <c r="C5653" i="1"/>
  <c r="A5653" i="1"/>
  <c r="H5652" i="1"/>
  <c r="C5652" i="1"/>
  <c r="A5652" i="1"/>
  <c r="H5651" i="1"/>
  <c r="C5651" i="1"/>
  <c r="A5651" i="1"/>
  <c r="H5650" i="1"/>
  <c r="C5650" i="1"/>
  <c r="A5650" i="1"/>
  <c r="H5649" i="1"/>
  <c r="C5649" i="1"/>
  <c r="A5649" i="1"/>
  <c r="H5648" i="1"/>
  <c r="C5648" i="1"/>
  <c r="A5648" i="1"/>
  <c r="H5647" i="1"/>
  <c r="C5647" i="1"/>
  <c r="A5647" i="1"/>
  <c r="H5646" i="1"/>
  <c r="C5646" i="1"/>
  <c r="A5646" i="1"/>
  <c r="H5645" i="1"/>
  <c r="C5645" i="1"/>
  <c r="A5645" i="1"/>
  <c r="H5644" i="1"/>
  <c r="C5644" i="1"/>
  <c r="A5644" i="1"/>
  <c r="H5643" i="1"/>
  <c r="C5643" i="1"/>
  <c r="A5643" i="1"/>
  <c r="H5642" i="1"/>
  <c r="C5642" i="1"/>
  <c r="A5642" i="1"/>
  <c r="H5641" i="1"/>
  <c r="C5641" i="1"/>
  <c r="A5641" i="1"/>
  <c r="H5640" i="1"/>
  <c r="C5640" i="1"/>
  <c r="A5640" i="1"/>
  <c r="H5639" i="1"/>
  <c r="C5639" i="1"/>
  <c r="A5639" i="1"/>
  <c r="H5638" i="1"/>
  <c r="C5638" i="1"/>
  <c r="A5638" i="1"/>
  <c r="H5637" i="1"/>
  <c r="C5637" i="1"/>
  <c r="A5637" i="1"/>
  <c r="H5636" i="1"/>
  <c r="C5636" i="1"/>
  <c r="A5636" i="1"/>
  <c r="H5635" i="1"/>
  <c r="C5635" i="1"/>
  <c r="A5635" i="1"/>
  <c r="H5634" i="1"/>
  <c r="C5634" i="1"/>
  <c r="A5634" i="1"/>
  <c r="H5633" i="1"/>
  <c r="C5633" i="1"/>
  <c r="A5633" i="1"/>
  <c r="H5632" i="1"/>
  <c r="C5632" i="1"/>
  <c r="A5632" i="1"/>
  <c r="H5631" i="1"/>
  <c r="C5631" i="1"/>
  <c r="A5631" i="1"/>
  <c r="H5630" i="1"/>
  <c r="C5630" i="1"/>
  <c r="A5630" i="1"/>
  <c r="H5629" i="1"/>
  <c r="C5629" i="1"/>
  <c r="A5629" i="1"/>
  <c r="H5628" i="1"/>
  <c r="C5628" i="1"/>
  <c r="A5628" i="1"/>
  <c r="H5627" i="1"/>
  <c r="C5627" i="1"/>
  <c r="A5627" i="1"/>
  <c r="H5626" i="1"/>
  <c r="C5626" i="1"/>
  <c r="A5626" i="1"/>
  <c r="H5625" i="1"/>
  <c r="C5625" i="1"/>
  <c r="A5625" i="1"/>
  <c r="H5624" i="1"/>
  <c r="C5624" i="1"/>
  <c r="A5624" i="1"/>
  <c r="H5623" i="1"/>
  <c r="C5623" i="1"/>
  <c r="A5623" i="1"/>
  <c r="H5622" i="1"/>
  <c r="C5622" i="1"/>
  <c r="A5622" i="1"/>
  <c r="H5621" i="1"/>
  <c r="C5621" i="1"/>
  <c r="A5621" i="1"/>
  <c r="H5620" i="1"/>
  <c r="C5620" i="1"/>
  <c r="A5620" i="1"/>
  <c r="H5619" i="1"/>
  <c r="C5619" i="1"/>
  <c r="A5619" i="1"/>
  <c r="H5618" i="1"/>
  <c r="C5618" i="1"/>
  <c r="A5618" i="1"/>
  <c r="H5617" i="1"/>
  <c r="C5617" i="1"/>
  <c r="A5617" i="1"/>
  <c r="H5616" i="1"/>
  <c r="C5616" i="1"/>
  <c r="A5616" i="1"/>
  <c r="H5615" i="1"/>
  <c r="C5615" i="1"/>
  <c r="A5615" i="1"/>
  <c r="H5614" i="1"/>
  <c r="C5614" i="1"/>
  <c r="A5614" i="1"/>
  <c r="H5613" i="1"/>
  <c r="C5613" i="1"/>
  <c r="A5613" i="1"/>
  <c r="H5612" i="1"/>
  <c r="C5612" i="1"/>
  <c r="A5612" i="1"/>
  <c r="H5611" i="1"/>
  <c r="C5611" i="1"/>
  <c r="A5611" i="1"/>
  <c r="H5610" i="1"/>
  <c r="C5610" i="1"/>
  <c r="A5610" i="1"/>
  <c r="H5609" i="1"/>
  <c r="C5609" i="1"/>
  <c r="A5609" i="1"/>
  <c r="H5608" i="1"/>
  <c r="C5608" i="1"/>
  <c r="A5608" i="1"/>
  <c r="H5607" i="1"/>
  <c r="C5607" i="1"/>
  <c r="A5607" i="1"/>
  <c r="H5606" i="1"/>
  <c r="C5606" i="1"/>
  <c r="A5606" i="1"/>
  <c r="H5605" i="1"/>
  <c r="C5605" i="1"/>
  <c r="A5605" i="1"/>
  <c r="H5604" i="1"/>
  <c r="C5604" i="1"/>
  <c r="A5604" i="1"/>
  <c r="H5603" i="1"/>
  <c r="C5603" i="1"/>
  <c r="A5603" i="1"/>
  <c r="H5602" i="1"/>
  <c r="C5602" i="1"/>
  <c r="A5602" i="1"/>
  <c r="H5601" i="1"/>
  <c r="C5601" i="1"/>
  <c r="A5601" i="1"/>
  <c r="H5600" i="1"/>
  <c r="C5600" i="1"/>
  <c r="A5600" i="1"/>
  <c r="H5599" i="1"/>
  <c r="C5599" i="1"/>
  <c r="A5599" i="1"/>
  <c r="H5598" i="1"/>
  <c r="C5598" i="1"/>
  <c r="A5598" i="1"/>
  <c r="H5597" i="1"/>
  <c r="C5597" i="1"/>
  <c r="A5597" i="1"/>
  <c r="H5596" i="1"/>
  <c r="C5596" i="1"/>
  <c r="A5596" i="1"/>
  <c r="H5595" i="1"/>
  <c r="C5595" i="1"/>
  <c r="A5595" i="1"/>
  <c r="H5594" i="1"/>
  <c r="C5594" i="1"/>
  <c r="A5594" i="1"/>
  <c r="H5593" i="1"/>
  <c r="C5593" i="1"/>
  <c r="A5593" i="1"/>
  <c r="H5592" i="1"/>
  <c r="C5592" i="1"/>
  <c r="A5592" i="1"/>
  <c r="H5591" i="1"/>
  <c r="C5591" i="1"/>
  <c r="A5591" i="1"/>
  <c r="H5590" i="1"/>
  <c r="C5590" i="1"/>
  <c r="A5590" i="1"/>
  <c r="H5589" i="1"/>
  <c r="C5589" i="1"/>
  <c r="A5589" i="1"/>
  <c r="H5588" i="1"/>
  <c r="C5588" i="1"/>
  <c r="A5588" i="1"/>
  <c r="H5587" i="1"/>
  <c r="C5587" i="1"/>
  <c r="A5587" i="1"/>
  <c r="H5586" i="1"/>
  <c r="C5586" i="1"/>
  <c r="A5586" i="1"/>
  <c r="H5585" i="1"/>
  <c r="C5585" i="1"/>
  <c r="A5585" i="1"/>
  <c r="H5584" i="1"/>
  <c r="C5584" i="1"/>
  <c r="A5584" i="1"/>
  <c r="H5583" i="1"/>
  <c r="C5583" i="1"/>
  <c r="A5583" i="1"/>
  <c r="H5582" i="1"/>
  <c r="C5582" i="1"/>
  <c r="A5582" i="1"/>
  <c r="H5581" i="1"/>
  <c r="C5581" i="1"/>
  <c r="A5581" i="1"/>
  <c r="H5580" i="1"/>
  <c r="C5580" i="1"/>
  <c r="A5580" i="1"/>
  <c r="H5579" i="1"/>
  <c r="C5579" i="1"/>
  <c r="A5579" i="1"/>
  <c r="H5578" i="1"/>
  <c r="C5578" i="1"/>
  <c r="A5578" i="1"/>
  <c r="H5577" i="1"/>
  <c r="C5577" i="1"/>
  <c r="A5577" i="1"/>
  <c r="H5576" i="1"/>
  <c r="C5576" i="1"/>
  <c r="A5576" i="1"/>
  <c r="H5575" i="1"/>
  <c r="C5575" i="1"/>
  <c r="A5575" i="1"/>
  <c r="H5574" i="1"/>
  <c r="C5574" i="1"/>
  <c r="A5574" i="1"/>
  <c r="H5573" i="1"/>
  <c r="C5573" i="1"/>
  <c r="A5573" i="1"/>
  <c r="H5572" i="1"/>
  <c r="C5572" i="1"/>
  <c r="A5572" i="1"/>
  <c r="H5571" i="1"/>
  <c r="C5571" i="1"/>
  <c r="A5571" i="1"/>
  <c r="H5570" i="1"/>
  <c r="C5570" i="1"/>
  <c r="A5570" i="1"/>
  <c r="H5569" i="1"/>
  <c r="C5569" i="1"/>
  <c r="A5569" i="1"/>
  <c r="H5568" i="1"/>
  <c r="C5568" i="1"/>
  <c r="A5568" i="1"/>
  <c r="H5567" i="1"/>
  <c r="C5567" i="1"/>
  <c r="A5567" i="1"/>
  <c r="H5566" i="1"/>
  <c r="C5566" i="1"/>
  <c r="A5566" i="1"/>
  <c r="H5565" i="1"/>
  <c r="C5565" i="1"/>
  <c r="A5565" i="1"/>
  <c r="H5564" i="1"/>
  <c r="C5564" i="1"/>
  <c r="A5564" i="1"/>
  <c r="H5563" i="1"/>
  <c r="C5563" i="1"/>
  <c r="A5563" i="1"/>
  <c r="H5562" i="1"/>
  <c r="C5562" i="1"/>
  <c r="A5562" i="1"/>
  <c r="H5561" i="1"/>
  <c r="C5561" i="1"/>
  <c r="A5561" i="1"/>
  <c r="H5560" i="1"/>
  <c r="C5560" i="1"/>
  <c r="A5560" i="1"/>
  <c r="H5559" i="1"/>
  <c r="C5559" i="1"/>
  <c r="A5559" i="1"/>
  <c r="H5558" i="1"/>
  <c r="C5558" i="1"/>
  <c r="A5558" i="1"/>
  <c r="H5557" i="1"/>
  <c r="C5557" i="1"/>
  <c r="A5557" i="1"/>
  <c r="H5556" i="1"/>
  <c r="C5556" i="1"/>
  <c r="A5556" i="1"/>
  <c r="H5555" i="1"/>
  <c r="C5555" i="1"/>
  <c r="A5555" i="1"/>
  <c r="H5554" i="1"/>
  <c r="C5554" i="1"/>
  <c r="A5554" i="1"/>
  <c r="H5553" i="1"/>
  <c r="C5553" i="1"/>
  <c r="A5553" i="1"/>
  <c r="H5552" i="1"/>
  <c r="C5552" i="1"/>
  <c r="A5552" i="1"/>
  <c r="H5551" i="1"/>
  <c r="C5551" i="1"/>
  <c r="A5551" i="1"/>
  <c r="H5550" i="1"/>
  <c r="C5550" i="1"/>
  <c r="A5550" i="1"/>
  <c r="H5549" i="1"/>
  <c r="C5549" i="1"/>
  <c r="A5549" i="1"/>
  <c r="H5548" i="1"/>
  <c r="C5548" i="1"/>
  <c r="A5548" i="1"/>
  <c r="H5547" i="1"/>
  <c r="C5547" i="1"/>
  <c r="A5547" i="1"/>
  <c r="H5546" i="1"/>
  <c r="C5546" i="1"/>
  <c r="A5546" i="1"/>
  <c r="H5545" i="1"/>
  <c r="C5545" i="1"/>
  <c r="A5545" i="1"/>
  <c r="H5544" i="1"/>
  <c r="C5544" i="1"/>
  <c r="A5544" i="1"/>
  <c r="H5543" i="1"/>
  <c r="C5543" i="1"/>
  <c r="A5543" i="1"/>
  <c r="H5542" i="1"/>
  <c r="C5542" i="1"/>
  <c r="A5542" i="1"/>
  <c r="H5541" i="1"/>
  <c r="C5541" i="1"/>
  <c r="A5541" i="1"/>
  <c r="H5540" i="1"/>
  <c r="C5540" i="1"/>
  <c r="A5540" i="1"/>
  <c r="H5539" i="1"/>
  <c r="C5539" i="1"/>
  <c r="A5539" i="1"/>
  <c r="H5538" i="1"/>
  <c r="C5538" i="1"/>
  <c r="A5538" i="1"/>
  <c r="H5537" i="1"/>
  <c r="C5537" i="1"/>
  <c r="A5537" i="1"/>
  <c r="H5536" i="1"/>
  <c r="C5536" i="1"/>
  <c r="A5536" i="1"/>
  <c r="H5535" i="1"/>
  <c r="C5535" i="1"/>
  <c r="A5535" i="1"/>
  <c r="H5534" i="1"/>
  <c r="C5534" i="1"/>
  <c r="A5534" i="1"/>
  <c r="H5533" i="1"/>
  <c r="C5533" i="1"/>
  <c r="A5533" i="1"/>
  <c r="H5532" i="1"/>
  <c r="C5532" i="1"/>
  <c r="A5532" i="1"/>
  <c r="H5531" i="1"/>
  <c r="C5531" i="1"/>
  <c r="A5531" i="1"/>
  <c r="H5530" i="1"/>
  <c r="C5530" i="1"/>
  <c r="A5530" i="1"/>
  <c r="H5529" i="1"/>
  <c r="C5529" i="1"/>
  <c r="A5529" i="1"/>
  <c r="H5528" i="1"/>
  <c r="C5528" i="1"/>
  <c r="A5528" i="1"/>
  <c r="H5527" i="1"/>
  <c r="C5527" i="1"/>
  <c r="A5527" i="1"/>
  <c r="H5526" i="1"/>
  <c r="C5526" i="1"/>
  <c r="A5526" i="1"/>
  <c r="H5525" i="1"/>
  <c r="C5525" i="1"/>
  <c r="A5525" i="1"/>
  <c r="H5524" i="1"/>
  <c r="C5524" i="1"/>
  <c r="A5524" i="1"/>
  <c r="H5523" i="1"/>
  <c r="C5523" i="1"/>
  <c r="A5523" i="1"/>
  <c r="H5522" i="1"/>
  <c r="C5522" i="1"/>
  <c r="A5522" i="1"/>
  <c r="H5521" i="1"/>
  <c r="C5521" i="1"/>
  <c r="A5521" i="1"/>
  <c r="H5520" i="1"/>
  <c r="C5520" i="1"/>
  <c r="A5520" i="1"/>
  <c r="H5519" i="1"/>
  <c r="C5519" i="1"/>
  <c r="A5519" i="1"/>
  <c r="H5518" i="1"/>
  <c r="C5518" i="1"/>
  <c r="A5518" i="1"/>
  <c r="H5517" i="1"/>
  <c r="C5517" i="1"/>
  <c r="A5517" i="1"/>
  <c r="H5516" i="1"/>
  <c r="C5516" i="1"/>
  <c r="A5516" i="1"/>
  <c r="H5515" i="1"/>
  <c r="C5515" i="1"/>
  <c r="A5515" i="1"/>
  <c r="H5514" i="1"/>
  <c r="C5514" i="1"/>
  <c r="A5514" i="1"/>
  <c r="H5513" i="1"/>
  <c r="C5513" i="1"/>
  <c r="A5513" i="1"/>
  <c r="H5512" i="1"/>
  <c r="C5512" i="1"/>
  <c r="A5512" i="1"/>
  <c r="H5511" i="1"/>
  <c r="C5511" i="1"/>
  <c r="A5511" i="1"/>
  <c r="H5510" i="1"/>
  <c r="C5510" i="1"/>
  <c r="A5510" i="1"/>
  <c r="H5509" i="1"/>
  <c r="C5509" i="1"/>
  <c r="A5509" i="1"/>
  <c r="H5508" i="1"/>
  <c r="C5508" i="1"/>
  <c r="A5508" i="1"/>
  <c r="H5507" i="1"/>
  <c r="C5507" i="1"/>
  <c r="A5507" i="1"/>
  <c r="H5506" i="1"/>
  <c r="C5506" i="1"/>
  <c r="A5506" i="1"/>
  <c r="H5505" i="1"/>
  <c r="C5505" i="1"/>
  <c r="A5505" i="1"/>
  <c r="H5504" i="1"/>
  <c r="C5504" i="1"/>
  <c r="A5504" i="1"/>
  <c r="H5503" i="1"/>
  <c r="C5503" i="1"/>
  <c r="A5503" i="1"/>
  <c r="H5502" i="1"/>
  <c r="C5502" i="1"/>
  <c r="A5502" i="1"/>
  <c r="H5501" i="1"/>
  <c r="C5501" i="1"/>
  <c r="A5501" i="1"/>
  <c r="H5500" i="1"/>
  <c r="C5500" i="1"/>
  <c r="A5500" i="1"/>
  <c r="H5499" i="1"/>
  <c r="C5499" i="1"/>
  <c r="A5499" i="1"/>
  <c r="H5498" i="1"/>
  <c r="C5498" i="1"/>
  <c r="A5498" i="1"/>
  <c r="H5497" i="1"/>
  <c r="C5497" i="1"/>
  <c r="A5497" i="1"/>
  <c r="H5496" i="1"/>
  <c r="C5496" i="1"/>
  <c r="A5496" i="1"/>
  <c r="H5495" i="1"/>
  <c r="C5495" i="1"/>
  <c r="A5495" i="1"/>
  <c r="H5494" i="1"/>
  <c r="C5494" i="1"/>
  <c r="A5494" i="1"/>
  <c r="H5493" i="1"/>
  <c r="C5493" i="1"/>
  <c r="A5493" i="1"/>
  <c r="H5492" i="1"/>
  <c r="C5492" i="1"/>
  <c r="A5492" i="1"/>
  <c r="H5491" i="1"/>
  <c r="C5491" i="1"/>
  <c r="A5491" i="1"/>
  <c r="H5490" i="1"/>
  <c r="C5490" i="1"/>
  <c r="A5490" i="1"/>
  <c r="H5489" i="1"/>
  <c r="C5489" i="1"/>
  <c r="A5489" i="1"/>
  <c r="H5488" i="1"/>
  <c r="C5488" i="1"/>
  <c r="A5488" i="1"/>
  <c r="H5487" i="1"/>
  <c r="C5487" i="1"/>
  <c r="A5487" i="1"/>
  <c r="H5486" i="1"/>
  <c r="C5486" i="1"/>
  <c r="A5486" i="1"/>
  <c r="H5485" i="1"/>
  <c r="C5485" i="1"/>
  <c r="A5485" i="1"/>
  <c r="H5484" i="1"/>
  <c r="C5484" i="1"/>
  <c r="A5484" i="1"/>
  <c r="H5483" i="1"/>
  <c r="C5483" i="1"/>
  <c r="A5483" i="1"/>
  <c r="H5482" i="1"/>
  <c r="C5482" i="1"/>
  <c r="A5482" i="1"/>
  <c r="H5481" i="1"/>
  <c r="C5481" i="1"/>
  <c r="A5481" i="1"/>
  <c r="H5480" i="1"/>
  <c r="C5480" i="1"/>
  <c r="A5480" i="1"/>
  <c r="H5479" i="1"/>
  <c r="C5479" i="1"/>
  <c r="A5479" i="1"/>
  <c r="H5478" i="1"/>
  <c r="C5478" i="1"/>
  <c r="A5478" i="1"/>
  <c r="H5477" i="1"/>
  <c r="C5477" i="1"/>
  <c r="A5477" i="1"/>
  <c r="H5476" i="1"/>
  <c r="C5476" i="1"/>
  <c r="A5476" i="1"/>
  <c r="H5475" i="1"/>
  <c r="C5475" i="1"/>
  <c r="A5475" i="1"/>
  <c r="H5474" i="1"/>
  <c r="C5474" i="1"/>
  <c r="A5474" i="1"/>
  <c r="H5473" i="1"/>
  <c r="C5473" i="1"/>
  <c r="A5473" i="1"/>
  <c r="H5472" i="1"/>
  <c r="C5472" i="1"/>
  <c r="A5472" i="1"/>
  <c r="H5471" i="1"/>
  <c r="C5471" i="1"/>
  <c r="A5471" i="1"/>
  <c r="H5470" i="1"/>
  <c r="C5470" i="1"/>
  <c r="A5470" i="1"/>
  <c r="H5469" i="1"/>
  <c r="C5469" i="1"/>
  <c r="A5469" i="1"/>
  <c r="H5468" i="1"/>
  <c r="C5468" i="1"/>
  <c r="A5468" i="1"/>
  <c r="H5467" i="1"/>
  <c r="C5467" i="1"/>
  <c r="A5467" i="1"/>
  <c r="H5466" i="1"/>
  <c r="C5466" i="1"/>
  <c r="A5466" i="1"/>
  <c r="H5465" i="1"/>
  <c r="C5465" i="1"/>
  <c r="A5465" i="1"/>
  <c r="H5464" i="1"/>
  <c r="C5464" i="1"/>
  <c r="A5464" i="1"/>
  <c r="H5463" i="1"/>
  <c r="C5463" i="1"/>
  <c r="A5463" i="1"/>
  <c r="H5462" i="1"/>
  <c r="C5462" i="1"/>
  <c r="A5462" i="1"/>
  <c r="H5461" i="1"/>
  <c r="C5461" i="1"/>
  <c r="A5461" i="1"/>
  <c r="H5460" i="1"/>
  <c r="C5460" i="1"/>
  <c r="A5460" i="1"/>
  <c r="H5459" i="1"/>
  <c r="C5459" i="1"/>
  <c r="A5459" i="1"/>
  <c r="H5458" i="1"/>
  <c r="C5458" i="1"/>
  <c r="A5458" i="1"/>
  <c r="H5457" i="1"/>
  <c r="C5457" i="1"/>
  <c r="A5457" i="1"/>
  <c r="H5456" i="1"/>
  <c r="C5456" i="1"/>
  <c r="A5456" i="1"/>
  <c r="H5455" i="1"/>
  <c r="C5455" i="1"/>
  <c r="A5455" i="1"/>
  <c r="H5454" i="1"/>
  <c r="C5454" i="1"/>
  <c r="A5454" i="1"/>
  <c r="H5453" i="1"/>
  <c r="C5453" i="1"/>
  <c r="A5453" i="1"/>
  <c r="H5452" i="1"/>
  <c r="C5452" i="1"/>
  <c r="A5452" i="1"/>
  <c r="H5451" i="1"/>
  <c r="C5451" i="1"/>
  <c r="A5451" i="1"/>
  <c r="H5450" i="1"/>
  <c r="C5450" i="1"/>
  <c r="A5450" i="1"/>
  <c r="H5449" i="1"/>
  <c r="C5449" i="1"/>
  <c r="A5449" i="1"/>
  <c r="H5448" i="1"/>
  <c r="C5448" i="1"/>
  <c r="A5448" i="1"/>
  <c r="H5447" i="1"/>
  <c r="C5447" i="1"/>
  <c r="A5447" i="1"/>
  <c r="H5446" i="1"/>
  <c r="C5446" i="1"/>
  <c r="A5446" i="1"/>
  <c r="H5445" i="1"/>
  <c r="C5445" i="1"/>
  <c r="A5445" i="1"/>
  <c r="H5444" i="1"/>
  <c r="C5444" i="1"/>
  <c r="A5444" i="1"/>
  <c r="H5443" i="1"/>
  <c r="C5443" i="1"/>
  <c r="A5443" i="1"/>
  <c r="H5442" i="1"/>
  <c r="C5442" i="1"/>
  <c r="A5442" i="1"/>
  <c r="H5441" i="1"/>
  <c r="C5441" i="1"/>
  <c r="A5441" i="1"/>
  <c r="H5440" i="1"/>
  <c r="C5440" i="1"/>
  <c r="A5440" i="1"/>
  <c r="H5439" i="1"/>
  <c r="C5439" i="1"/>
  <c r="A5439" i="1"/>
  <c r="H5438" i="1"/>
  <c r="C5438" i="1"/>
  <c r="A5438" i="1"/>
  <c r="H5437" i="1"/>
  <c r="C5437" i="1"/>
  <c r="A5437" i="1"/>
  <c r="H5436" i="1"/>
  <c r="C5436" i="1"/>
  <c r="A5436" i="1"/>
  <c r="H5435" i="1"/>
  <c r="C5435" i="1"/>
  <c r="A5435" i="1"/>
  <c r="H5434" i="1"/>
  <c r="C5434" i="1"/>
  <c r="A5434" i="1"/>
  <c r="H5433" i="1"/>
  <c r="C5433" i="1"/>
  <c r="A5433" i="1"/>
  <c r="H5432" i="1"/>
  <c r="C5432" i="1"/>
  <c r="A5432" i="1"/>
  <c r="H5431" i="1"/>
  <c r="C5431" i="1"/>
  <c r="A5431" i="1"/>
  <c r="H5430" i="1"/>
  <c r="C5430" i="1"/>
  <c r="A5430" i="1"/>
  <c r="H5429" i="1"/>
  <c r="C5429" i="1"/>
  <c r="A5429" i="1"/>
  <c r="H5428" i="1"/>
  <c r="C5428" i="1"/>
  <c r="A5428" i="1"/>
  <c r="H5427" i="1"/>
  <c r="C5427" i="1"/>
  <c r="A5427" i="1"/>
  <c r="H5426" i="1"/>
  <c r="C5426" i="1"/>
  <c r="A5426" i="1"/>
  <c r="H5425" i="1"/>
  <c r="C5425" i="1"/>
  <c r="A5425" i="1"/>
  <c r="H5424" i="1"/>
  <c r="C5424" i="1"/>
  <c r="A5424" i="1"/>
  <c r="H5423" i="1"/>
  <c r="C5423" i="1"/>
  <c r="A5423" i="1"/>
  <c r="H5422" i="1"/>
  <c r="C5422" i="1"/>
  <c r="A5422" i="1"/>
  <c r="H5421" i="1"/>
  <c r="C5421" i="1"/>
  <c r="A5421" i="1"/>
  <c r="H5420" i="1"/>
  <c r="C5420" i="1"/>
  <c r="A5420" i="1"/>
  <c r="H5419" i="1"/>
  <c r="C5419" i="1"/>
  <c r="A5419" i="1"/>
  <c r="H5418" i="1"/>
  <c r="C5418" i="1"/>
  <c r="A5418" i="1"/>
  <c r="H5417" i="1"/>
  <c r="C5417" i="1"/>
  <c r="A5417" i="1"/>
  <c r="H5416" i="1"/>
  <c r="C5416" i="1"/>
  <c r="A5416" i="1"/>
  <c r="H5415" i="1"/>
  <c r="C5415" i="1"/>
  <c r="A5415" i="1"/>
  <c r="H5414" i="1"/>
  <c r="C5414" i="1"/>
  <c r="A5414" i="1"/>
  <c r="H5413" i="1"/>
  <c r="C5413" i="1"/>
  <c r="A5413" i="1"/>
  <c r="H5412" i="1"/>
  <c r="C5412" i="1"/>
  <c r="A5412" i="1"/>
  <c r="H5411" i="1"/>
  <c r="C5411" i="1"/>
  <c r="A5411" i="1"/>
  <c r="H5410" i="1"/>
  <c r="C5410" i="1"/>
  <c r="A5410" i="1"/>
  <c r="H5409" i="1"/>
  <c r="C5409" i="1"/>
  <c r="A5409" i="1"/>
  <c r="H5408" i="1"/>
  <c r="C5408" i="1"/>
  <c r="A5408" i="1"/>
  <c r="H5407" i="1"/>
  <c r="C5407" i="1"/>
  <c r="A5407" i="1"/>
  <c r="H5406" i="1"/>
  <c r="C5406" i="1"/>
  <c r="A5406" i="1"/>
  <c r="H5405" i="1"/>
  <c r="C5405" i="1"/>
  <c r="A5405" i="1"/>
  <c r="H5404" i="1"/>
  <c r="C5404" i="1"/>
  <c r="A5404" i="1"/>
  <c r="H5403" i="1"/>
  <c r="C5403" i="1"/>
  <c r="A5403" i="1"/>
  <c r="H5402" i="1"/>
  <c r="C5402" i="1"/>
  <c r="A5402" i="1"/>
  <c r="H5401" i="1"/>
  <c r="C5401" i="1"/>
  <c r="A5401" i="1"/>
  <c r="H5400" i="1"/>
  <c r="C5400" i="1"/>
  <c r="A5400" i="1"/>
  <c r="H5399" i="1"/>
  <c r="C5399" i="1"/>
  <c r="A5399" i="1"/>
  <c r="H5398" i="1"/>
  <c r="C5398" i="1"/>
  <c r="A5398" i="1"/>
  <c r="H5397" i="1"/>
  <c r="C5397" i="1"/>
  <c r="A5397" i="1"/>
  <c r="H5396" i="1"/>
  <c r="C5396" i="1"/>
  <c r="A5396" i="1"/>
  <c r="H5395" i="1"/>
  <c r="C5395" i="1"/>
  <c r="A5395" i="1"/>
  <c r="H5394" i="1"/>
  <c r="C5394" i="1"/>
  <c r="A5394" i="1"/>
  <c r="H5393" i="1"/>
  <c r="C5393" i="1"/>
  <c r="A5393" i="1"/>
  <c r="H5392" i="1"/>
  <c r="C5392" i="1"/>
  <c r="A5392" i="1"/>
  <c r="H5391" i="1"/>
  <c r="C5391" i="1"/>
  <c r="A5391" i="1"/>
  <c r="H5390" i="1"/>
  <c r="C5390" i="1"/>
  <c r="A5390" i="1"/>
  <c r="H5389" i="1"/>
  <c r="C5389" i="1"/>
  <c r="A5389" i="1"/>
  <c r="H5388" i="1"/>
  <c r="C5388" i="1"/>
  <c r="A5388" i="1"/>
  <c r="H5387" i="1"/>
  <c r="C5387" i="1"/>
  <c r="A5387" i="1"/>
  <c r="H5386" i="1"/>
  <c r="C5386" i="1"/>
  <c r="A5386" i="1"/>
  <c r="H5385" i="1"/>
  <c r="C5385" i="1"/>
  <c r="A5385" i="1"/>
  <c r="H5384" i="1"/>
  <c r="C5384" i="1"/>
  <c r="A5384" i="1"/>
  <c r="H5383" i="1"/>
  <c r="C5383" i="1"/>
  <c r="A5383" i="1"/>
  <c r="H5382" i="1"/>
  <c r="C5382" i="1"/>
  <c r="A5382" i="1"/>
  <c r="H5381" i="1"/>
  <c r="C5381" i="1"/>
  <c r="A5381" i="1"/>
  <c r="H5380" i="1"/>
  <c r="C5380" i="1"/>
  <c r="A5380" i="1"/>
  <c r="H5379" i="1"/>
  <c r="C5379" i="1"/>
  <c r="A5379" i="1"/>
  <c r="H5378" i="1"/>
  <c r="C5378" i="1"/>
  <c r="A5378" i="1"/>
  <c r="H5377" i="1"/>
  <c r="C5377" i="1"/>
  <c r="A5377" i="1"/>
  <c r="H5376" i="1"/>
  <c r="C5376" i="1"/>
  <c r="A5376" i="1"/>
  <c r="H5375" i="1"/>
  <c r="C5375" i="1"/>
  <c r="A5375" i="1"/>
  <c r="H5374" i="1"/>
  <c r="C5374" i="1"/>
  <c r="A5374" i="1"/>
  <c r="H5373" i="1"/>
  <c r="C5373" i="1"/>
  <c r="A5373" i="1"/>
  <c r="H5372" i="1"/>
  <c r="C5372" i="1"/>
  <c r="A5372" i="1"/>
  <c r="H5371" i="1"/>
  <c r="C5371" i="1"/>
  <c r="A5371" i="1"/>
  <c r="H5370" i="1"/>
  <c r="C5370" i="1"/>
  <c r="A5370" i="1"/>
  <c r="H5369" i="1"/>
  <c r="C5369" i="1"/>
  <c r="A5369" i="1"/>
  <c r="H5368" i="1"/>
  <c r="C5368" i="1"/>
  <c r="A5368" i="1"/>
  <c r="H5367" i="1"/>
  <c r="C5367" i="1"/>
  <c r="A5367" i="1"/>
  <c r="H5366" i="1"/>
  <c r="C5366" i="1"/>
  <c r="A5366" i="1"/>
  <c r="H5365" i="1"/>
  <c r="C5365" i="1"/>
  <c r="A5365" i="1"/>
  <c r="H5364" i="1"/>
  <c r="C5364" i="1"/>
  <c r="A5364" i="1"/>
  <c r="H5363" i="1"/>
  <c r="C5363" i="1"/>
  <c r="A5363" i="1"/>
  <c r="H5362" i="1"/>
  <c r="C5362" i="1"/>
  <c r="A5362" i="1"/>
  <c r="H5361" i="1"/>
  <c r="C5361" i="1"/>
  <c r="A5361" i="1"/>
  <c r="H5360" i="1"/>
  <c r="C5360" i="1"/>
  <c r="A5360" i="1"/>
  <c r="H5359" i="1"/>
  <c r="C5359" i="1"/>
  <c r="A5359" i="1"/>
  <c r="H5358" i="1"/>
  <c r="C5358" i="1"/>
  <c r="A5358" i="1"/>
  <c r="H5357" i="1"/>
  <c r="C5357" i="1"/>
  <c r="A5357" i="1"/>
  <c r="H5356" i="1"/>
  <c r="C5356" i="1"/>
  <c r="A5356" i="1"/>
  <c r="H5355" i="1"/>
  <c r="C5355" i="1"/>
  <c r="A5355" i="1"/>
  <c r="H5354" i="1"/>
  <c r="C5354" i="1"/>
  <c r="A5354" i="1"/>
  <c r="H5353" i="1"/>
  <c r="C5353" i="1"/>
  <c r="A5353" i="1"/>
  <c r="H5352" i="1"/>
  <c r="C5352" i="1"/>
  <c r="A5352" i="1"/>
  <c r="H5351" i="1"/>
  <c r="C5351" i="1"/>
  <c r="A5351" i="1"/>
  <c r="H5350" i="1"/>
  <c r="C5350" i="1"/>
  <c r="A5350" i="1"/>
  <c r="H5349" i="1"/>
  <c r="C5349" i="1"/>
  <c r="A5349" i="1"/>
  <c r="H5348" i="1"/>
  <c r="C5348" i="1"/>
  <c r="A5348" i="1"/>
  <c r="H5347" i="1"/>
  <c r="C5347" i="1"/>
  <c r="A5347" i="1"/>
  <c r="H5346" i="1"/>
  <c r="C5346" i="1"/>
  <c r="A5346" i="1"/>
  <c r="H5345" i="1"/>
  <c r="C5345" i="1"/>
  <c r="A5345" i="1"/>
  <c r="H5344" i="1"/>
  <c r="C5344" i="1"/>
  <c r="A5344" i="1"/>
  <c r="H5343" i="1"/>
  <c r="C5343" i="1"/>
  <c r="A5343" i="1"/>
  <c r="H5342" i="1"/>
  <c r="C5342" i="1"/>
  <c r="A5342" i="1"/>
  <c r="H5341" i="1"/>
  <c r="C5341" i="1"/>
  <c r="A5341" i="1"/>
  <c r="H5340" i="1"/>
  <c r="C5340" i="1"/>
  <c r="A5340" i="1"/>
  <c r="H5339" i="1"/>
  <c r="C5339" i="1"/>
  <c r="A5339" i="1"/>
  <c r="H5338" i="1"/>
  <c r="C5338" i="1"/>
  <c r="A5338" i="1"/>
  <c r="H5337" i="1"/>
  <c r="C5337" i="1"/>
  <c r="A5337" i="1"/>
  <c r="H5336" i="1"/>
  <c r="C5336" i="1"/>
  <c r="A5336" i="1"/>
  <c r="H5335" i="1"/>
  <c r="C5335" i="1"/>
  <c r="A5335" i="1"/>
  <c r="H5334" i="1"/>
  <c r="C5334" i="1"/>
  <c r="A5334" i="1"/>
  <c r="H5333" i="1"/>
  <c r="C5333" i="1"/>
  <c r="A5333" i="1"/>
  <c r="H5332" i="1"/>
  <c r="C5332" i="1"/>
  <c r="A5332" i="1"/>
  <c r="H5331" i="1"/>
  <c r="C5331" i="1"/>
  <c r="A5331" i="1"/>
  <c r="H5330" i="1"/>
  <c r="C5330" i="1"/>
  <c r="A5330" i="1"/>
  <c r="H5329" i="1"/>
  <c r="C5329" i="1"/>
  <c r="A5329" i="1"/>
  <c r="H5328" i="1"/>
  <c r="C5328" i="1"/>
  <c r="A5328" i="1"/>
  <c r="H5327" i="1"/>
  <c r="C5327" i="1"/>
  <c r="A5327" i="1"/>
  <c r="H5326" i="1"/>
  <c r="C5326" i="1"/>
  <c r="A5326" i="1"/>
  <c r="H5325" i="1"/>
  <c r="C5325" i="1"/>
  <c r="A5325" i="1"/>
  <c r="H5324" i="1"/>
  <c r="C5324" i="1"/>
  <c r="A5324" i="1"/>
  <c r="H5323" i="1"/>
  <c r="C5323" i="1"/>
  <c r="A5323" i="1"/>
  <c r="H5322" i="1"/>
  <c r="C5322" i="1"/>
  <c r="A5322" i="1"/>
  <c r="H5321" i="1"/>
  <c r="C5321" i="1"/>
  <c r="A5321" i="1"/>
  <c r="H5320" i="1"/>
  <c r="C5320" i="1"/>
  <c r="A5320" i="1"/>
  <c r="H5319" i="1"/>
  <c r="C5319" i="1"/>
  <c r="A5319" i="1"/>
  <c r="H5318" i="1"/>
  <c r="C5318" i="1"/>
  <c r="A5318" i="1"/>
  <c r="H5317" i="1"/>
  <c r="C5317" i="1"/>
  <c r="A5317" i="1"/>
  <c r="H5316" i="1"/>
  <c r="C5316" i="1"/>
  <c r="A5316" i="1"/>
  <c r="H5315" i="1"/>
  <c r="C5315" i="1"/>
  <c r="A5315" i="1"/>
  <c r="H5314" i="1"/>
  <c r="C5314" i="1"/>
  <c r="A5314" i="1"/>
  <c r="H5313" i="1"/>
  <c r="C5313" i="1"/>
  <c r="A5313" i="1"/>
  <c r="H5312" i="1"/>
  <c r="C5312" i="1"/>
  <c r="A5312" i="1"/>
  <c r="H5311" i="1"/>
  <c r="C5311" i="1"/>
  <c r="A5311" i="1"/>
  <c r="H5310" i="1"/>
  <c r="C5310" i="1"/>
  <c r="A5310" i="1"/>
  <c r="H5309" i="1"/>
  <c r="C5309" i="1"/>
  <c r="A5309" i="1"/>
  <c r="H5308" i="1"/>
  <c r="C5308" i="1"/>
  <c r="A5308" i="1"/>
  <c r="H5307" i="1"/>
  <c r="C5307" i="1"/>
  <c r="A5307" i="1"/>
  <c r="H5306" i="1"/>
  <c r="C5306" i="1"/>
  <c r="A5306" i="1"/>
  <c r="H5305" i="1"/>
  <c r="C5305" i="1"/>
  <c r="A5305" i="1"/>
  <c r="H5304" i="1"/>
  <c r="C5304" i="1"/>
  <c r="A5304" i="1"/>
  <c r="H5303" i="1"/>
  <c r="C5303" i="1"/>
  <c r="A5303" i="1"/>
  <c r="H5302" i="1"/>
  <c r="C5302" i="1"/>
  <c r="A5302" i="1"/>
  <c r="H5301" i="1"/>
  <c r="C5301" i="1"/>
  <c r="A5301" i="1"/>
  <c r="H5300" i="1"/>
  <c r="C5300" i="1"/>
  <c r="A5300" i="1"/>
  <c r="H5299" i="1"/>
  <c r="C5299" i="1"/>
  <c r="A5299" i="1"/>
  <c r="H5298" i="1"/>
  <c r="C5298" i="1"/>
  <c r="A5298" i="1"/>
  <c r="H5297" i="1"/>
  <c r="C5297" i="1"/>
  <c r="A5297" i="1"/>
  <c r="H5296" i="1"/>
  <c r="C5296" i="1"/>
  <c r="A5296" i="1"/>
  <c r="H5295" i="1"/>
  <c r="C5295" i="1"/>
  <c r="A5295" i="1"/>
  <c r="H5294" i="1"/>
  <c r="C5294" i="1"/>
  <c r="A5294" i="1"/>
  <c r="H5293" i="1"/>
  <c r="C5293" i="1"/>
  <c r="A5293" i="1"/>
  <c r="H5292" i="1"/>
  <c r="C5292" i="1"/>
  <c r="A5292" i="1"/>
  <c r="H5291" i="1"/>
  <c r="C5291" i="1"/>
  <c r="A5291" i="1"/>
  <c r="H5290" i="1"/>
  <c r="C5290" i="1"/>
  <c r="A5290" i="1"/>
  <c r="H5289" i="1"/>
  <c r="C5289" i="1"/>
  <c r="A5289" i="1"/>
  <c r="H5288" i="1"/>
  <c r="C5288" i="1"/>
  <c r="A5288" i="1"/>
  <c r="H5287" i="1"/>
  <c r="C5287" i="1"/>
  <c r="A5287" i="1"/>
  <c r="H5286" i="1"/>
  <c r="C5286" i="1"/>
  <c r="A5286" i="1"/>
  <c r="H5285" i="1"/>
  <c r="C5285" i="1"/>
  <c r="A5285" i="1"/>
  <c r="H5284" i="1"/>
  <c r="C5284" i="1"/>
  <c r="A5284" i="1"/>
  <c r="H5283" i="1"/>
  <c r="C5283" i="1"/>
  <c r="A5283" i="1"/>
  <c r="H5282" i="1"/>
  <c r="C5282" i="1"/>
  <c r="A5282" i="1"/>
  <c r="H5281" i="1"/>
  <c r="C5281" i="1"/>
  <c r="A5281" i="1"/>
  <c r="H5280" i="1"/>
  <c r="C5280" i="1"/>
  <c r="A5280" i="1"/>
  <c r="H5279" i="1"/>
  <c r="C5279" i="1"/>
  <c r="A5279" i="1"/>
  <c r="H5278" i="1"/>
  <c r="C5278" i="1"/>
  <c r="A5278" i="1"/>
  <c r="H5277" i="1"/>
  <c r="C5277" i="1"/>
  <c r="A5277" i="1"/>
  <c r="H5276" i="1"/>
  <c r="C5276" i="1"/>
  <c r="A5276" i="1"/>
  <c r="H5275" i="1"/>
  <c r="C5275" i="1"/>
  <c r="A5275" i="1"/>
  <c r="H5274" i="1"/>
  <c r="C5274" i="1"/>
  <c r="A5274" i="1"/>
  <c r="H5273" i="1"/>
  <c r="C5273" i="1"/>
  <c r="A5273" i="1"/>
  <c r="H5272" i="1"/>
  <c r="C5272" i="1"/>
  <c r="A5272" i="1"/>
  <c r="H5271" i="1"/>
  <c r="C5271" i="1"/>
  <c r="A5271" i="1"/>
  <c r="H5270" i="1"/>
  <c r="C5270" i="1"/>
  <c r="A5270" i="1"/>
  <c r="H5269" i="1"/>
  <c r="C5269" i="1"/>
  <c r="A5269" i="1"/>
  <c r="H5268" i="1"/>
  <c r="C5268" i="1"/>
  <c r="A5268" i="1"/>
  <c r="H5267" i="1"/>
  <c r="C5267" i="1"/>
  <c r="A5267" i="1"/>
  <c r="H5266" i="1"/>
  <c r="C5266" i="1"/>
  <c r="A5266" i="1"/>
  <c r="H5265" i="1"/>
  <c r="C5265" i="1"/>
  <c r="A5265" i="1"/>
  <c r="H5264" i="1"/>
  <c r="C5264" i="1"/>
  <c r="A5264" i="1"/>
  <c r="H5263" i="1"/>
  <c r="C5263" i="1"/>
  <c r="A5263" i="1"/>
  <c r="H5262" i="1"/>
  <c r="C5262" i="1"/>
  <c r="A5262" i="1"/>
  <c r="H5261" i="1"/>
  <c r="C5261" i="1"/>
  <c r="A5261" i="1"/>
  <c r="H5260" i="1"/>
  <c r="C5260" i="1"/>
  <c r="A5260" i="1"/>
  <c r="H5259" i="1"/>
  <c r="C5259" i="1"/>
  <c r="A5259" i="1"/>
  <c r="H5258" i="1"/>
  <c r="C5258" i="1"/>
  <c r="A5258" i="1"/>
  <c r="H5257" i="1"/>
  <c r="C5257" i="1"/>
  <c r="A5257" i="1"/>
  <c r="H5256" i="1"/>
  <c r="C5256" i="1"/>
  <c r="A5256" i="1"/>
  <c r="H5255" i="1"/>
  <c r="C5255" i="1"/>
  <c r="A5255" i="1"/>
  <c r="H5254" i="1"/>
  <c r="C5254" i="1"/>
  <c r="A5254" i="1"/>
  <c r="H5253" i="1"/>
  <c r="C5253" i="1"/>
  <c r="A5253" i="1"/>
  <c r="H5252" i="1"/>
  <c r="C5252" i="1"/>
  <c r="A5252" i="1"/>
  <c r="H5251" i="1"/>
  <c r="C5251" i="1"/>
  <c r="A5251" i="1"/>
  <c r="H5250" i="1"/>
  <c r="C5250" i="1"/>
  <c r="A5250" i="1"/>
  <c r="H5249" i="1"/>
  <c r="C5249" i="1"/>
  <c r="A5249" i="1"/>
  <c r="H5248" i="1"/>
  <c r="C5248" i="1"/>
  <c r="A5248" i="1"/>
  <c r="H5247" i="1"/>
  <c r="C5247" i="1"/>
  <c r="A5247" i="1"/>
  <c r="H5246" i="1"/>
  <c r="C5246" i="1"/>
  <c r="A5246" i="1"/>
  <c r="H5245" i="1"/>
  <c r="C5245" i="1"/>
  <c r="A5245" i="1"/>
  <c r="H5244" i="1"/>
  <c r="C5244" i="1"/>
  <c r="A5244" i="1"/>
  <c r="H5243" i="1"/>
  <c r="C5243" i="1"/>
  <c r="A5243" i="1"/>
  <c r="H5242" i="1"/>
  <c r="C5242" i="1"/>
  <c r="A5242" i="1"/>
  <c r="H5241" i="1"/>
  <c r="C5241" i="1"/>
  <c r="A5241" i="1"/>
  <c r="H5240" i="1"/>
  <c r="C5240" i="1"/>
  <c r="A5240" i="1"/>
  <c r="H5239" i="1"/>
  <c r="C5239" i="1"/>
  <c r="A5239" i="1"/>
  <c r="H5238" i="1"/>
  <c r="C5238" i="1"/>
  <c r="A5238" i="1"/>
  <c r="H5237" i="1"/>
  <c r="C5237" i="1"/>
  <c r="A5237" i="1"/>
  <c r="H5236" i="1"/>
  <c r="C5236" i="1"/>
  <c r="A5236" i="1"/>
  <c r="H5235" i="1"/>
  <c r="C5235" i="1"/>
  <c r="A5235" i="1"/>
  <c r="H5234" i="1"/>
  <c r="C5234" i="1"/>
  <c r="A5234" i="1"/>
  <c r="H5233" i="1"/>
  <c r="C5233" i="1"/>
  <c r="A5233" i="1"/>
  <c r="H5232" i="1"/>
  <c r="C5232" i="1"/>
  <c r="A5232" i="1"/>
  <c r="H5231" i="1"/>
  <c r="C5231" i="1"/>
  <c r="A5231" i="1"/>
  <c r="H5230" i="1"/>
  <c r="C5230" i="1"/>
  <c r="A5230" i="1"/>
  <c r="H5229" i="1"/>
  <c r="C5229" i="1"/>
  <c r="A5229" i="1"/>
  <c r="H5228" i="1"/>
  <c r="C5228" i="1"/>
  <c r="A5228" i="1"/>
  <c r="H5227" i="1"/>
  <c r="C5227" i="1"/>
  <c r="A5227" i="1"/>
  <c r="H5226" i="1"/>
  <c r="C5226" i="1"/>
  <c r="A5226" i="1"/>
  <c r="H5225" i="1"/>
  <c r="C5225" i="1"/>
  <c r="A5225" i="1"/>
  <c r="H5224" i="1"/>
  <c r="C5224" i="1"/>
  <c r="A5224" i="1"/>
  <c r="H5223" i="1"/>
  <c r="C5223" i="1"/>
  <c r="A5223" i="1"/>
  <c r="H5222" i="1"/>
  <c r="C5222" i="1"/>
  <c r="A5222" i="1"/>
  <c r="H5221" i="1"/>
  <c r="C5221" i="1"/>
  <c r="A5221" i="1"/>
  <c r="H5220" i="1"/>
  <c r="C5220" i="1"/>
  <c r="A5220" i="1"/>
  <c r="H5219" i="1"/>
  <c r="C5219" i="1"/>
  <c r="A5219" i="1"/>
  <c r="H5218" i="1"/>
  <c r="C5218" i="1"/>
  <c r="A5218" i="1"/>
  <c r="H5217" i="1"/>
  <c r="C5217" i="1"/>
  <c r="A5217" i="1"/>
  <c r="H5216" i="1"/>
  <c r="C5216" i="1"/>
  <c r="A5216" i="1"/>
  <c r="H5215" i="1"/>
  <c r="C5215" i="1"/>
  <c r="A5215" i="1"/>
  <c r="H5214" i="1"/>
  <c r="C5214" i="1"/>
  <c r="A5214" i="1"/>
  <c r="H5213" i="1"/>
  <c r="C5213" i="1"/>
  <c r="A5213" i="1"/>
  <c r="H5212" i="1"/>
  <c r="C5212" i="1"/>
  <c r="A5212" i="1"/>
  <c r="H5211" i="1"/>
  <c r="C5211" i="1"/>
  <c r="A5211" i="1"/>
  <c r="H5210" i="1"/>
  <c r="C5210" i="1"/>
  <c r="A5210" i="1"/>
  <c r="H5209" i="1"/>
  <c r="C5209" i="1"/>
  <c r="A5209" i="1"/>
  <c r="H5208" i="1"/>
  <c r="C5208" i="1"/>
  <c r="A5208" i="1"/>
  <c r="H5207" i="1"/>
  <c r="C5207" i="1"/>
  <c r="A5207" i="1"/>
  <c r="H5206" i="1"/>
  <c r="C5206" i="1"/>
  <c r="A5206" i="1"/>
  <c r="H5205" i="1"/>
  <c r="C5205" i="1"/>
  <c r="A5205" i="1"/>
  <c r="H5204" i="1"/>
  <c r="C5204" i="1"/>
  <c r="A5204" i="1"/>
  <c r="H5203" i="1"/>
  <c r="C5203" i="1"/>
  <c r="A5203" i="1"/>
  <c r="H5202" i="1"/>
  <c r="C5202" i="1"/>
  <c r="A5202" i="1"/>
  <c r="H5201" i="1"/>
  <c r="C5201" i="1"/>
  <c r="A5201" i="1"/>
  <c r="H5200" i="1"/>
  <c r="C5200" i="1"/>
  <c r="A5200" i="1"/>
  <c r="H5199" i="1"/>
  <c r="C5199" i="1"/>
  <c r="A5199" i="1"/>
  <c r="H5198" i="1"/>
  <c r="C5198" i="1"/>
  <c r="A5198" i="1"/>
  <c r="H5197" i="1"/>
  <c r="C5197" i="1"/>
  <c r="A5197" i="1"/>
  <c r="H5196" i="1"/>
  <c r="C5196" i="1"/>
  <c r="A5196" i="1"/>
  <c r="H5195" i="1"/>
  <c r="C5195" i="1"/>
  <c r="A5195" i="1"/>
  <c r="H5194" i="1"/>
  <c r="C5194" i="1"/>
  <c r="A5194" i="1"/>
  <c r="H5193" i="1"/>
  <c r="C5193" i="1"/>
  <c r="A5193" i="1"/>
  <c r="H5192" i="1"/>
  <c r="C5192" i="1"/>
  <c r="A5192" i="1"/>
  <c r="H5191" i="1"/>
  <c r="C5191" i="1"/>
  <c r="A5191" i="1"/>
  <c r="H5190" i="1"/>
  <c r="C5190" i="1"/>
  <c r="A5190" i="1"/>
  <c r="H5189" i="1"/>
  <c r="C5189" i="1"/>
  <c r="A5189" i="1"/>
  <c r="H5188" i="1"/>
  <c r="C5188" i="1"/>
  <c r="A5188" i="1"/>
  <c r="H5187" i="1"/>
  <c r="C5187" i="1"/>
  <c r="A5187" i="1"/>
  <c r="H5186" i="1"/>
  <c r="C5186" i="1"/>
  <c r="A5186" i="1"/>
  <c r="H5185" i="1"/>
  <c r="C5185" i="1"/>
  <c r="A5185" i="1"/>
  <c r="H5184" i="1"/>
  <c r="C5184" i="1"/>
  <c r="A5184" i="1"/>
  <c r="H5183" i="1"/>
  <c r="C5183" i="1"/>
  <c r="A5183" i="1"/>
  <c r="H5182" i="1"/>
  <c r="C5182" i="1"/>
  <c r="A5182" i="1"/>
  <c r="H5181" i="1"/>
  <c r="C5181" i="1"/>
  <c r="A5181" i="1"/>
  <c r="H5180" i="1"/>
  <c r="C5180" i="1"/>
  <c r="A5180" i="1"/>
  <c r="H5179" i="1"/>
  <c r="C5179" i="1"/>
  <c r="A5179" i="1"/>
  <c r="H5178" i="1"/>
  <c r="C5178" i="1"/>
  <c r="A5178" i="1"/>
  <c r="H5177" i="1"/>
  <c r="C5177" i="1"/>
  <c r="A5177" i="1"/>
  <c r="H5176" i="1"/>
  <c r="C5176" i="1"/>
  <c r="A5176" i="1"/>
  <c r="H5175" i="1"/>
  <c r="C5175" i="1"/>
  <c r="A5175" i="1"/>
  <c r="H5174" i="1"/>
  <c r="C5174" i="1"/>
  <c r="A5174" i="1"/>
  <c r="H5173" i="1"/>
  <c r="C5173" i="1"/>
  <c r="A5173" i="1"/>
  <c r="H5172" i="1"/>
  <c r="C5172" i="1"/>
  <c r="A5172" i="1"/>
  <c r="H5171" i="1"/>
  <c r="C5171" i="1"/>
  <c r="A5171" i="1"/>
  <c r="H5170" i="1"/>
  <c r="C5170" i="1"/>
  <c r="A5170" i="1"/>
  <c r="H5169" i="1"/>
  <c r="C5169" i="1"/>
  <c r="A5169" i="1"/>
  <c r="H5168" i="1"/>
  <c r="C5168" i="1"/>
  <c r="A5168" i="1"/>
  <c r="H5167" i="1"/>
  <c r="C5167" i="1"/>
  <c r="A5167" i="1"/>
  <c r="H5166" i="1"/>
  <c r="C5166" i="1"/>
  <c r="A5166" i="1"/>
  <c r="H5165" i="1"/>
  <c r="C5165" i="1"/>
  <c r="A5165" i="1"/>
  <c r="H5164" i="1"/>
  <c r="C5164" i="1"/>
  <c r="A5164" i="1"/>
  <c r="H5163" i="1"/>
  <c r="C5163" i="1"/>
  <c r="A5163" i="1"/>
  <c r="H5162" i="1"/>
  <c r="C5162" i="1"/>
  <c r="A5162" i="1"/>
  <c r="H5161" i="1"/>
  <c r="C5161" i="1"/>
  <c r="A5161" i="1"/>
  <c r="H5160" i="1"/>
  <c r="C5160" i="1"/>
  <c r="A5160" i="1"/>
  <c r="H5159" i="1"/>
  <c r="C5159" i="1"/>
  <c r="A5159" i="1"/>
  <c r="H5158" i="1"/>
  <c r="C5158" i="1"/>
  <c r="A5158" i="1"/>
  <c r="H5157" i="1"/>
  <c r="C5157" i="1"/>
  <c r="A5157" i="1"/>
  <c r="H5156" i="1"/>
  <c r="C5156" i="1"/>
  <c r="A5156" i="1"/>
  <c r="H5155" i="1"/>
  <c r="C5155" i="1"/>
  <c r="A5155" i="1"/>
  <c r="H5154" i="1"/>
  <c r="C5154" i="1"/>
  <c r="A5154" i="1"/>
  <c r="H5153" i="1"/>
  <c r="C5153" i="1"/>
  <c r="A5153" i="1"/>
  <c r="H5152" i="1"/>
  <c r="C5152" i="1"/>
  <c r="A5152" i="1"/>
  <c r="H5151" i="1"/>
  <c r="C5151" i="1"/>
  <c r="A5151" i="1"/>
  <c r="H5150" i="1"/>
  <c r="C5150" i="1"/>
  <c r="A5150" i="1"/>
  <c r="H5149" i="1"/>
  <c r="C5149" i="1"/>
  <c r="A5149" i="1"/>
  <c r="H5148" i="1"/>
  <c r="C5148" i="1"/>
  <c r="A5148" i="1"/>
  <c r="H5147" i="1"/>
  <c r="C5147" i="1"/>
  <c r="A5147" i="1"/>
  <c r="H5146" i="1"/>
  <c r="C5146" i="1"/>
  <c r="A5146" i="1"/>
  <c r="H5145" i="1"/>
  <c r="C5145" i="1"/>
  <c r="A5145" i="1"/>
  <c r="H5144" i="1"/>
  <c r="C5144" i="1"/>
  <c r="A5144" i="1"/>
  <c r="H5143" i="1"/>
  <c r="C5143" i="1"/>
  <c r="A5143" i="1"/>
  <c r="H5142" i="1"/>
  <c r="C5142" i="1"/>
  <c r="A5142" i="1"/>
  <c r="H5141" i="1"/>
  <c r="C5141" i="1"/>
  <c r="A5141" i="1"/>
  <c r="H5140" i="1"/>
  <c r="C5140" i="1"/>
  <c r="A5140" i="1"/>
  <c r="H5139" i="1"/>
  <c r="C5139" i="1"/>
  <c r="A5139" i="1"/>
  <c r="H5138" i="1"/>
  <c r="C5138" i="1"/>
  <c r="A5138" i="1"/>
  <c r="H5137" i="1"/>
  <c r="C5137" i="1"/>
  <c r="A5137" i="1"/>
  <c r="H5136" i="1"/>
  <c r="C5136" i="1"/>
  <c r="A5136" i="1"/>
  <c r="H5135" i="1"/>
  <c r="C5135" i="1"/>
  <c r="A5135" i="1"/>
  <c r="H5134" i="1"/>
  <c r="C5134" i="1"/>
  <c r="A5134" i="1"/>
  <c r="H5133" i="1"/>
  <c r="C5133" i="1"/>
  <c r="A5133" i="1"/>
  <c r="H5132" i="1"/>
  <c r="C5132" i="1"/>
  <c r="A5132" i="1"/>
  <c r="H5131" i="1"/>
  <c r="C5131" i="1"/>
  <c r="A5131" i="1"/>
  <c r="H5130" i="1"/>
  <c r="C5130" i="1"/>
  <c r="A5130" i="1"/>
  <c r="H5129" i="1"/>
  <c r="C5129" i="1"/>
  <c r="A5129" i="1"/>
  <c r="H5128" i="1"/>
  <c r="C5128" i="1"/>
  <c r="A5128" i="1"/>
  <c r="H5127" i="1"/>
  <c r="C5127" i="1"/>
  <c r="A5127" i="1"/>
  <c r="H5126" i="1"/>
  <c r="C5126" i="1"/>
  <c r="A5126" i="1"/>
  <c r="H5125" i="1"/>
  <c r="C5125" i="1"/>
  <c r="A5125" i="1"/>
  <c r="H5124" i="1"/>
  <c r="C5124" i="1"/>
  <c r="A5124" i="1"/>
  <c r="H5123" i="1"/>
  <c r="C5123" i="1"/>
  <c r="A5123" i="1"/>
  <c r="H5122" i="1"/>
  <c r="C5122" i="1"/>
  <c r="A5122" i="1"/>
  <c r="H5121" i="1"/>
  <c r="C5121" i="1"/>
  <c r="A5121" i="1"/>
  <c r="H5120" i="1"/>
  <c r="C5120" i="1"/>
  <c r="A5120" i="1"/>
  <c r="H5119" i="1"/>
  <c r="C5119" i="1"/>
  <c r="A5119" i="1"/>
  <c r="H5118" i="1"/>
  <c r="C5118" i="1"/>
  <c r="A5118" i="1"/>
  <c r="H5117" i="1"/>
  <c r="C5117" i="1"/>
  <c r="A5117" i="1"/>
  <c r="H5116" i="1"/>
  <c r="C5116" i="1"/>
  <c r="A5116" i="1"/>
  <c r="H5115" i="1"/>
  <c r="C5115" i="1"/>
  <c r="A5115" i="1"/>
  <c r="H5114" i="1"/>
  <c r="C5114" i="1"/>
  <c r="A5114" i="1"/>
  <c r="H5113" i="1"/>
  <c r="C5113" i="1"/>
  <c r="A5113" i="1"/>
  <c r="H5112" i="1"/>
  <c r="C5112" i="1"/>
  <c r="A5112" i="1"/>
  <c r="H5111" i="1"/>
  <c r="C5111" i="1"/>
  <c r="A5111" i="1"/>
  <c r="H5110" i="1"/>
  <c r="C5110" i="1"/>
  <c r="A5110" i="1"/>
  <c r="H5109" i="1"/>
  <c r="C5109" i="1"/>
  <c r="A5109" i="1"/>
  <c r="H5108" i="1"/>
  <c r="C5108" i="1"/>
  <c r="A5108" i="1"/>
  <c r="H5107" i="1"/>
  <c r="C5107" i="1"/>
  <c r="A5107" i="1"/>
  <c r="H5106" i="1"/>
  <c r="C5106" i="1"/>
  <c r="A5106" i="1"/>
  <c r="H5105" i="1"/>
  <c r="C5105" i="1"/>
  <c r="A5105" i="1"/>
  <c r="H5104" i="1"/>
  <c r="C5104" i="1"/>
  <c r="A5104" i="1"/>
  <c r="H5103" i="1"/>
  <c r="C5103" i="1"/>
  <c r="A5103" i="1"/>
  <c r="H5102" i="1"/>
  <c r="C5102" i="1"/>
  <c r="A5102" i="1"/>
  <c r="H5101" i="1"/>
  <c r="C5101" i="1"/>
  <c r="A5101" i="1"/>
  <c r="H5100" i="1"/>
  <c r="C5100" i="1"/>
  <c r="A5100" i="1"/>
  <c r="H5099" i="1"/>
  <c r="C5099" i="1"/>
  <c r="A5099" i="1"/>
  <c r="H5098" i="1"/>
  <c r="C5098" i="1"/>
  <c r="A5098" i="1"/>
  <c r="H5097" i="1"/>
  <c r="C5097" i="1"/>
  <c r="A5097" i="1"/>
  <c r="H5096" i="1"/>
  <c r="C5096" i="1"/>
  <c r="A5096" i="1"/>
  <c r="H5095" i="1"/>
  <c r="C5095" i="1"/>
  <c r="A5095" i="1"/>
  <c r="H5094" i="1"/>
  <c r="C5094" i="1"/>
  <c r="A5094" i="1"/>
  <c r="H5093" i="1"/>
  <c r="C5093" i="1"/>
  <c r="A5093" i="1"/>
  <c r="H5092" i="1"/>
  <c r="C5092" i="1"/>
  <c r="A5092" i="1"/>
  <c r="H5091" i="1"/>
  <c r="C5091" i="1"/>
  <c r="A5091" i="1"/>
  <c r="H5090" i="1"/>
  <c r="C5090" i="1"/>
  <c r="A5090" i="1"/>
  <c r="H5089" i="1"/>
  <c r="C5089" i="1"/>
  <c r="A5089" i="1"/>
  <c r="H5088" i="1"/>
  <c r="C5088" i="1"/>
  <c r="A5088" i="1"/>
  <c r="H5087" i="1"/>
  <c r="C5087" i="1"/>
  <c r="A5087" i="1"/>
  <c r="H5086" i="1"/>
  <c r="C5086" i="1"/>
  <c r="A5086" i="1"/>
  <c r="H5085" i="1"/>
  <c r="C5085" i="1"/>
  <c r="A5085" i="1"/>
  <c r="H5084" i="1"/>
  <c r="C5084" i="1"/>
  <c r="A5084" i="1"/>
  <c r="H5083" i="1"/>
  <c r="C5083" i="1"/>
  <c r="A5083" i="1"/>
  <c r="H5082" i="1"/>
  <c r="C5082" i="1"/>
  <c r="A5082" i="1"/>
  <c r="H5081" i="1"/>
  <c r="C5081" i="1"/>
  <c r="A5081" i="1"/>
  <c r="H5080" i="1"/>
  <c r="C5080" i="1"/>
  <c r="A5080" i="1"/>
  <c r="H5079" i="1"/>
  <c r="C5079" i="1"/>
  <c r="A5079" i="1"/>
  <c r="H5078" i="1"/>
  <c r="C5078" i="1"/>
  <c r="A5078" i="1"/>
  <c r="H5077" i="1"/>
  <c r="C5077" i="1"/>
  <c r="A5077" i="1"/>
  <c r="H5076" i="1"/>
  <c r="C5076" i="1"/>
  <c r="A5076" i="1"/>
  <c r="H5075" i="1"/>
  <c r="C5075" i="1"/>
  <c r="A5075" i="1"/>
  <c r="H5074" i="1"/>
  <c r="C5074" i="1"/>
  <c r="A5074" i="1"/>
  <c r="H5073" i="1"/>
  <c r="C5073" i="1"/>
  <c r="A5073" i="1"/>
  <c r="H5072" i="1"/>
  <c r="C5072" i="1"/>
  <c r="A5072" i="1"/>
  <c r="H5071" i="1"/>
  <c r="C5071" i="1"/>
  <c r="A5071" i="1"/>
  <c r="H5070" i="1"/>
  <c r="C5070" i="1"/>
  <c r="A5070" i="1"/>
  <c r="H5069" i="1"/>
  <c r="C5069" i="1"/>
  <c r="A5069" i="1"/>
  <c r="H5068" i="1"/>
  <c r="C5068" i="1"/>
  <c r="A5068" i="1"/>
  <c r="H5067" i="1"/>
  <c r="C5067" i="1"/>
  <c r="A5067" i="1"/>
  <c r="H5066" i="1"/>
  <c r="C5066" i="1"/>
  <c r="A5066" i="1"/>
  <c r="H5065" i="1"/>
  <c r="C5065" i="1"/>
  <c r="A5065" i="1"/>
  <c r="H5064" i="1"/>
  <c r="C5064" i="1"/>
  <c r="A5064" i="1"/>
  <c r="H5063" i="1"/>
  <c r="C5063" i="1"/>
  <c r="A5063" i="1"/>
  <c r="H5062" i="1"/>
  <c r="C5062" i="1"/>
  <c r="A5062" i="1"/>
  <c r="H5061" i="1"/>
  <c r="C5061" i="1"/>
  <c r="A5061" i="1"/>
  <c r="H5060" i="1"/>
  <c r="C5060" i="1"/>
  <c r="A5060" i="1"/>
  <c r="H5059" i="1"/>
  <c r="C5059" i="1"/>
  <c r="A5059" i="1"/>
  <c r="H5058" i="1"/>
  <c r="C5058" i="1"/>
  <c r="A5058" i="1"/>
  <c r="H5057" i="1"/>
  <c r="C5057" i="1"/>
  <c r="A5057" i="1"/>
  <c r="H5056" i="1"/>
  <c r="C5056" i="1"/>
  <c r="A5056" i="1"/>
  <c r="H5055" i="1"/>
  <c r="C5055" i="1"/>
  <c r="A5055" i="1"/>
  <c r="H5054" i="1"/>
  <c r="C5054" i="1"/>
  <c r="A5054" i="1"/>
  <c r="H5053" i="1"/>
  <c r="C5053" i="1"/>
  <c r="A5053" i="1"/>
  <c r="H5052" i="1"/>
  <c r="C5052" i="1"/>
  <c r="A5052" i="1"/>
  <c r="H5051" i="1"/>
  <c r="C5051" i="1"/>
  <c r="A5051" i="1"/>
  <c r="H5050" i="1"/>
  <c r="C5050" i="1"/>
  <c r="A5050" i="1"/>
  <c r="H5049" i="1"/>
  <c r="C5049" i="1"/>
  <c r="A5049" i="1"/>
  <c r="H5048" i="1"/>
  <c r="C5048" i="1"/>
  <c r="A5048" i="1"/>
  <c r="H5047" i="1"/>
  <c r="C5047" i="1"/>
  <c r="A5047" i="1"/>
  <c r="H5046" i="1"/>
  <c r="C5046" i="1"/>
  <c r="A5046" i="1"/>
  <c r="H5045" i="1"/>
  <c r="C5045" i="1"/>
  <c r="A5045" i="1"/>
  <c r="H5044" i="1"/>
  <c r="C5044" i="1"/>
  <c r="A5044" i="1"/>
  <c r="H5043" i="1"/>
  <c r="C5043" i="1"/>
  <c r="A5043" i="1"/>
  <c r="H5042" i="1"/>
  <c r="C5042" i="1"/>
  <c r="A5042" i="1"/>
  <c r="H5041" i="1"/>
  <c r="C5041" i="1"/>
  <c r="A5041" i="1"/>
  <c r="H5040" i="1"/>
  <c r="C5040" i="1"/>
  <c r="A5040" i="1"/>
  <c r="H5039" i="1"/>
  <c r="C5039" i="1"/>
  <c r="A5039" i="1"/>
  <c r="H5038" i="1"/>
  <c r="C5038" i="1"/>
  <c r="A5038" i="1"/>
  <c r="H5037" i="1"/>
  <c r="C5037" i="1"/>
  <c r="A5037" i="1"/>
  <c r="H5036" i="1"/>
  <c r="C5036" i="1"/>
  <c r="A5036" i="1"/>
  <c r="H5035" i="1"/>
  <c r="C5035" i="1"/>
  <c r="A5035" i="1"/>
  <c r="H5034" i="1"/>
  <c r="C5034" i="1"/>
  <c r="A5034" i="1"/>
  <c r="H5033" i="1"/>
  <c r="C5033" i="1"/>
  <c r="A5033" i="1"/>
  <c r="H5032" i="1"/>
  <c r="C5032" i="1"/>
  <c r="A5032" i="1"/>
  <c r="H5031" i="1"/>
  <c r="C5031" i="1"/>
  <c r="A5031" i="1"/>
  <c r="H5030" i="1"/>
  <c r="C5030" i="1"/>
  <c r="A5030" i="1"/>
  <c r="H5029" i="1"/>
  <c r="C5029" i="1"/>
  <c r="A5029" i="1"/>
  <c r="H5028" i="1"/>
  <c r="C5028" i="1"/>
  <c r="A5028" i="1"/>
  <c r="H5027" i="1"/>
  <c r="C5027" i="1"/>
  <c r="A5027" i="1"/>
  <c r="H5026" i="1"/>
  <c r="C5026" i="1"/>
  <c r="A5026" i="1"/>
  <c r="H5025" i="1"/>
  <c r="C5025" i="1"/>
  <c r="A5025" i="1"/>
  <c r="H5024" i="1"/>
  <c r="C5024" i="1"/>
  <c r="A5024" i="1"/>
  <c r="H5023" i="1"/>
  <c r="C5023" i="1"/>
  <c r="A5023" i="1"/>
  <c r="H5022" i="1"/>
  <c r="C5022" i="1"/>
  <c r="A5022" i="1"/>
  <c r="H5021" i="1"/>
  <c r="C5021" i="1"/>
  <c r="A5021" i="1"/>
  <c r="H5020" i="1"/>
  <c r="C5020" i="1"/>
  <c r="A5020" i="1"/>
  <c r="H5019" i="1"/>
  <c r="C5019" i="1"/>
  <c r="A5019" i="1"/>
  <c r="H5018" i="1"/>
  <c r="C5018" i="1"/>
  <c r="A5018" i="1"/>
  <c r="H5017" i="1"/>
  <c r="C5017" i="1"/>
  <c r="A5017" i="1"/>
  <c r="H5016" i="1"/>
  <c r="C5016" i="1"/>
  <c r="A5016" i="1"/>
  <c r="H5015" i="1"/>
  <c r="C5015" i="1"/>
  <c r="A5015" i="1"/>
  <c r="H5014" i="1"/>
  <c r="C5014" i="1"/>
  <c r="A5014" i="1"/>
  <c r="H5013" i="1"/>
  <c r="C5013" i="1"/>
  <c r="A5013" i="1"/>
  <c r="H5012" i="1"/>
  <c r="C5012" i="1"/>
  <c r="A5012" i="1"/>
  <c r="H5011" i="1"/>
  <c r="C5011" i="1"/>
  <c r="A5011" i="1"/>
  <c r="H5010" i="1"/>
  <c r="C5010" i="1"/>
  <c r="A5010" i="1"/>
  <c r="H5009" i="1"/>
  <c r="C5009" i="1"/>
  <c r="A5009" i="1"/>
  <c r="H5008" i="1"/>
  <c r="C5008" i="1"/>
  <c r="A5008" i="1"/>
  <c r="H5007" i="1"/>
  <c r="C5007" i="1"/>
  <c r="A5007" i="1"/>
  <c r="H5006" i="1"/>
  <c r="C5006" i="1"/>
  <c r="A5006" i="1"/>
  <c r="H5005" i="1"/>
  <c r="C5005" i="1"/>
  <c r="A5005" i="1"/>
  <c r="H5004" i="1"/>
  <c r="C5004" i="1"/>
  <c r="A5004" i="1"/>
  <c r="H5003" i="1"/>
  <c r="C5003" i="1"/>
  <c r="A5003" i="1"/>
  <c r="H5002" i="1"/>
  <c r="C5002" i="1"/>
  <c r="A5002" i="1"/>
  <c r="H5001" i="1"/>
  <c r="C5001" i="1"/>
  <c r="A5001" i="1"/>
  <c r="H5000" i="1"/>
  <c r="C5000" i="1"/>
  <c r="A5000" i="1"/>
  <c r="H4999" i="1"/>
  <c r="C4999" i="1"/>
  <c r="A4999" i="1"/>
  <c r="H4998" i="1"/>
  <c r="C4998" i="1"/>
  <c r="A4998" i="1"/>
  <c r="H4997" i="1"/>
  <c r="C4997" i="1"/>
  <c r="A4997" i="1"/>
  <c r="H4996" i="1"/>
  <c r="C4996" i="1"/>
  <c r="A4996" i="1"/>
  <c r="H4995" i="1"/>
  <c r="C4995" i="1"/>
  <c r="A4995" i="1"/>
  <c r="H4994" i="1"/>
  <c r="C4994" i="1"/>
  <c r="A4994" i="1"/>
  <c r="H4993" i="1"/>
  <c r="C4993" i="1"/>
  <c r="A4993" i="1"/>
  <c r="H4992" i="1"/>
  <c r="C4992" i="1"/>
  <c r="A4992" i="1"/>
  <c r="H4991" i="1"/>
  <c r="C4991" i="1"/>
  <c r="A4991" i="1"/>
  <c r="H4990" i="1"/>
  <c r="C4990" i="1"/>
  <c r="A4990" i="1"/>
  <c r="H4989" i="1"/>
  <c r="C4989" i="1"/>
  <c r="A4989" i="1"/>
  <c r="H4988" i="1"/>
  <c r="C4988" i="1"/>
  <c r="A4988" i="1"/>
  <c r="H4987" i="1"/>
  <c r="C4987" i="1"/>
  <c r="A4987" i="1"/>
  <c r="H4986" i="1"/>
  <c r="C4986" i="1"/>
  <c r="A4986" i="1"/>
  <c r="H4985" i="1"/>
  <c r="C4985" i="1"/>
  <c r="A4985" i="1"/>
  <c r="H4984" i="1"/>
  <c r="C4984" i="1"/>
  <c r="A4984" i="1"/>
  <c r="H4983" i="1"/>
  <c r="C4983" i="1"/>
  <c r="A4983" i="1"/>
  <c r="H4982" i="1"/>
  <c r="C4982" i="1"/>
  <c r="A4982" i="1"/>
  <c r="H4981" i="1"/>
  <c r="C4981" i="1"/>
  <c r="A4981" i="1"/>
  <c r="H4980" i="1"/>
  <c r="C4980" i="1"/>
  <c r="A4980" i="1"/>
  <c r="H4979" i="1"/>
  <c r="C4979" i="1"/>
  <c r="A4979" i="1"/>
  <c r="H4978" i="1"/>
  <c r="C4978" i="1"/>
  <c r="A4978" i="1"/>
  <c r="H4977" i="1"/>
  <c r="C4977" i="1"/>
  <c r="A4977" i="1"/>
  <c r="H4976" i="1"/>
  <c r="C4976" i="1"/>
  <c r="A4976" i="1"/>
  <c r="H4975" i="1"/>
  <c r="C4975" i="1"/>
  <c r="A4975" i="1"/>
  <c r="H4974" i="1"/>
  <c r="C4974" i="1"/>
  <c r="A4974" i="1"/>
  <c r="H4973" i="1"/>
  <c r="C4973" i="1"/>
  <c r="A4973" i="1"/>
  <c r="H4972" i="1"/>
  <c r="C4972" i="1"/>
  <c r="A4972" i="1"/>
  <c r="H4971" i="1"/>
  <c r="C4971" i="1"/>
  <c r="A4971" i="1"/>
  <c r="H4970" i="1"/>
  <c r="C4970" i="1"/>
  <c r="A4970" i="1"/>
  <c r="H4969" i="1"/>
  <c r="C4969" i="1"/>
  <c r="A4969" i="1"/>
  <c r="H4968" i="1"/>
  <c r="C4968" i="1"/>
  <c r="A4968" i="1"/>
  <c r="H4967" i="1"/>
  <c r="C4967" i="1"/>
  <c r="A4967" i="1"/>
  <c r="H4966" i="1"/>
  <c r="C4966" i="1"/>
  <c r="A4966" i="1"/>
  <c r="H4965" i="1"/>
  <c r="C4965" i="1"/>
  <c r="A4965" i="1"/>
  <c r="H4964" i="1"/>
  <c r="C4964" i="1"/>
  <c r="A4964" i="1"/>
  <c r="H4963" i="1"/>
  <c r="C4963" i="1"/>
  <c r="A4963" i="1"/>
  <c r="H4962" i="1"/>
  <c r="C4962" i="1"/>
  <c r="A4962" i="1"/>
  <c r="H4961" i="1"/>
  <c r="C4961" i="1"/>
  <c r="A4961" i="1"/>
  <c r="H4960" i="1"/>
  <c r="C4960" i="1"/>
  <c r="A4960" i="1"/>
  <c r="H4959" i="1"/>
  <c r="C4959" i="1"/>
  <c r="A4959" i="1"/>
  <c r="H4958" i="1"/>
  <c r="C4958" i="1"/>
  <c r="A4958" i="1"/>
  <c r="H4957" i="1"/>
  <c r="C4957" i="1"/>
  <c r="A4957" i="1"/>
  <c r="H4956" i="1"/>
  <c r="C4956" i="1"/>
  <c r="A4956" i="1"/>
  <c r="H4955" i="1"/>
  <c r="C4955" i="1"/>
  <c r="A4955" i="1"/>
  <c r="H4954" i="1"/>
  <c r="C4954" i="1"/>
  <c r="A4954" i="1"/>
  <c r="H4953" i="1"/>
  <c r="C4953" i="1"/>
  <c r="A4953" i="1"/>
  <c r="H4952" i="1"/>
  <c r="C4952" i="1"/>
  <c r="A4952" i="1"/>
  <c r="H4951" i="1"/>
  <c r="C4951" i="1"/>
  <c r="A4951" i="1"/>
  <c r="H4950" i="1"/>
  <c r="C4950" i="1"/>
  <c r="A4950" i="1"/>
  <c r="H4949" i="1"/>
  <c r="C4949" i="1"/>
  <c r="A4949" i="1"/>
  <c r="H4948" i="1"/>
  <c r="C4948" i="1"/>
  <c r="A4948" i="1"/>
  <c r="H4947" i="1"/>
  <c r="C4947" i="1"/>
  <c r="A4947" i="1"/>
  <c r="H4946" i="1"/>
  <c r="C4946" i="1"/>
  <c r="A4946" i="1"/>
  <c r="H4945" i="1"/>
  <c r="C4945" i="1"/>
  <c r="A4945" i="1"/>
  <c r="H4944" i="1"/>
  <c r="C4944" i="1"/>
  <c r="A4944" i="1"/>
  <c r="H4943" i="1"/>
  <c r="C4943" i="1"/>
  <c r="A4943" i="1"/>
  <c r="H4942" i="1"/>
  <c r="C4942" i="1"/>
  <c r="A4942" i="1"/>
  <c r="H4941" i="1"/>
  <c r="C4941" i="1"/>
  <c r="A4941" i="1"/>
  <c r="H4940" i="1"/>
  <c r="C4940" i="1"/>
  <c r="A4940" i="1"/>
  <c r="H4939" i="1"/>
  <c r="C4939" i="1"/>
  <c r="A4939" i="1"/>
  <c r="H4938" i="1"/>
  <c r="C4938" i="1"/>
  <c r="A4938" i="1"/>
  <c r="H4937" i="1"/>
  <c r="C4937" i="1"/>
  <c r="A4937" i="1"/>
  <c r="H4936" i="1"/>
  <c r="C4936" i="1"/>
  <c r="A4936" i="1"/>
  <c r="H4935" i="1"/>
  <c r="C4935" i="1"/>
  <c r="A4935" i="1"/>
  <c r="H4934" i="1"/>
  <c r="C4934" i="1"/>
  <c r="A4934" i="1"/>
  <c r="H4933" i="1"/>
  <c r="C4933" i="1"/>
  <c r="A4933" i="1"/>
  <c r="H4932" i="1"/>
  <c r="C4932" i="1"/>
  <c r="A4932" i="1"/>
  <c r="H4931" i="1"/>
  <c r="C4931" i="1"/>
  <c r="A4931" i="1"/>
  <c r="H4930" i="1"/>
  <c r="C4930" i="1"/>
  <c r="A4930" i="1"/>
  <c r="H4929" i="1"/>
  <c r="C4929" i="1"/>
  <c r="A4929" i="1"/>
  <c r="H4928" i="1"/>
  <c r="C4928" i="1"/>
  <c r="A4928" i="1"/>
  <c r="H4927" i="1"/>
  <c r="C4927" i="1"/>
  <c r="A4927" i="1"/>
  <c r="H4926" i="1"/>
  <c r="C4926" i="1"/>
  <c r="A4926" i="1"/>
  <c r="H4925" i="1"/>
  <c r="C4925" i="1"/>
  <c r="A4925" i="1"/>
  <c r="H4924" i="1"/>
  <c r="C4924" i="1"/>
  <c r="A4924" i="1"/>
  <c r="H4923" i="1"/>
  <c r="C4923" i="1"/>
  <c r="A4923" i="1"/>
  <c r="H4922" i="1"/>
  <c r="C4922" i="1"/>
  <c r="A4922" i="1"/>
  <c r="H4921" i="1"/>
  <c r="C4921" i="1"/>
  <c r="A4921" i="1"/>
  <c r="H4920" i="1"/>
  <c r="C4920" i="1"/>
  <c r="A4920" i="1"/>
  <c r="H4919" i="1"/>
  <c r="C4919" i="1"/>
  <c r="A4919" i="1"/>
  <c r="H4918" i="1"/>
  <c r="C4918" i="1"/>
  <c r="A4918" i="1"/>
  <c r="H4917" i="1"/>
  <c r="C4917" i="1"/>
  <c r="A4917" i="1"/>
  <c r="H4916" i="1"/>
  <c r="C4916" i="1"/>
  <c r="A4916" i="1"/>
  <c r="H4915" i="1"/>
  <c r="C4915" i="1"/>
  <c r="A4915" i="1"/>
  <c r="H4914" i="1"/>
  <c r="C4914" i="1"/>
  <c r="A4914" i="1"/>
  <c r="H4913" i="1"/>
  <c r="C4913" i="1"/>
  <c r="A4913" i="1"/>
  <c r="H4912" i="1"/>
  <c r="C4912" i="1"/>
  <c r="A4912" i="1"/>
  <c r="H4911" i="1"/>
  <c r="C4911" i="1"/>
  <c r="A4911" i="1"/>
  <c r="H4910" i="1"/>
  <c r="C4910" i="1"/>
  <c r="A4910" i="1"/>
  <c r="H4909" i="1"/>
  <c r="C4909" i="1"/>
  <c r="A4909" i="1"/>
  <c r="H4908" i="1"/>
  <c r="C4908" i="1"/>
  <c r="A4908" i="1"/>
  <c r="H4907" i="1"/>
  <c r="C4907" i="1"/>
  <c r="A4907" i="1"/>
  <c r="H4906" i="1"/>
  <c r="C4906" i="1"/>
  <c r="A4906" i="1"/>
  <c r="H4905" i="1"/>
  <c r="C4905" i="1"/>
  <c r="A4905" i="1"/>
  <c r="H4904" i="1"/>
  <c r="C4904" i="1"/>
  <c r="A4904" i="1"/>
  <c r="H4903" i="1"/>
  <c r="C4903" i="1"/>
  <c r="A4903" i="1"/>
  <c r="H4902" i="1"/>
  <c r="C4902" i="1"/>
  <c r="A4902" i="1"/>
  <c r="H4901" i="1"/>
  <c r="C4901" i="1"/>
  <c r="A4901" i="1"/>
  <c r="H4900" i="1"/>
  <c r="C4900" i="1"/>
  <c r="A4900" i="1"/>
  <c r="H4899" i="1"/>
  <c r="C4899" i="1"/>
  <c r="A4899" i="1"/>
  <c r="H4898" i="1"/>
  <c r="C4898" i="1"/>
  <c r="A4898" i="1"/>
  <c r="H4897" i="1"/>
  <c r="C4897" i="1"/>
  <c r="A4897" i="1"/>
  <c r="H4896" i="1"/>
  <c r="C4896" i="1"/>
  <c r="A4896" i="1"/>
  <c r="H4895" i="1"/>
  <c r="C4895" i="1"/>
  <c r="A4895" i="1"/>
  <c r="H4894" i="1"/>
  <c r="C4894" i="1"/>
  <c r="A4894" i="1"/>
  <c r="H4893" i="1"/>
  <c r="C4893" i="1"/>
  <c r="A4893" i="1"/>
  <c r="H4892" i="1"/>
  <c r="C4892" i="1"/>
  <c r="A4892" i="1"/>
  <c r="H4891" i="1"/>
  <c r="C4891" i="1"/>
  <c r="A4891" i="1"/>
  <c r="H4890" i="1"/>
  <c r="C4890" i="1"/>
  <c r="A4890" i="1"/>
  <c r="H4889" i="1"/>
  <c r="C4889" i="1"/>
  <c r="A4889" i="1"/>
  <c r="H4888" i="1"/>
  <c r="C4888" i="1"/>
  <c r="A4888" i="1"/>
  <c r="H4887" i="1"/>
  <c r="C4887" i="1"/>
  <c r="A4887" i="1"/>
  <c r="H4886" i="1"/>
  <c r="C4886" i="1"/>
  <c r="A4886" i="1"/>
  <c r="H4885" i="1"/>
  <c r="C4885" i="1"/>
  <c r="A4885" i="1"/>
  <c r="H4884" i="1"/>
  <c r="C4884" i="1"/>
  <c r="A4884" i="1"/>
  <c r="H4883" i="1"/>
  <c r="C4883" i="1"/>
  <c r="A4883" i="1"/>
  <c r="H4882" i="1"/>
  <c r="C4882" i="1"/>
  <c r="A4882" i="1"/>
  <c r="H4881" i="1"/>
  <c r="C4881" i="1"/>
  <c r="A4881" i="1"/>
  <c r="H4880" i="1"/>
  <c r="C4880" i="1"/>
  <c r="A4880" i="1"/>
  <c r="H4879" i="1"/>
  <c r="C4879" i="1"/>
  <c r="A4879" i="1"/>
  <c r="H4878" i="1"/>
  <c r="C4878" i="1"/>
  <c r="A4878" i="1"/>
  <c r="H4877" i="1"/>
  <c r="C4877" i="1"/>
  <c r="A4877" i="1"/>
  <c r="H4876" i="1"/>
  <c r="C4876" i="1"/>
  <c r="A4876" i="1"/>
  <c r="H4875" i="1"/>
  <c r="C4875" i="1"/>
  <c r="A4875" i="1"/>
  <c r="H4874" i="1"/>
  <c r="C4874" i="1"/>
  <c r="A4874" i="1"/>
  <c r="H4873" i="1"/>
  <c r="C4873" i="1"/>
  <c r="A4873" i="1"/>
  <c r="H4872" i="1"/>
  <c r="C4872" i="1"/>
  <c r="A4872" i="1"/>
  <c r="H4871" i="1"/>
  <c r="C4871" i="1"/>
  <c r="A4871" i="1"/>
  <c r="H4870" i="1"/>
  <c r="C4870" i="1"/>
  <c r="A4870" i="1"/>
  <c r="H4869" i="1"/>
  <c r="C4869" i="1"/>
  <c r="A4869" i="1"/>
  <c r="H4868" i="1"/>
  <c r="C4868" i="1"/>
  <c r="A4868" i="1"/>
  <c r="H4867" i="1"/>
  <c r="C4867" i="1"/>
  <c r="A4867" i="1"/>
  <c r="H4866" i="1"/>
  <c r="C4866" i="1"/>
  <c r="A4866" i="1"/>
  <c r="H4865" i="1"/>
  <c r="C4865" i="1"/>
  <c r="A4865" i="1"/>
  <c r="H4864" i="1"/>
  <c r="C4864" i="1"/>
  <c r="A4864" i="1"/>
  <c r="H4863" i="1"/>
  <c r="C4863" i="1"/>
  <c r="A4863" i="1"/>
  <c r="H4862" i="1"/>
  <c r="C4862" i="1"/>
  <c r="A4862" i="1"/>
  <c r="H4861" i="1"/>
  <c r="C4861" i="1"/>
  <c r="A4861" i="1"/>
  <c r="H4860" i="1"/>
  <c r="C4860" i="1"/>
  <c r="A4860" i="1"/>
  <c r="H4859" i="1"/>
  <c r="C4859" i="1"/>
  <c r="A4859" i="1"/>
  <c r="H4858" i="1"/>
  <c r="C4858" i="1"/>
  <c r="A4858" i="1"/>
  <c r="H4857" i="1"/>
  <c r="C4857" i="1"/>
  <c r="A4857" i="1"/>
  <c r="H4856" i="1"/>
  <c r="C4856" i="1"/>
  <c r="A4856" i="1"/>
  <c r="H4855" i="1"/>
  <c r="C4855" i="1"/>
  <c r="A4855" i="1"/>
  <c r="H4854" i="1"/>
  <c r="C4854" i="1"/>
  <c r="A4854" i="1"/>
  <c r="H4853" i="1"/>
  <c r="C4853" i="1"/>
  <c r="A4853" i="1"/>
  <c r="H4852" i="1"/>
  <c r="C4852" i="1"/>
  <c r="A4852" i="1"/>
  <c r="H4851" i="1"/>
  <c r="C4851" i="1"/>
  <c r="A4851" i="1"/>
  <c r="H4850" i="1"/>
  <c r="C4850" i="1"/>
  <c r="A4850" i="1"/>
  <c r="H4849" i="1"/>
  <c r="C4849" i="1"/>
  <c r="A4849" i="1"/>
  <c r="H4848" i="1"/>
  <c r="C4848" i="1"/>
  <c r="A4848" i="1"/>
  <c r="H4847" i="1"/>
  <c r="C4847" i="1"/>
  <c r="A4847" i="1"/>
  <c r="H4846" i="1"/>
  <c r="C4846" i="1"/>
  <c r="A4846" i="1"/>
  <c r="H4845" i="1"/>
  <c r="C4845" i="1"/>
  <c r="A4845" i="1"/>
  <c r="H4844" i="1"/>
  <c r="C4844" i="1"/>
  <c r="A4844" i="1"/>
  <c r="H4843" i="1"/>
  <c r="C4843" i="1"/>
  <c r="A4843" i="1"/>
  <c r="H4842" i="1"/>
  <c r="C4842" i="1"/>
  <c r="A4842" i="1"/>
  <c r="H4841" i="1"/>
  <c r="C4841" i="1"/>
  <c r="A4841" i="1"/>
  <c r="H4840" i="1"/>
  <c r="C4840" i="1"/>
  <c r="A4840" i="1"/>
  <c r="H4839" i="1"/>
  <c r="C4839" i="1"/>
  <c r="A4839" i="1"/>
  <c r="H4838" i="1"/>
  <c r="C4838" i="1"/>
  <c r="A4838" i="1"/>
  <c r="H4837" i="1"/>
  <c r="C4837" i="1"/>
  <c r="A4837" i="1"/>
  <c r="H4836" i="1"/>
  <c r="C4836" i="1"/>
  <c r="A4836" i="1"/>
  <c r="H4835" i="1"/>
  <c r="C4835" i="1"/>
  <c r="A4835" i="1"/>
  <c r="H4834" i="1"/>
  <c r="C4834" i="1"/>
  <c r="A4834" i="1"/>
  <c r="H4833" i="1"/>
  <c r="C4833" i="1"/>
  <c r="A4833" i="1"/>
  <c r="H4832" i="1"/>
  <c r="C4832" i="1"/>
  <c r="A4832" i="1"/>
  <c r="H4831" i="1"/>
  <c r="C4831" i="1"/>
  <c r="A4831" i="1"/>
  <c r="H4830" i="1"/>
  <c r="C4830" i="1"/>
  <c r="A4830" i="1"/>
  <c r="H4829" i="1"/>
  <c r="C4829" i="1"/>
  <c r="A4829" i="1"/>
  <c r="H4828" i="1"/>
  <c r="C4828" i="1"/>
  <c r="A4828" i="1"/>
  <c r="H4827" i="1"/>
  <c r="C4827" i="1"/>
  <c r="A4827" i="1"/>
  <c r="H4826" i="1"/>
  <c r="C4826" i="1"/>
  <c r="A4826" i="1"/>
  <c r="H4825" i="1"/>
  <c r="C4825" i="1"/>
  <c r="A4825" i="1"/>
  <c r="H4824" i="1"/>
  <c r="C4824" i="1"/>
  <c r="A4824" i="1"/>
  <c r="H4823" i="1"/>
  <c r="C4823" i="1"/>
  <c r="A4823" i="1"/>
  <c r="H4822" i="1"/>
  <c r="C4822" i="1"/>
  <c r="A4822" i="1"/>
  <c r="H4821" i="1"/>
  <c r="C4821" i="1"/>
  <c r="A4821" i="1"/>
  <c r="H4820" i="1"/>
  <c r="C4820" i="1"/>
  <c r="A4820" i="1"/>
  <c r="H4819" i="1"/>
  <c r="C4819" i="1"/>
  <c r="A4819" i="1"/>
  <c r="H4818" i="1"/>
  <c r="C4818" i="1"/>
  <c r="A4818" i="1"/>
  <c r="H4817" i="1"/>
  <c r="C4817" i="1"/>
  <c r="A4817" i="1"/>
  <c r="H4816" i="1"/>
  <c r="C4816" i="1"/>
  <c r="A4816" i="1"/>
  <c r="H4815" i="1"/>
  <c r="C4815" i="1"/>
  <c r="A4815" i="1"/>
  <c r="H4814" i="1"/>
  <c r="C4814" i="1"/>
  <c r="A4814" i="1"/>
  <c r="H4813" i="1"/>
  <c r="C4813" i="1"/>
  <c r="A4813" i="1"/>
  <c r="H4812" i="1"/>
  <c r="C4812" i="1"/>
  <c r="A4812" i="1"/>
  <c r="H4811" i="1"/>
  <c r="C4811" i="1"/>
  <c r="A4811" i="1"/>
  <c r="H4810" i="1"/>
  <c r="C4810" i="1"/>
  <c r="A4810" i="1"/>
  <c r="H4809" i="1"/>
  <c r="C4809" i="1"/>
  <c r="A4809" i="1"/>
  <c r="H4808" i="1"/>
  <c r="C4808" i="1"/>
  <c r="A4808" i="1"/>
  <c r="H4807" i="1"/>
  <c r="C4807" i="1"/>
  <c r="A4807" i="1"/>
  <c r="H4806" i="1"/>
  <c r="C4806" i="1"/>
  <c r="A4806" i="1"/>
  <c r="H4805" i="1"/>
  <c r="C4805" i="1"/>
  <c r="A4805" i="1"/>
  <c r="H4804" i="1"/>
  <c r="C4804" i="1"/>
  <c r="A4804" i="1"/>
  <c r="H4803" i="1"/>
  <c r="C4803" i="1"/>
  <c r="A4803" i="1"/>
  <c r="H4802" i="1"/>
  <c r="C4802" i="1"/>
  <c r="A4802" i="1"/>
  <c r="H4801" i="1"/>
  <c r="C4801" i="1"/>
  <c r="A4801" i="1"/>
  <c r="H4800" i="1"/>
  <c r="C4800" i="1"/>
  <c r="A4800" i="1"/>
  <c r="H4799" i="1"/>
  <c r="C4799" i="1"/>
  <c r="A4799" i="1"/>
  <c r="H4798" i="1"/>
  <c r="C4798" i="1"/>
  <c r="A4798" i="1"/>
  <c r="H4797" i="1"/>
  <c r="C4797" i="1"/>
  <c r="A4797" i="1"/>
  <c r="H4796" i="1"/>
  <c r="C4796" i="1"/>
  <c r="A4796" i="1"/>
  <c r="H4795" i="1"/>
  <c r="C4795" i="1"/>
  <c r="A4795" i="1"/>
  <c r="H4794" i="1"/>
  <c r="C4794" i="1"/>
  <c r="A4794" i="1"/>
  <c r="H4793" i="1"/>
  <c r="C4793" i="1"/>
  <c r="A4793" i="1"/>
  <c r="H4792" i="1"/>
  <c r="C4792" i="1"/>
  <c r="A4792" i="1"/>
  <c r="H4791" i="1"/>
  <c r="C4791" i="1"/>
  <c r="A4791" i="1"/>
  <c r="H4790" i="1"/>
  <c r="C4790" i="1"/>
  <c r="A4790" i="1"/>
  <c r="H4789" i="1"/>
  <c r="C4789" i="1"/>
  <c r="A4789" i="1"/>
  <c r="H4788" i="1"/>
  <c r="C4788" i="1"/>
  <c r="A4788" i="1"/>
  <c r="H4787" i="1"/>
  <c r="C4787" i="1"/>
  <c r="A4787" i="1"/>
  <c r="H4786" i="1"/>
  <c r="C4786" i="1"/>
  <c r="A4786" i="1"/>
  <c r="H4785" i="1"/>
  <c r="C4785" i="1"/>
  <c r="A4785" i="1"/>
  <c r="H4784" i="1"/>
  <c r="C4784" i="1"/>
  <c r="A4784" i="1"/>
  <c r="H4783" i="1"/>
  <c r="C4783" i="1"/>
  <c r="A4783" i="1"/>
  <c r="H4782" i="1"/>
  <c r="C4782" i="1"/>
  <c r="A4782" i="1"/>
  <c r="H4781" i="1"/>
  <c r="C4781" i="1"/>
  <c r="A4781" i="1"/>
  <c r="H4780" i="1"/>
  <c r="C4780" i="1"/>
  <c r="A4780" i="1"/>
  <c r="H4779" i="1"/>
  <c r="C4779" i="1"/>
  <c r="A4779" i="1"/>
  <c r="H4778" i="1"/>
  <c r="C4778" i="1"/>
  <c r="A4778" i="1"/>
  <c r="H4777" i="1"/>
  <c r="C4777" i="1"/>
  <c r="A4777" i="1"/>
  <c r="H4776" i="1"/>
  <c r="C4776" i="1"/>
  <c r="A4776" i="1"/>
  <c r="H4775" i="1"/>
  <c r="C4775" i="1"/>
  <c r="A4775" i="1"/>
  <c r="H4774" i="1"/>
  <c r="C4774" i="1"/>
  <c r="A4774" i="1"/>
  <c r="H4773" i="1"/>
  <c r="C4773" i="1"/>
  <c r="A4773" i="1"/>
  <c r="H4772" i="1"/>
  <c r="C4772" i="1"/>
  <c r="A4772" i="1"/>
  <c r="H4771" i="1"/>
  <c r="C4771" i="1"/>
  <c r="A4771" i="1"/>
  <c r="H4770" i="1"/>
  <c r="C4770" i="1"/>
  <c r="A4770" i="1"/>
  <c r="H4769" i="1"/>
  <c r="C4769" i="1"/>
  <c r="A4769" i="1"/>
  <c r="H4768" i="1"/>
  <c r="C4768" i="1"/>
  <c r="A4768" i="1"/>
  <c r="H4767" i="1"/>
  <c r="C4767" i="1"/>
  <c r="A4767" i="1"/>
  <c r="H4766" i="1"/>
  <c r="C4766" i="1"/>
  <c r="A4766" i="1"/>
  <c r="H4765" i="1"/>
  <c r="C4765" i="1"/>
  <c r="A4765" i="1"/>
  <c r="H4764" i="1"/>
  <c r="C4764" i="1"/>
  <c r="A4764" i="1"/>
  <c r="H4763" i="1"/>
  <c r="C4763" i="1"/>
  <c r="A4763" i="1"/>
  <c r="H4762" i="1"/>
  <c r="C4762" i="1"/>
  <c r="A4762" i="1"/>
  <c r="H4761" i="1"/>
  <c r="C4761" i="1"/>
  <c r="A4761" i="1"/>
  <c r="H4760" i="1"/>
  <c r="C4760" i="1"/>
  <c r="A4760" i="1"/>
  <c r="H4759" i="1"/>
  <c r="C4759" i="1"/>
  <c r="A4759" i="1"/>
  <c r="H4758" i="1"/>
  <c r="C4758" i="1"/>
  <c r="A4758" i="1"/>
  <c r="H4757" i="1"/>
  <c r="C4757" i="1"/>
  <c r="A4757" i="1"/>
  <c r="H4756" i="1"/>
  <c r="C4756" i="1"/>
  <c r="A4756" i="1"/>
  <c r="H4755" i="1"/>
  <c r="C4755" i="1"/>
  <c r="A4755" i="1"/>
  <c r="H4754" i="1"/>
  <c r="C4754" i="1"/>
  <c r="A4754" i="1"/>
  <c r="H4753" i="1"/>
  <c r="C4753" i="1"/>
  <c r="A4753" i="1"/>
  <c r="H4752" i="1"/>
  <c r="C4752" i="1"/>
  <c r="A4752" i="1"/>
  <c r="H4751" i="1"/>
  <c r="C4751" i="1"/>
  <c r="A4751" i="1"/>
  <c r="H4750" i="1"/>
  <c r="C4750" i="1"/>
  <c r="A4750" i="1"/>
  <c r="H4749" i="1"/>
  <c r="C4749" i="1"/>
  <c r="A4749" i="1"/>
  <c r="H4748" i="1"/>
  <c r="C4748" i="1"/>
  <c r="A4748" i="1"/>
  <c r="H4747" i="1"/>
  <c r="C4747" i="1"/>
  <c r="A4747" i="1"/>
  <c r="H4746" i="1"/>
  <c r="C4746" i="1"/>
  <c r="A4746" i="1"/>
  <c r="H4745" i="1"/>
  <c r="C4745" i="1"/>
  <c r="A4745" i="1"/>
  <c r="H4744" i="1"/>
  <c r="C4744" i="1"/>
  <c r="A4744" i="1"/>
  <c r="H4743" i="1"/>
  <c r="C4743" i="1"/>
  <c r="A4743" i="1"/>
  <c r="H4742" i="1"/>
  <c r="C4742" i="1"/>
  <c r="A4742" i="1"/>
  <c r="H4741" i="1"/>
  <c r="C4741" i="1"/>
  <c r="A4741" i="1"/>
  <c r="H4740" i="1"/>
  <c r="C4740" i="1"/>
  <c r="A4740" i="1"/>
  <c r="H4739" i="1"/>
  <c r="C4739" i="1"/>
  <c r="A4739" i="1"/>
  <c r="H4738" i="1"/>
  <c r="C4738" i="1"/>
  <c r="A4738" i="1"/>
  <c r="H4737" i="1"/>
  <c r="C4737" i="1"/>
  <c r="A4737" i="1"/>
  <c r="H4736" i="1"/>
  <c r="C4736" i="1"/>
  <c r="A4736" i="1"/>
  <c r="H4735" i="1"/>
  <c r="C4735" i="1"/>
  <c r="A4735" i="1"/>
  <c r="H4734" i="1"/>
  <c r="C4734" i="1"/>
  <c r="A4734" i="1"/>
  <c r="H4733" i="1"/>
  <c r="C4733" i="1"/>
  <c r="A4733" i="1"/>
  <c r="H4732" i="1"/>
  <c r="C4732" i="1"/>
  <c r="A4732" i="1"/>
  <c r="H4731" i="1"/>
  <c r="C4731" i="1"/>
  <c r="A4731" i="1"/>
  <c r="H4730" i="1"/>
  <c r="C4730" i="1"/>
  <c r="A4730" i="1"/>
  <c r="H4729" i="1"/>
  <c r="C4729" i="1"/>
  <c r="A4729" i="1"/>
  <c r="H4728" i="1"/>
  <c r="C4728" i="1"/>
  <c r="A4728" i="1"/>
  <c r="H4727" i="1"/>
  <c r="C4727" i="1"/>
  <c r="A4727" i="1"/>
  <c r="H4726" i="1"/>
  <c r="C4726" i="1"/>
  <c r="A4726" i="1"/>
  <c r="H4725" i="1"/>
  <c r="C4725" i="1"/>
  <c r="A4725" i="1"/>
  <c r="H4724" i="1"/>
  <c r="C4724" i="1"/>
  <c r="A4724" i="1"/>
  <c r="H4723" i="1"/>
  <c r="C4723" i="1"/>
  <c r="A4723" i="1"/>
  <c r="H4722" i="1"/>
  <c r="C4722" i="1"/>
  <c r="A4722" i="1"/>
  <c r="H4721" i="1"/>
  <c r="C4721" i="1"/>
  <c r="A4721" i="1"/>
  <c r="H4720" i="1"/>
  <c r="C4720" i="1"/>
  <c r="A4720" i="1"/>
  <c r="H4719" i="1"/>
  <c r="C4719" i="1"/>
  <c r="A4719" i="1"/>
  <c r="H4718" i="1"/>
  <c r="C4718" i="1"/>
  <c r="A4718" i="1"/>
  <c r="H4717" i="1"/>
  <c r="C4717" i="1"/>
  <c r="A4717" i="1"/>
  <c r="H4716" i="1"/>
  <c r="C4716" i="1"/>
  <c r="A4716" i="1"/>
  <c r="H4715" i="1"/>
  <c r="C4715" i="1"/>
  <c r="A4715" i="1"/>
  <c r="H4714" i="1"/>
  <c r="C4714" i="1"/>
  <c r="A4714" i="1"/>
  <c r="H4713" i="1"/>
  <c r="C4713" i="1"/>
  <c r="A4713" i="1"/>
  <c r="H4712" i="1"/>
  <c r="C4712" i="1"/>
  <c r="A4712" i="1"/>
  <c r="H4711" i="1"/>
  <c r="C4711" i="1"/>
  <c r="A4711" i="1"/>
  <c r="H4710" i="1"/>
  <c r="C4710" i="1"/>
  <c r="A4710" i="1"/>
  <c r="H4709" i="1"/>
  <c r="C4709" i="1"/>
  <c r="A4709" i="1"/>
  <c r="H4708" i="1"/>
  <c r="C4708" i="1"/>
  <c r="A4708" i="1"/>
  <c r="H4707" i="1"/>
  <c r="C4707" i="1"/>
  <c r="A4707" i="1"/>
  <c r="H4706" i="1"/>
  <c r="C4706" i="1"/>
  <c r="A4706" i="1"/>
  <c r="H4705" i="1"/>
  <c r="C4705" i="1"/>
  <c r="A4705" i="1"/>
  <c r="H4704" i="1"/>
  <c r="C4704" i="1"/>
  <c r="A4704" i="1"/>
  <c r="H4703" i="1"/>
  <c r="C4703" i="1"/>
  <c r="A4703" i="1"/>
  <c r="H4702" i="1"/>
  <c r="C4702" i="1"/>
  <c r="A4702" i="1"/>
  <c r="H4701" i="1"/>
  <c r="C4701" i="1"/>
  <c r="A4701" i="1"/>
  <c r="H4700" i="1"/>
  <c r="C4700" i="1"/>
  <c r="A4700" i="1"/>
  <c r="H4699" i="1"/>
  <c r="C4699" i="1"/>
  <c r="A4699" i="1"/>
  <c r="H4698" i="1"/>
  <c r="C4698" i="1"/>
  <c r="A4698" i="1"/>
  <c r="H4697" i="1"/>
  <c r="C4697" i="1"/>
  <c r="A4697" i="1"/>
  <c r="H4696" i="1"/>
  <c r="C4696" i="1"/>
  <c r="A4696" i="1"/>
  <c r="H4695" i="1"/>
  <c r="C4695" i="1"/>
  <c r="A4695" i="1"/>
  <c r="H4694" i="1"/>
  <c r="C4694" i="1"/>
  <c r="A4694" i="1"/>
  <c r="H4693" i="1"/>
  <c r="C4693" i="1"/>
  <c r="A4693" i="1"/>
  <c r="H4692" i="1"/>
  <c r="C4692" i="1"/>
  <c r="A4692" i="1"/>
  <c r="H4691" i="1"/>
  <c r="C4691" i="1"/>
  <c r="A4691" i="1"/>
  <c r="H4690" i="1"/>
  <c r="C4690" i="1"/>
  <c r="A4690" i="1"/>
  <c r="H4689" i="1"/>
  <c r="C4689" i="1"/>
  <c r="A4689" i="1"/>
  <c r="H4688" i="1"/>
  <c r="C4688" i="1"/>
  <c r="A4688" i="1"/>
  <c r="H4687" i="1"/>
  <c r="C4687" i="1"/>
  <c r="A4687" i="1"/>
  <c r="H4686" i="1"/>
  <c r="C4686" i="1"/>
  <c r="A4686" i="1"/>
  <c r="H4685" i="1"/>
  <c r="C4685" i="1"/>
  <c r="A4685" i="1"/>
  <c r="H4684" i="1"/>
  <c r="C4684" i="1"/>
  <c r="A4684" i="1"/>
  <c r="H4683" i="1"/>
  <c r="C4683" i="1"/>
  <c r="A4683" i="1"/>
  <c r="H4682" i="1"/>
  <c r="C4682" i="1"/>
  <c r="A4682" i="1"/>
  <c r="H4681" i="1"/>
  <c r="C4681" i="1"/>
  <c r="A4681" i="1"/>
  <c r="H4680" i="1"/>
  <c r="C4680" i="1"/>
  <c r="A4680" i="1"/>
  <c r="H4679" i="1"/>
  <c r="C4679" i="1"/>
  <c r="A4679" i="1"/>
  <c r="H4678" i="1"/>
  <c r="C4678" i="1"/>
  <c r="A4678" i="1"/>
  <c r="H4677" i="1"/>
  <c r="C4677" i="1"/>
  <c r="A4677" i="1"/>
  <c r="H4676" i="1"/>
  <c r="C4676" i="1"/>
  <c r="A4676" i="1"/>
  <c r="H4675" i="1"/>
  <c r="C4675" i="1"/>
  <c r="A4675" i="1"/>
  <c r="H4674" i="1"/>
  <c r="C4674" i="1"/>
  <c r="A4674" i="1"/>
  <c r="H4673" i="1"/>
  <c r="C4673" i="1"/>
  <c r="A4673" i="1"/>
  <c r="H4672" i="1"/>
  <c r="C4672" i="1"/>
  <c r="A4672" i="1"/>
  <c r="H4671" i="1"/>
  <c r="C4671" i="1"/>
  <c r="A4671" i="1"/>
  <c r="H4670" i="1"/>
  <c r="C4670" i="1"/>
  <c r="A4670" i="1"/>
  <c r="H4669" i="1"/>
  <c r="C4669" i="1"/>
  <c r="A4669" i="1"/>
  <c r="H4668" i="1"/>
  <c r="C4668" i="1"/>
  <c r="A4668" i="1"/>
  <c r="H4667" i="1"/>
  <c r="C4667" i="1"/>
  <c r="A4667" i="1"/>
  <c r="H4666" i="1"/>
  <c r="C4666" i="1"/>
  <c r="A4666" i="1"/>
  <c r="H4665" i="1"/>
  <c r="C4665" i="1"/>
  <c r="A4665" i="1"/>
  <c r="H4664" i="1"/>
  <c r="C4664" i="1"/>
  <c r="A4664" i="1"/>
  <c r="H4663" i="1"/>
  <c r="C4663" i="1"/>
  <c r="A4663" i="1"/>
  <c r="H4662" i="1"/>
  <c r="C4662" i="1"/>
  <c r="A4662" i="1"/>
  <c r="H4661" i="1"/>
  <c r="C4661" i="1"/>
  <c r="A4661" i="1"/>
  <c r="H4660" i="1"/>
  <c r="C4660" i="1"/>
  <c r="A4660" i="1"/>
  <c r="H4659" i="1"/>
  <c r="C4659" i="1"/>
  <c r="A4659" i="1"/>
  <c r="H4658" i="1"/>
  <c r="C4658" i="1"/>
  <c r="A4658" i="1"/>
  <c r="H4657" i="1"/>
  <c r="C4657" i="1"/>
  <c r="A4657" i="1"/>
  <c r="H4656" i="1"/>
  <c r="C4656" i="1"/>
  <c r="A4656" i="1"/>
  <c r="H4655" i="1"/>
  <c r="C4655" i="1"/>
  <c r="A4655" i="1"/>
  <c r="H4654" i="1"/>
  <c r="C4654" i="1"/>
  <c r="A4654" i="1"/>
  <c r="H4653" i="1"/>
  <c r="C4653" i="1"/>
  <c r="A4653" i="1"/>
  <c r="H4652" i="1"/>
  <c r="C4652" i="1"/>
  <c r="A4652" i="1"/>
  <c r="H4651" i="1"/>
  <c r="C4651" i="1"/>
  <c r="A4651" i="1"/>
  <c r="H4650" i="1"/>
  <c r="C4650" i="1"/>
  <c r="A4650" i="1"/>
  <c r="H4649" i="1"/>
  <c r="C4649" i="1"/>
  <c r="A4649" i="1"/>
  <c r="H4648" i="1"/>
  <c r="C4648" i="1"/>
  <c r="A4648" i="1"/>
  <c r="H4647" i="1"/>
  <c r="C4647" i="1"/>
  <c r="A4647" i="1"/>
  <c r="H4646" i="1"/>
  <c r="C4646" i="1"/>
  <c r="A4646" i="1"/>
  <c r="H4645" i="1"/>
  <c r="C4645" i="1"/>
  <c r="A4645" i="1"/>
  <c r="H4644" i="1"/>
  <c r="C4644" i="1"/>
  <c r="A4644" i="1"/>
  <c r="H4643" i="1"/>
  <c r="C4643" i="1"/>
  <c r="A4643" i="1"/>
  <c r="H4642" i="1"/>
  <c r="C4642" i="1"/>
  <c r="A4642" i="1"/>
  <c r="H4641" i="1"/>
  <c r="C4641" i="1"/>
  <c r="A4641" i="1"/>
  <c r="H4640" i="1"/>
  <c r="C4640" i="1"/>
  <c r="A4640" i="1"/>
  <c r="H4639" i="1"/>
  <c r="C4639" i="1"/>
  <c r="A4639" i="1"/>
  <c r="H4638" i="1"/>
  <c r="C4638" i="1"/>
  <c r="A4638" i="1"/>
  <c r="H4637" i="1"/>
  <c r="C4637" i="1"/>
  <c r="A4637" i="1"/>
  <c r="H4636" i="1"/>
  <c r="C4636" i="1"/>
  <c r="A4636" i="1"/>
  <c r="H4635" i="1"/>
  <c r="C4635" i="1"/>
  <c r="A4635" i="1"/>
  <c r="H4634" i="1"/>
  <c r="C4634" i="1"/>
  <c r="A4634" i="1"/>
  <c r="H4633" i="1"/>
  <c r="C4633" i="1"/>
  <c r="A4633" i="1"/>
  <c r="H4632" i="1"/>
  <c r="C4632" i="1"/>
  <c r="A4632" i="1"/>
  <c r="H4631" i="1"/>
  <c r="C4631" i="1"/>
  <c r="A4631" i="1"/>
  <c r="H4630" i="1"/>
  <c r="C4630" i="1"/>
  <c r="A4630" i="1"/>
  <c r="H4629" i="1"/>
  <c r="C4629" i="1"/>
  <c r="A4629" i="1"/>
  <c r="H4628" i="1"/>
  <c r="C4628" i="1"/>
  <c r="A4628" i="1"/>
  <c r="H4627" i="1"/>
  <c r="C4627" i="1"/>
  <c r="A4627" i="1"/>
  <c r="H4626" i="1"/>
  <c r="C4626" i="1"/>
  <c r="A4626" i="1"/>
  <c r="H4625" i="1"/>
  <c r="C4625" i="1"/>
  <c r="A4625" i="1"/>
  <c r="H4624" i="1"/>
  <c r="C4624" i="1"/>
  <c r="A4624" i="1"/>
  <c r="H4623" i="1"/>
  <c r="C4623" i="1"/>
  <c r="A4623" i="1"/>
  <c r="H4622" i="1"/>
  <c r="C4622" i="1"/>
  <c r="A4622" i="1"/>
  <c r="H4621" i="1"/>
  <c r="C4621" i="1"/>
  <c r="A4621" i="1"/>
  <c r="H4620" i="1"/>
  <c r="C4620" i="1"/>
  <c r="A4620" i="1"/>
  <c r="H4619" i="1"/>
  <c r="C4619" i="1"/>
  <c r="A4619" i="1"/>
  <c r="H4618" i="1"/>
  <c r="C4618" i="1"/>
  <c r="A4618" i="1"/>
  <c r="H4617" i="1"/>
  <c r="C4617" i="1"/>
  <c r="A4617" i="1"/>
  <c r="H4616" i="1"/>
  <c r="C4616" i="1"/>
  <c r="A4616" i="1"/>
  <c r="H4615" i="1"/>
  <c r="C4615" i="1"/>
  <c r="A4615" i="1"/>
  <c r="H4614" i="1"/>
  <c r="C4614" i="1"/>
  <c r="A4614" i="1"/>
  <c r="H4613" i="1"/>
  <c r="C4613" i="1"/>
  <c r="A4613" i="1"/>
  <c r="H4612" i="1"/>
  <c r="C4612" i="1"/>
  <c r="A4612" i="1"/>
  <c r="H4611" i="1"/>
  <c r="C4611" i="1"/>
  <c r="A4611" i="1"/>
  <c r="H4610" i="1"/>
  <c r="C4610" i="1"/>
  <c r="A4610" i="1"/>
  <c r="H4609" i="1"/>
  <c r="C4609" i="1"/>
  <c r="A4609" i="1"/>
  <c r="H4608" i="1"/>
  <c r="C4608" i="1"/>
  <c r="A4608" i="1"/>
  <c r="H4607" i="1"/>
  <c r="C4607" i="1"/>
  <c r="A4607" i="1"/>
  <c r="H4606" i="1"/>
  <c r="C4606" i="1"/>
  <c r="A4606" i="1"/>
  <c r="H4605" i="1"/>
  <c r="C4605" i="1"/>
  <c r="A4605" i="1"/>
  <c r="H4604" i="1"/>
  <c r="C4604" i="1"/>
  <c r="A4604" i="1"/>
  <c r="H4603" i="1"/>
  <c r="C4603" i="1"/>
  <c r="A4603" i="1"/>
  <c r="H4602" i="1"/>
  <c r="C4602" i="1"/>
  <c r="A4602" i="1"/>
  <c r="H4601" i="1"/>
  <c r="C4601" i="1"/>
  <c r="A4601" i="1"/>
  <c r="H4600" i="1"/>
  <c r="C4600" i="1"/>
  <c r="A4600" i="1"/>
  <c r="H4599" i="1"/>
  <c r="C4599" i="1"/>
  <c r="A4599" i="1"/>
  <c r="H4598" i="1"/>
  <c r="C4598" i="1"/>
  <c r="A4598" i="1"/>
  <c r="H4597" i="1"/>
  <c r="C4597" i="1"/>
  <c r="A4597" i="1"/>
  <c r="H4596" i="1"/>
  <c r="C4596" i="1"/>
  <c r="A4596" i="1"/>
  <c r="H4595" i="1"/>
  <c r="C4595" i="1"/>
  <c r="A4595" i="1"/>
  <c r="H4594" i="1"/>
  <c r="C4594" i="1"/>
  <c r="A4594" i="1"/>
  <c r="H4593" i="1"/>
  <c r="C4593" i="1"/>
  <c r="A4593" i="1"/>
  <c r="H4592" i="1"/>
  <c r="C4592" i="1"/>
  <c r="A4592" i="1"/>
  <c r="H4591" i="1"/>
  <c r="C4591" i="1"/>
  <c r="A4591" i="1"/>
  <c r="H4590" i="1"/>
  <c r="C4590" i="1"/>
  <c r="A4590" i="1"/>
  <c r="H4589" i="1"/>
  <c r="C4589" i="1"/>
  <c r="A4589" i="1"/>
  <c r="H4588" i="1"/>
  <c r="C4588" i="1"/>
  <c r="A4588" i="1"/>
  <c r="H4587" i="1"/>
  <c r="C4587" i="1"/>
  <c r="A4587" i="1"/>
  <c r="H4586" i="1"/>
  <c r="C4586" i="1"/>
  <c r="A4586" i="1"/>
  <c r="H4585" i="1"/>
  <c r="C4585" i="1"/>
  <c r="A4585" i="1"/>
  <c r="H4584" i="1"/>
  <c r="C4584" i="1"/>
  <c r="A4584" i="1"/>
  <c r="H4583" i="1"/>
  <c r="C4583" i="1"/>
  <c r="A4583" i="1"/>
  <c r="H4582" i="1"/>
  <c r="C4582" i="1"/>
  <c r="A4582" i="1"/>
  <c r="H4581" i="1"/>
  <c r="C4581" i="1"/>
  <c r="A4581" i="1"/>
  <c r="H4580" i="1"/>
  <c r="C4580" i="1"/>
  <c r="A4580" i="1"/>
  <c r="H4579" i="1"/>
  <c r="C4579" i="1"/>
  <c r="A4579" i="1"/>
  <c r="H4578" i="1"/>
  <c r="C4578" i="1"/>
  <c r="A4578" i="1"/>
  <c r="H4577" i="1"/>
  <c r="C4577" i="1"/>
  <c r="A4577" i="1"/>
  <c r="H4576" i="1"/>
  <c r="C4576" i="1"/>
  <c r="A4576" i="1"/>
  <c r="H4575" i="1"/>
  <c r="C4575" i="1"/>
  <c r="A4575" i="1"/>
  <c r="H4574" i="1"/>
  <c r="C4574" i="1"/>
  <c r="A4574" i="1"/>
  <c r="H4573" i="1"/>
  <c r="C4573" i="1"/>
  <c r="A4573" i="1"/>
  <c r="H4572" i="1"/>
  <c r="C4572" i="1"/>
  <c r="A4572" i="1"/>
  <c r="H4571" i="1"/>
  <c r="C4571" i="1"/>
  <c r="A4571" i="1"/>
  <c r="H4570" i="1"/>
  <c r="C4570" i="1"/>
  <c r="A4570" i="1"/>
  <c r="H4569" i="1"/>
  <c r="C4569" i="1"/>
  <c r="A4569" i="1"/>
  <c r="H4568" i="1"/>
  <c r="C4568" i="1"/>
  <c r="A4568" i="1"/>
  <c r="H4567" i="1"/>
  <c r="C4567" i="1"/>
  <c r="A4567" i="1"/>
  <c r="H4566" i="1"/>
  <c r="C4566" i="1"/>
  <c r="A4566" i="1"/>
  <c r="H4565" i="1"/>
  <c r="C4565" i="1"/>
  <c r="A4565" i="1"/>
  <c r="H4564" i="1"/>
  <c r="C4564" i="1"/>
  <c r="A4564" i="1"/>
  <c r="H4563" i="1"/>
  <c r="C4563" i="1"/>
  <c r="A4563" i="1"/>
  <c r="H4562" i="1"/>
  <c r="C4562" i="1"/>
  <c r="A4562" i="1"/>
  <c r="H4561" i="1"/>
  <c r="C4561" i="1"/>
  <c r="A4561" i="1"/>
  <c r="H4560" i="1"/>
  <c r="C4560" i="1"/>
  <c r="A4560" i="1"/>
  <c r="H4559" i="1"/>
  <c r="C4559" i="1"/>
  <c r="A4559" i="1"/>
  <c r="H4558" i="1"/>
  <c r="C4558" i="1"/>
  <c r="A4558" i="1"/>
  <c r="H4557" i="1"/>
  <c r="C4557" i="1"/>
  <c r="A4557" i="1"/>
  <c r="H4556" i="1"/>
  <c r="C4556" i="1"/>
  <c r="A4556" i="1"/>
  <c r="H4555" i="1"/>
  <c r="C4555" i="1"/>
  <c r="A4555" i="1"/>
  <c r="H4554" i="1"/>
  <c r="C4554" i="1"/>
  <c r="A4554" i="1"/>
  <c r="H4553" i="1"/>
  <c r="C4553" i="1"/>
  <c r="A4553" i="1"/>
  <c r="H4552" i="1"/>
  <c r="C4552" i="1"/>
  <c r="A4552" i="1"/>
  <c r="H4551" i="1"/>
  <c r="C4551" i="1"/>
  <c r="A4551" i="1"/>
  <c r="H4550" i="1"/>
  <c r="C4550" i="1"/>
  <c r="A4550" i="1"/>
  <c r="H4549" i="1"/>
  <c r="C4549" i="1"/>
  <c r="A4549" i="1"/>
  <c r="H4548" i="1"/>
  <c r="C4548" i="1"/>
  <c r="A4548" i="1"/>
  <c r="H4547" i="1"/>
  <c r="C4547" i="1"/>
  <c r="A4547" i="1"/>
  <c r="H4546" i="1"/>
  <c r="C4546" i="1"/>
  <c r="A4546" i="1"/>
  <c r="H4545" i="1"/>
  <c r="C4545" i="1"/>
  <c r="A4545" i="1"/>
  <c r="H4544" i="1"/>
  <c r="C4544" i="1"/>
  <c r="A4544" i="1"/>
  <c r="H4543" i="1"/>
  <c r="C4543" i="1"/>
  <c r="A4543" i="1"/>
  <c r="H4542" i="1"/>
  <c r="C4542" i="1"/>
  <c r="A4542" i="1"/>
  <c r="H4541" i="1"/>
  <c r="C4541" i="1"/>
  <c r="A4541" i="1"/>
  <c r="H4540" i="1"/>
  <c r="C4540" i="1"/>
  <c r="A4540" i="1"/>
  <c r="H4539" i="1"/>
  <c r="C4539" i="1"/>
  <c r="A4539" i="1"/>
  <c r="H4538" i="1"/>
  <c r="C4538" i="1"/>
  <c r="A4538" i="1"/>
  <c r="H4537" i="1"/>
  <c r="C4537" i="1"/>
  <c r="A4537" i="1"/>
  <c r="H4536" i="1"/>
  <c r="C4536" i="1"/>
  <c r="A4536" i="1"/>
  <c r="H4535" i="1"/>
  <c r="C4535" i="1"/>
  <c r="A4535" i="1"/>
  <c r="H4534" i="1"/>
  <c r="C4534" i="1"/>
  <c r="A4534" i="1"/>
  <c r="H4533" i="1"/>
  <c r="C4533" i="1"/>
  <c r="A4533" i="1"/>
  <c r="H4532" i="1"/>
  <c r="C4532" i="1"/>
  <c r="A4532" i="1"/>
  <c r="H4531" i="1"/>
  <c r="C4531" i="1"/>
  <c r="A4531" i="1"/>
  <c r="H4530" i="1"/>
  <c r="C4530" i="1"/>
  <c r="A4530" i="1"/>
  <c r="H4529" i="1"/>
  <c r="C4529" i="1"/>
  <c r="A4529" i="1"/>
  <c r="H4528" i="1"/>
  <c r="C4528" i="1"/>
  <c r="A4528" i="1"/>
  <c r="H4527" i="1"/>
  <c r="C4527" i="1"/>
  <c r="A4527" i="1"/>
  <c r="H4526" i="1"/>
  <c r="C4526" i="1"/>
  <c r="A4526" i="1"/>
  <c r="H4525" i="1"/>
  <c r="C4525" i="1"/>
  <c r="A4525" i="1"/>
  <c r="H4524" i="1"/>
  <c r="C4524" i="1"/>
  <c r="A4524" i="1"/>
  <c r="H4523" i="1"/>
  <c r="C4523" i="1"/>
  <c r="A4523" i="1"/>
  <c r="H4522" i="1"/>
  <c r="C4522" i="1"/>
  <c r="A4522" i="1"/>
  <c r="H4521" i="1"/>
  <c r="C4521" i="1"/>
  <c r="A4521" i="1"/>
  <c r="H4520" i="1"/>
  <c r="C4520" i="1"/>
  <c r="A4520" i="1"/>
  <c r="H4519" i="1"/>
  <c r="C4519" i="1"/>
  <c r="A4519" i="1"/>
  <c r="H4518" i="1"/>
  <c r="C4518" i="1"/>
  <c r="A4518" i="1"/>
  <c r="H4517" i="1"/>
  <c r="C4517" i="1"/>
  <c r="A4517" i="1"/>
  <c r="H4516" i="1"/>
  <c r="C4516" i="1"/>
  <c r="A4516" i="1"/>
  <c r="H4515" i="1"/>
  <c r="C4515" i="1"/>
  <c r="A4515" i="1"/>
  <c r="H4514" i="1"/>
  <c r="C4514" i="1"/>
  <c r="A4514" i="1"/>
  <c r="H4513" i="1"/>
  <c r="C4513" i="1"/>
  <c r="A4513" i="1"/>
  <c r="H4512" i="1"/>
  <c r="C4512" i="1"/>
  <c r="A4512" i="1"/>
  <c r="H4511" i="1"/>
  <c r="C4511" i="1"/>
  <c r="A4511" i="1"/>
  <c r="H4510" i="1"/>
  <c r="C4510" i="1"/>
  <c r="A4510" i="1"/>
  <c r="H4509" i="1"/>
  <c r="C4509" i="1"/>
  <c r="A4509" i="1"/>
  <c r="H4508" i="1"/>
  <c r="C4508" i="1"/>
  <c r="A4508" i="1"/>
  <c r="H4507" i="1"/>
  <c r="C4507" i="1"/>
  <c r="A4507" i="1"/>
  <c r="H4506" i="1"/>
  <c r="C4506" i="1"/>
  <c r="A4506" i="1"/>
  <c r="H4505" i="1"/>
  <c r="C4505" i="1"/>
  <c r="A4505" i="1"/>
  <c r="H4504" i="1"/>
  <c r="C4504" i="1"/>
  <c r="A4504" i="1"/>
  <c r="H4503" i="1"/>
  <c r="C4503" i="1"/>
  <c r="A4503" i="1"/>
  <c r="H4502" i="1"/>
  <c r="C4502" i="1"/>
  <c r="A4502" i="1"/>
  <c r="H4501" i="1"/>
  <c r="C4501" i="1"/>
  <c r="A4501" i="1"/>
  <c r="H4500" i="1"/>
  <c r="C4500" i="1"/>
  <c r="A4500" i="1"/>
  <c r="H4499" i="1"/>
  <c r="C4499" i="1"/>
  <c r="A4499" i="1"/>
  <c r="H4498" i="1"/>
  <c r="C4498" i="1"/>
  <c r="A4498" i="1"/>
  <c r="H4497" i="1"/>
  <c r="C4497" i="1"/>
  <c r="A4497" i="1"/>
  <c r="H4496" i="1"/>
  <c r="C4496" i="1"/>
  <c r="A4496" i="1"/>
  <c r="H4495" i="1"/>
  <c r="C4495" i="1"/>
  <c r="A4495" i="1"/>
  <c r="H4494" i="1"/>
  <c r="C4494" i="1"/>
  <c r="A4494" i="1"/>
  <c r="H4493" i="1"/>
  <c r="C4493" i="1"/>
  <c r="A4493" i="1"/>
  <c r="H4492" i="1"/>
  <c r="C4492" i="1"/>
  <c r="A4492" i="1"/>
  <c r="H4491" i="1"/>
  <c r="C4491" i="1"/>
  <c r="A4491" i="1"/>
  <c r="H4490" i="1"/>
  <c r="C4490" i="1"/>
  <c r="A4490" i="1"/>
  <c r="H4489" i="1"/>
  <c r="C4489" i="1"/>
  <c r="A4489" i="1"/>
  <c r="H4488" i="1"/>
  <c r="C4488" i="1"/>
  <c r="A4488" i="1"/>
  <c r="H4487" i="1"/>
  <c r="C4487" i="1"/>
  <c r="A4487" i="1"/>
  <c r="H4486" i="1"/>
  <c r="C4486" i="1"/>
  <c r="A4486" i="1"/>
  <c r="H4485" i="1"/>
  <c r="C4485" i="1"/>
  <c r="A4485" i="1"/>
  <c r="H4484" i="1"/>
  <c r="C4484" i="1"/>
  <c r="A4484" i="1"/>
  <c r="H4483" i="1"/>
  <c r="C4483" i="1"/>
  <c r="A4483" i="1"/>
  <c r="H4482" i="1"/>
  <c r="C4482" i="1"/>
  <c r="A4482" i="1"/>
  <c r="H4481" i="1"/>
  <c r="C4481" i="1"/>
  <c r="A4481" i="1"/>
  <c r="H4480" i="1"/>
  <c r="C4480" i="1"/>
  <c r="A4480" i="1"/>
  <c r="H4479" i="1"/>
  <c r="C4479" i="1"/>
  <c r="A4479" i="1"/>
  <c r="H4478" i="1"/>
  <c r="C4478" i="1"/>
  <c r="A4478" i="1"/>
  <c r="H4477" i="1"/>
  <c r="C4477" i="1"/>
  <c r="A4477" i="1"/>
  <c r="H4476" i="1"/>
  <c r="C4476" i="1"/>
  <c r="A4476" i="1"/>
  <c r="H4475" i="1"/>
  <c r="C4475" i="1"/>
  <c r="A4475" i="1"/>
  <c r="H4474" i="1"/>
  <c r="C4474" i="1"/>
  <c r="A4474" i="1"/>
  <c r="H4473" i="1"/>
  <c r="C4473" i="1"/>
  <c r="A4473" i="1"/>
  <c r="H4472" i="1"/>
  <c r="C4472" i="1"/>
  <c r="A4472" i="1"/>
  <c r="H4471" i="1"/>
  <c r="C4471" i="1"/>
  <c r="A4471" i="1"/>
  <c r="H4470" i="1"/>
  <c r="C4470" i="1"/>
  <c r="A4470" i="1"/>
  <c r="H4469" i="1"/>
  <c r="C4469" i="1"/>
  <c r="A4469" i="1"/>
  <c r="H4468" i="1"/>
  <c r="C4468" i="1"/>
  <c r="A4468" i="1"/>
  <c r="H4467" i="1"/>
  <c r="C4467" i="1"/>
  <c r="A4467" i="1"/>
  <c r="H4466" i="1"/>
  <c r="C4466" i="1"/>
  <c r="A4466" i="1"/>
  <c r="H4465" i="1"/>
  <c r="C4465" i="1"/>
  <c r="A4465" i="1"/>
  <c r="H4464" i="1"/>
  <c r="C4464" i="1"/>
  <c r="A4464" i="1"/>
  <c r="H4463" i="1"/>
  <c r="C4463" i="1"/>
  <c r="A4463" i="1"/>
  <c r="H4462" i="1"/>
  <c r="C4462" i="1"/>
  <c r="A4462" i="1"/>
  <c r="H4461" i="1"/>
  <c r="C4461" i="1"/>
  <c r="A4461" i="1"/>
  <c r="H4460" i="1"/>
  <c r="C4460" i="1"/>
  <c r="A4460" i="1"/>
  <c r="H4459" i="1"/>
  <c r="C4459" i="1"/>
  <c r="A4459" i="1"/>
  <c r="H4458" i="1"/>
  <c r="C4458" i="1"/>
  <c r="A4458" i="1"/>
  <c r="H4457" i="1"/>
  <c r="C4457" i="1"/>
  <c r="A4457" i="1"/>
  <c r="H4456" i="1"/>
  <c r="C4456" i="1"/>
  <c r="A4456" i="1"/>
  <c r="H4455" i="1"/>
  <c r="C4455" i="1"/>
  <c r="A4455" i="1"/>
  <c r="H4454" i="1"/>
  <c r="C4454" i="1"/>
  <c r="A4454" i="1"/>
  <c r="H4453" i="1"/>
  <c r="C4453" i="1"/>
  <c r="A4453" i="1"/>
  <c r="H4452" i="1"/>
  <c r="C4452" i="1"/>
  <c r="A4452" i="1"/>
  <c r="H4451" i="1"/>
  <c r="C4451" i="1"/>
  <c r="A4451" i="1"/>
  <c r="H4450" i="1"/>
  <c r="C4450" i="1"/>
  <c r="A4450" i="1"/>
  <c r="H4449" i="1"/>
  <c r="C4449" i="1"/>
  <c r="A4449" i="1"/>
  <c r="H4448" i="1"/>
  <c r="C4448" i="1"/>
  <c r="A4448" i="1"/>
  <c r="H4447" i="1"/>
  <c r="C4447" i="1"/>
  <c r="A4447" i="1"/>
  <c r="H4446" i="1"/>
  <c r="C4446" i="1"/>
  <c r="A4446" i="1"/>
  <c r="H4445" i="1"/>
  <c r="C4445" i="1"/>
  <c r="A4445" i="1"/>
  <c r="H4444" i="1"/>
  <c r="C4444" i="1"/>
  <c r="A4444" i="1"/>
  <c r="H4443" i="1"/>
  <c r="C4443" i="1"/>
  <c r="A4443" i="1"/>
  <c r="H4442" i="1"/>
  <c r="C4442" i="1"/>
  <c r="A4442" i="1"/>
  <c r="H4441" i="1"/>
  <c r="C4441" i="1"/>
  <c r="A4441" i="1"/>
  <c r="H4440" i="1"/>
  <c r="C4440" i="1"/>
  <c r="A4440" i="1"/>
  <c r="H4439" i="1"/>
  <c r="C4439" i="1"/>
  <c r="A4439" i="1"/>
  <c r="H4438" i="1"/>
  <c r="C4438" i="1"/>
  <c r="A4438" i="1"/>
  <c r="H4437" i="1"/>
  <c r="C4437" i="1"/>
  <c r="A4437" i="1"/>
  <c r="H4436" i="1"/>
  <c r="C4436" i="1"/>
  <c r="A4436" i="1"/>
  <c r="H4435" i="1"/>
  <c r="C4435" i="1"/>
  <c r="A4435" i="1"/>
  <c r="H4434" i="1"/>
  <c r="C4434" i="1"/>
  <c r="A4434" i="1"/>
  <c r="H4433" i="1"/>
  <c r="C4433" i="1"/>
  <c r="A4433" i="1"/>
  <c r="H4432" i="1"/>
  <c r="C4432" i="1"/>
  <c r="A4432" i="1"/>
  <c r="H4431" i="1"/>
  <c r="C4431" i="1"/>
  <c r="A4431" i="1"/>
  <c r="H4430" i="1"/>
  <c r="C4430" i="1"/>
  <c r="A4430" i="1"/>
  <c r="H4429" i="1"/>
  <c r="C4429" i="1"/>
  <c r="A4429" i="1"/>
  <c r="H4428" i="1"/>
  <c r="C4428" i="1"/>
  <c r="A4428" i="1"/>
  <c r="H4427" i="1"/>
  <c r="C4427" i="1"/>
  <c r="A4427" i="1"/>
  <c r="H4426" i="1"/>
  <c r="C4426" i="1"/>
  <c r="A4426" i="1"/>
  <c r="H4425" i="1"/>
  <c r="C4425" i="1"/>
  <c r="A4425" i="1"/>
  <c r="H4424" i="1"/>
  <c r="C4424" i="1"/>
  <c r="A4424" i="1"/>
  <c r="H4423" i="1"/>
  <c r="C4423" i="1"/>
  <c r="A4423" i="1"/>
  <c r="H4422" i="1"/>
  <c r="C4422" i="1"/>
  <c r="A4422" i="1"/>
  <c r="H4421" i="1"/>
  <c r="C4421" i="1"/>
  <c r="A4421" i="1"/>
  <c r="H4420" i="1"/>
  <c r="C4420" i="1"/>
  <c r="A4420" i="1"/>
  <c r="H4419" i="1"/>
  <c r="C4419" i="1"/>
  <c r="A4419" i="1"/>
  <c r="H4418" i="1"/>
  <c r="C4418" i="1"/>
  <c r="A4418" i="1"/>
  <c r="H4417" i="1"/>
  <c r="C4417" i="1"/>
  <c r="A4417" i="1"/>
  <c r="H4416" i="1"/>
  <c r="C4416" i="1"/>
  <c r="A4416" i="1"/>
  <c r="H4415" i="1"/>
  <c r="C4415" i="1"/>
  <c r="A4415" i="1"/>
  <c r="H4414" i="1"/>
  <c r="C4414" i="1"/>
  <c r="A4414" i="1"/>
  <c r="H4413" i="1"/>
  <c r="C4413" i="1"/>
  <c r="A4413" i="1"/>
  <c r="H4412" i="1"/>
  <c r="C4412" i="1"/>
  <c r="A4412" i="1"/>
  <c r="H4411" i="1"/>
  <c r="C4411" i="1"/>
  <c r="A4411" i="1"/>
  <c r="H4410" i="1"/>
  <c r="C4410" i="1"/>
  <c r="A4410" i="1"/>
  <c r="H4409" i="1"/>
  <c r="C4409" i="1"/>
  <c r="A4409" i="1"/>
  <c r="H4408" i="1"/>
  <c r="C4408" i="1"/>
  <c r="A4408" i="1"/>
  <c r="H4407" i="1"/>
  <c r="C4407" i="1"/>
  <c r="A4407" i="1"/>
  <c r="H4406" i="1"/>
  <c r="C4406" i="1"/>
  <c r="A4406" i="1"/>
  <c r="H4405" i="1"/>
  <c r="C4405" i="1"/>
  <c r="A4405" i="1"/>
  <c r="H4404" i="1"/>
  <c r="C4404" i="1"/>
  <c r="A4404" i="1"/>
  <c r="H4403" i="1"/>
  <c r="C4403" i="1"/>
  <c r="A4403" i="1"/>
  <c r="H4402" i="1"/>
  <c r="C4402" i="1"/>
  <c r="A4402" i="1"/>
  <c r="H4401" i="1"/>
  <c r="C4401" i="1"/>
  <c r="A4401" i="1"/>
  <c r="H4400" i="1"/>
  <c r="C4400" i="1"/>
  <c r="A4400" i="1"/>
  <c r="H4399" i="1"/>
  <c r="C4399" i="1"/>
  <c r="A4399" i="1"/>
  <c r="H4398" i="1"/>
  <c r="C4398" i="1"/>
  <c r="A4398" i="1"/>
  <c r="H4397" i="1"/>
  <c r="C4397" i="1"/>
  <c r="A4397" i="1"/>
  <c r="H4396" i="1"/>
  <c r="C4396" i="1"/>
  <c r="A4396" i="1"/>
  <c r="H4395" i="1"/>
  <c r="C4395" i="1"/>
  <c r="A4395" i="1"/>
  <c r="H4394" i="1"/>
  <c r="C4394" i="1"/>
  <c r="A4394" i="1"/>
  <c r="H4393" i="1"/>
  <c r="C4393" i="1"/>
  <c r="A4393" i="1"/>
  <c r="H4392" i="1"/>
  <c r="C4392" i="1"/>
  <c r="A4392" i="1"/>
  <c r="H4391" i="1"/>
  <c r="C4391" i="1"/>
  <c r="A4391" i="1"/>
  <c r="H4390" i="1"/>
  <c r="C4390" i="1"/>
  <c r="A4390" i="1"/>
  <c r="H4389" i="1"/>
  <c r="C4389" i="1"/>
  <c r="A4389" i="1"/>
  <c r="H4388" i="1"/>
  <c r="C4388" i="1"/>
  <c r="A4388" i="1"/>
  <c r="H4387" i="1"/>
  <c r="C4387" i="1"/>
  <c r="A4387" i="1"/>
  <c r="H4386" i="1"/>
  <c r="C4386" i="1"/>
  <c r="A4386" i="1"/>
  <c r="H4385" i="1"/>
  <c r="C4385" i="1"/>
  <c r="A4385" i="1"/>
  <c r="H4384" i="1"/>
  <c r="C4384" i="1"/>
  <c r="A4384" i="1"/>
  <c r="H4383" i="1"/>
  <c r="C4383" i="1"/>
  <c r="A4383" i="1"/>
  <c r="H4382" i="1"/>
  <c r="C4382" i="1"/>
  <c r="A4382" i="1"/>
  <c r="H4381" i="1"/>
  <c r="C4381" i="1"/>
  <c r="A4381" i="1"/>
  <c r="H4380" i="1"/>
  <c r="C4380" i="1"/>
  <c r="A4380" i="1"/>
  <c r="H4379" i="1"/>
  <c r="C4379" i="1"/>
  <c r="A4379" i="1"/>
  <c r="H4378" i="1"/>
  <c r="C4378" i="1"/>
  <c r="A4378" i="1"/>
  <c r="H4377" i="1"/>
  <c r="C4377" i="1"/>
  <c r="A4377" i="1"/>
  <c r="H4376" i="1"/>
  <c r="C4376" i="1"/>
  <c r="A4376" i="1"/>
  <c r="H4375" i="1"/>
  <c r="C4375" i="1"/>
  <c r="A4375" i="1"/>
  <c r="H4374" i="1"/>
  <c r="C4374" i="1"/>
  <c r="A4374" i="1"/>
  <c r="H4373" i="1"/>
  <c r="C4373" i="1"/>
  <c r="A4373" i="1"/>
  <c r="H4372" i="1"/>
  <c r="C4372" i="1"/>
  <c r="A4372" i="1"/>
  <c r="H4371" i="1"/>
  <c r="C4371" i="1"/>
  <c r="A4371" i="1"/>
  <c r="H4370" i="1"/>
  <c r="C4370" i="1"/>
  <c r="A4370" i="1"/>
  <c r="H4369" i="1"/>
  <c r="C4369" i="1"/>
  <c r="A4369" i="1"/>
  <c r="H4368" i="1"/>
  <c r="C4368" i="1"/>
  <c r="A4368" i="1"/>
  <c r="H4367" i="1"/>
  <c r="C4367" i="1"/>
  <c r="A4367" i="1"/>
  <c r="H4366" i="1"/>
  <c r="C4366" i="1"/>
  <c r="A4366" i="1"/>
  <c r="H4365" i="1"/>
  <c r="C4365" i="1"/>
  <c r="A4365" i="1"/>
  <c r="H4364" i="1"/>
  <c r="C4364" i="1"/>
  <c r="A4364" i="1"/>
  <c r="H4363" i="1"/>
  <c r="C4363" i="1"/>
  <c r="A4363" i="1"/>
  <c r="H4362" i="1"/>
  <c r="C4362" i="1"/>
  <c r="A4362" i="1"/>
  <c r="H4361" i="1"/>
  <c r="C4361" i="1"/>
  <c r="A4361" i="1"/>
  <c r="H4360" i="1"/>
  <c r="C4360" i="1"/>
  <c r="A4360" i="1"/>
  <c r="H4359" i="1"/>
  <c r="C4359" i="1"/>
  <c r="A4359" i="1"/>
  <c r="H4358" i="1"/>
  <c r="C4358" i="1"/>
  <c r="A4358" i="1"/>
  <c r="H4357" i="1"/>
  <c r="C4357" i="1"/>
  <c r="A4357" i="1"/>
  <c r="H4356" i="1"/>
  <c r="C4356" i="1"/>
  <c r="A4356" i="1"/>
  <c r="H4355" i="1"/>
  <c r="C4355" i="1"/>
  <c r="A4355" i="1"/>
  <c r="H4354" i="1"/>
  <c r="C4354" i="1"/>
  <c r="A4354" i="1"/>
  <c r="H4353" i="1"/>
  <c r="C4353" i="1"/>
  <c r="A4353" i="1"/>
  <c r="H4352" i="1"/>
  <c r="C4352" i="1"/>
  <c r="A4352" i="1"/>
  <c r="H4351" i="1"/>
  <c r="C4351" i="1"/>
  <c r="A4351" i="1"/>
  <c r="H4350" i="1"/>
  <c r="C4350" i="1"/>
  <c r="A4350" i="1"/>
  <c r="H4349" i="1"/>
  <c r="C4349" i="1"/>
  <c r="A4349" i="1"/>
  <c r="H4348" i="1"/>
  <c r="C4348" i="1"/>
  <c r="A4348" i="1"/>
  <c r="H4347" i="1"/>
  <c r="C4347" i="1"/>
  <c r="A4347" i="1"/>
  <c r="H4346" i="1"/>
  <c r="C4346" i="1"/>
  <c r="A4346" i="1"/>
  <c r="H4345" i="1"/>
  <c r="C4345" i="1"/>
  <c r="A4345" i="1"/>
  <c r="H4344" i="1"/>
  <c r="C4344" i="1"/>
  <c r="A4344" i="1"/>
  <c r="H4343" i="1"/>
  <c r="C4343" i="1"/>
  <c r="A4343" i="1"/>
  <c r="H4342" i="1"/>
  <c r="C4342" i="1"/>
  <c r="A4342" i="1"/>
  <c r="H4341" i="1"/>
  <c r="C4341" i="1"/>
  <c r="A4341" i="1"/>
  <c r="H4340" i="1"/>
  <c r="C4340" i="1"/>
  <c r="A4340" i="1"/>
  <c r="H4339" i="1"/>
  <c r="C4339" i="1"/>
  <c r="A4339" i="1"/>
  <c r="H4338" i="1"/>
  <c r="C4338" i="1"/>
  <c r="A4338" i="1"/>
  <c r="H4337" i="1"/>
  <c r="C4337" i="1"/>
  <c r="A4337" i="1"/>
  <c r="H4336" i="1"/>
  <c r="C4336" i="1"/>
  <c r="A4336" i="1"/>
  <c r="H4335" i="1"/>
  <c r="C4335" i="1"/>
  <c r="A4335" i="1"/>
  <c r="H4334" i="1"/>
  <c r="C4334" i="1"/>
  <c r="A4334" i="1"/>
  <c r="H4333" i="1"/>
  <c r="C4333" i="1"/>
  <c r="A4333" i="1"/>
  <c r="H4332" i="1"/>
  <c r="C4332" i="1"/>
  <c r="A4332" i="1"/>
  <c r="H4331" i="1"/>
  <c r="C4331" i="1"/>
  <c r="A4331" i="1"/>
  <c r="H4330" i="1"/>
  <c r="C4330" i="1"/>
  <c r="A4330" i="1"/>
  <c r="H4329" i="1"/>
  <c r="C4329" i="1"/>
  <c r="A4329" i="1"/>
  <c r="H4328" i="1"/>
  <c r="C4328" i="1"/>
  <c r="A4328" i="1"/>
  <c r="H4327" i="1"/>
  <c r="C4327" i="1"/>
  <c r="A4327" i="1"/>
  <c r="H4326" i="1"/>
  <c r="C4326" i="1"/>
  <c r="A4326" i="1"/>
  <c r="H4325" i="1"/>
  <c r="C4325" i="1"/>
  <c r="A4325" i="1"/>
  <c r="H4324" i="1"/>
  <c r="C4324" i="1"/>
  <c r="A4324" i="1"/>
  <c r="H4323" i="1"/>
  <c r="C4323" i="1"/>
  <c r="A4323" i="1"/>
  <c r="H4322" i="1"/>
  <c r="C4322" i="1"/>
  <c r="A4322" i="1"/>
  <c r="H4321" i="1"/>
  <c r="C4321" i="1"/>
  <c r="A4321" i="1"/>
  <c r="H4320" i="1"/>
  <c r="C4320" i="1"/>
  <c r="A4320" i="1"/>
  <c r="H4319" i="1"/>
  <c r="C4319" i="1"/>
  <c r="A4319" i="1"/>
  <c r="H4318" i="1"/>
  <c r="C4318" i="1"/>
  <c r="A4318" i="1"/>
  <c r="H4317" i="1"/>
  <c r="C4317" i="1"/>
  <c r="A4317" i="1"/>
  <c r="H4316" i="1"/>
  <c r="C4316" i="1"/>
  <c r="A4316" i="1"/>
  <c r="H4315" i="1"/>
  <c r="C4315" i="1"/>
  <c r="A4315" i="1"/>
  <c r="H4314" i="1"/>
  <c r="C4314" i="1"/>
  <c r="A4314" i="1"/>
  <c r="H4313" i="1"/>
  <c r="C4313" i="1"/>
  <c r="A4313" i="1"/>
  <c r="H4312" i="1"/>
  <c r="C4312" i="1"/>
  <c r="A4312" i="1"/>
  <c r="H4311" i="1"/>
  <c r="C4311" i="1"/>
  <c r="A4311" i="1"/>
  <c r="H4310" i="1"/>
  <c r="C4310" i="1"/>
  <c r="A4310" i="1"/>
  <c r="H4309" i="1"/>
  <c r="C4309" i="1"/>
  <c r="A4309" i="1"/>
  <c r="H4308" i="1"/>
  <c r="C4308" i="1"/>
  <c r="A4308" i="1"/>
  <c r="H4307" i="1"/>
  <c r="C4307" i="1"/>
  <c r="A4307" i="1"/>
  <c r="H4306" i="1"/>
  <c r="C4306" i="1"/>
  <c r="A4306" i="1"/>
  <c r="H4305" i="1"/>
  <c r="C4305" i="1"/>
  <c r="A4305" i="1"/>
  <c r="H4304" i="1"/>
  <c r="C4304" i="1"/>
  <c r="A4304" i="1"/>
  <c r="H4303" i="1"/>
  <c r="C4303" i="1"/>
  <c r="A4303" i="1"/>
  <c r="H4302" i="1"/>
  <c r="C4302" i="1"/>
  <c r="A4302" i="1"/>
  <c r="H4301" i="1"/>
  <c r="C4301" i="1"/>
  <c r="A4301" i="1"/>
  <c r="H4300" i="1"/>
  <c r="C4300" i="1"/>
  <c r="A4300" i="1"/>
  <c r="H4299" i="1"/>
  <c r="C4299" i="1"/>
  <c r="A4299" i="1"/>
  <c r="H4298" i="1"/>
  <c r="C4298" i="1"/>
  <c r="A4298" i="1"/>
  <c r="H4297" i="1"/>
  <c r="C4297" i="1"/>
  <c r="A4297" i="1"/>
  <c r="H4296" i="1"/>
  <c r="C4296" i="1"/>
  <c r="A4296" i="1"/>
  <c r="H4295" i="1"/>
  <c r="C4295" i="1"/>
  <c r="A4295" i="1"/>
  <c r="H4294" i="1"/>
  <c r="C4294" i="1"/>
  <c r="A4294" i="1"/>
  <c r="H4293" i="1"/>
  <c r="C4293" i="1"/>
  <c r="A4293" i="1"/>
  <c r="H4292" i="1"/>
  <c r="C4292" i="1"/>
  <c r="A4292" i="1"/>
  <c r="H4291" i="1"/>
  <c r="C4291" i="1"/>
  <c r="A4291" i="1"/>
  <c r="H4290" i="1"/>
  <c r="C4290" i="1"/>
  <c r="A4290" i="1"/>
  <c r="H4289" i="1"/>
  <c r="C4289" i="1"/>
  <c r="A4289" i="1"/>
  <c r="H4288" i="1"/>
  <c r="C4288" i="1"/>
  <c r="A4288" i="1"/>
  <c r="H4287" i="1"/>
  <c r="C4287" i="1"/>
  <c r="A4287" i="1"/>
  <c r="H4286" i="1"/>
  <c r="C4286" i="1"/>
  <c r="A4286" i="1"/>
  <c r="H4285" i="1"/>
  <c r="C4285" i="1"/>
  <c r="A4285" i="1"/>
  <c r="H4284" i="1"/>
  <c r="C4284" i="1"/>
  <c r="A4284" i="1"/>
  <c r="H4283" i="1"/>
  <c r="C4283" i="1"/>
  <c r="A4283" i="1"/>
  <c r="H4282" i="1"/>
  <c r="C4282" i="1"/>
  <c r="A4282" i="1"/>
  <c r="H4281" i="1"/>
  <c r="C4281" i="1"/>
  <c r="A4281" i="1"/>
  <c r="H4280" i="1"/>
  <c r="C4280" i="1"/>
  <c r="A4280" i="1"/>
  <c r="H4279" i="1"/>
  <c r="C4279" i="1"/>
  <c r="A4279" i="1"/>
  <c r="H4278" i="1"/>
  <c r="C4278" i="1"/>
  <c r="A4278" i="1"/>
  <c r="H4277" i="1"/>
  <c r="C4277" i="1"/>
  <c r="A4277" i="1"/>
  <c r="H4276" i="1"/>
  <c r="C4276" i="1"/>
  <c r="A4276" i="1"/>
  <c r="H4275" i="1"/>
  <c r="C4275" i="1"/>
  <c r="A4275" i="1"/>
  <c r="H4274" i="1"/>
  <c r="C4274" i="1"/>
  <c r="A4274" i="1"/>
  <c r="H4273" i="1"/>
  <c r="C4273" i="1"/>
  <c r="A4273" i="1"/>
  <c r="H4272" i="1"/>
  <c r="C4272" i="1"/>
  <c r="A4272" i="1"/>
  <c r="H4271" i="1"/>
  <c r="C4271" i="1"/>
  <c r="A4271" i="1"/>
  <c r="H4270" i="1"/>
  <c r="C4270" i="1"/>
  <c r="A4270" i="1"/>
  <c r="H4269" i="1"/>
  <c r="C4269" i="1"/>
  <c r="A4269" i="1"/>
  <c r="H4268" i="1"/>
  <c r="C4268" i="1"/>
  <c r="A4268" i="1"/>
  <c r="H4267" i="1"/>
  <c r="C4267" i="1"/>
  <c r="A4267" i="1"/>
  <c r="H4266" i="1"/>
  <c r="C4266" i="1"/>
  <c r="A4266" i="1"/>
  <c r="H4265" i="1"/>
  <c r="C4265" i="1"/>
  <c r="A4265" i="1"/>
  <c r="H4264" i="1"/>
  <c r="C4264" i="1"/>
  <c r="A4264" i="1"/>
  <c r="H4263" i="1"/>
  <c r="C4263" i="1"/>
  <c r="A4263" i="1"/>
  <c r="H4262" i="1"/>
  <c r="C4262" i="1"/>
  <c r="A4262" i="1"/>
  <c r="H4261" i="1"/>
  <c r="C4261" i="1"/>
  <c r="A4261" i="1"/>
  <c r="H4260" i="1"/>
  <c r="C4260" i="1"/>
  <c r="A4260" i="1"/>
  <c r="H4259" i="1"/>
  <c r="C4259" i="1"/>
  <c r="A4259" i="1"/>
  <c r="H4258" i="1"/>
  <c r="C4258" i="1"/>
  <c r="A4258" i="1"/>
  <c r="H4257" i="1"/>
  <c r="C4257" i="1"/>
  <c r="A4257" i="1"/>
  <c r="H4256" i="1"/>
  <c r="C4256" i="1"/>
  <c r="A4256" i="1"/>
  <c r="H4255" i="1"/>
  <c r="C4255" i="1"/>
  <c r="A4255" i="1"/>
  <c r="H4254" i="1"/>
  <c r="C4254" i="1"/>
  <c r="A4254" i="1"/>
  <c r="H4253" i="1"/>
  <c r="C4253" i="1"/>
  <c r="A4253" i="1"/>
  <c r="H4252" i="1"/>
  <c r="C4252" i="1"/>
  <c r="A4252" i="1"/>
  <c r="H4251" i="1"/>
  <c r="C4251" i="1"/>
  <c r="A4251" i="1"/>
  <c r="H4250" i="1"/>
  <c r="C4250" i="1"/>
  <c r="A4250" i="1"/>
  <c r="H4249" i="1"/>
  <c r="C4249" i="1"/>
  <c r="A4249" i="1"/>
  <c r="H4248" i="1"/>
  <c r="C4248" i="1"/>
  <c r="A4248" i="1"/>
  <c r="H4247" i="1"/>
  <c r="C4247" i="1"/>
  <c r="A4247" i="1"/>
  <c r="H4246" i="1"/>
  <c r="C4246" i="1"/>
  <c r="A4246" i="1"/>
  <c r="H4245" i="1"/>
  <c r="C4245" i="1"/>
  <c r="A4245" i="1"/>
  <c r="H4244" i="1"/>
  <c r="C4244" i="1"/>
  <c r="A4244" i="1"/>
  <c r="H4243" i="1"/>
  <c r="C4243" i="1"/>
  <c r="A4243" i="1"/>
  <c r="H4242" i="1"/>
  <c r="C4242" i="1"/>
  <c r="A4242" i="1"/>
  <c r="H4241" i="1"/>
  <c r="C4241" i="1"/>
  <c r="A4241" i="1"/>
  <c r="H4240" i="1"/>
  <c r="C4240" i="1"/>
  <c r="A4240" i="1"/>
  <c r="H4239" i="1"/>
  <c r="C4239" i="1"/>
  <c r="A4239" i="1"/>
  <c r="H4238" i="1"/>
  <c r="C4238" i="1"/>
  <c r="A4238" i="1"/>
  <c r="H4237" i="1"/>
  <c r="C4237" i="1"/>
  <c r="A4237" i="1"/>
  <c r="H4236" i="1"/>
  <c r="C4236" i="1"/>
  <c r="A4236" i="1"/>
  <c r="H4235" i="1"/>
  <c r="C4235" i="1"/>
  <c r="A4235" i="1"/>
  <c r="H4234" i="1"/>
  <c r="C4234" i="1"/>
  <c r="A4234" i="1"/>
  <c r="H4233" i="1"/>
  <c r="C4233" i="1"/>
  <c r="A4233" i="1"/>
  <c r="H4232" i="1"/>
  <c r="C4232" i="1"/>
  <c r="A4232" i="1"/>
  <c r="H4231" i="1"/>
  <c r="C4231" i="1"/>
  <c r="A4231" i="1"/>
  <c r="H4230" i="1"/>
  <c r="C4230" i="1"/>
  <c r="A4230" i="1"/>
  <c r="H4229" i="1"/>
  <c r="C4229" i="1"/>
  <c r="A4229" i="1"/>
  <c r="H4228" i="1"/>
  <c r="C4228" i="1"/>
  <c r="A4228" i="1"/>
  <c r="H4227" i="1"/>
  <c r="C4227" i="1"/>
  <c r="A4227" i="1"/>
  <c r="H4226" i="1"/>
  <c r="C4226" i="1"/>
  <c r="A4226" i="1"/>
  <c r="H4225" i="1"/>
  <c r="C4225" i="1"/>
  <c r="A4225" i="1"/>
  <c r="H4224" i="1"/>
  <c r="C4224" i="1"/>
  <c r="A4224" i="1"/>
  <c r="H4223" i="1"/>
  <c r="C4223" i="1"/>
  <c r="A4223" i="1"/>
  <c r="H4222" i="1"/>
  <c r="C4222" i="1"/>
  <c r="A4222" i="1"/>
  <c r="H4221" i="1"/>
  <c r="C4221" i="1"/>
  <c r="A4221" i="1"/>
  <c r="H4220" i="1"/>
  <c r="C4220" i="1"/>
  <c r="A4220" i="1"/>
  <c r="H4219" i="1"/>
  <c r="C4219" i="1"/>
  <c r="A4219" i="1"/>
  <c r="H4218" i="1"/>
  <c r="C4218" i="1"/>
  <c r="A4218" i="1"/>
  <c r="H4217" i="1"/>
  <c r="C4217" i="1"/>
  <c r="A4217" i="1"/>
  <c r="H4216" i="1"/>
  <c r="C4216" i="1"/>
  <c r="A4216" i="1"/>
  <c r="H4215" i="1"/>
  <c r="C4215" i="1"/>
  <c r="A4215" i="1"/>
  <c r="H4214" i="1"/>
  <c r="C4214" i="1"/>
  <c r="A4214" i="1"/>
  <c r="H4213" i="1"/>
  <c r="C4213" i="1"/>
  <c r="A4213" i="1"/>
  <c r="H4212" i="1"/>
  <c r="C4212" i="1"/>
  <c r="A4212" i="1"/>
  <c r="H4211" i="1"/>
  <c r="C4211" i="1"/>
  <c r="A4211" i="1"/>
  <c r="H4210" i="1"/>
  <c r="C4210" i="1"/>
  <c r="A4210" i="1"/>
  <c r="H4209" i="1"/>
  <c r="C4209" i="1"/>
  <c r="A4209" i="1"/>
  <c r="H4208" i="1"/>
  <c r="C4208" i="1"/>
  <c r="A4208" i="1"/>
  <c r="H4207" i="1"/>
  <c r="C4207" i="1"/>
  <c r="A4207" i="1"/>
  <c r="H4206" i="1"/>
  <c r="C4206" i="1"/>
  <c r="A4206" i="1"/>
  <c r="H4205" i="1"/>
  <c r="C4205" i="1"/>
  <c r="A4205" i="1"/>
  <c r="H4204" i="1"/>
  <c r="C4204" i="1"/>
  <c r="A4204" i="1"/>
  <c r="H4203" i="1"/>
  <c r="C4203" i="1"/>
  <c r="A4203" i="1"/>
  <c r="H4202" i="1"/>
  <c r="C4202" i="1"/>
  <c r="A4202" i="1"/>
  <c r="H4201" i="1"/>
  <c r="C4201" i="1"/>
  <c r="A4201" i="1"/>
  <c r="H4200" i="1"/>
  <c r="C4200" i="1"/>
  <c r="A4200" i="1"/>
  <c r="H4199" i="1"/>
  <c r="C4199" i="1"/>
  <c r="A4199" i="1"/>
  <c r="H4198" i="1"/>
  <c r="C4198" i="1"/>
  <c r="A4198" i="1"/>
  <c r="H4197" i="1"/>
  <c r="C4197" i="1"/>
  <c r="A4197" i="1"/>
  <c r="H4196" i="1"/>
  <c r="C4196" i="1"/>
  <c r="A4196" i="1"/>
  <c r="H4195" i="1"/>
  <c r="C4195" i="1"/>
  <c r="A4195" i="1"/>
  <c r="H4194" i="1"/>
  <c r="C4194" i="1"/>
  <c r="A4194" i="1"/>
  <c r="H4193" i="1"/>
  <c r="C4193" i="1"/>
  <c r="A4193" i="1"/>
  <c r="H4192" i="1"/>
  <c r="C4192" i="1"/>
  <c r="A4192" i="1"/>
  <c r="H4191" i="1"/>
  <c r="C4191" i="1"/>
  <c r="A4191" i="1"/>
  <c r="H4190" i="1"/>
  <c r="C4190" i="1"/>
  <c r="A4190" i="1"/>
  <c r="H4189" i="1"/>
  <c r="C4189" i="1"/>
  <c r="A4189" i="1"/>
  <c r="H4188" i="1"/>
  <c r="C4188" i="1"/>
  <c r="A4188" i="1"/>
  <c r="H4187" i="1"/>
  <c r="C4187" i="1"/>
  <c r="A4187" i="1"/>
  <c r="H4186" i="1"/>
  <c r="C4186" i="1"/>
  <c r="A4186" i="1"/>
  <c r="H4185" i="1"/>
  <c r="C4185" i="1"/>
  <c r="A4185" i="1"/>
  <c r="H4184" i="1"/>
  <c r="C4184" i="1"/>
  <c r="A4184" i="1"/>
  <c r="H4183" i="1"/>
  <c r="C4183" i="1"/>
  <c r="A4183" i="1"/>
  <c r="H4182" i="1"/>
  <c r="C4182" i="1"/>
  <c r="A4182" i="1"/>
  <c r="H4181" i="1"/>
  <c r="C4181" i="1"/>
  <c r="A4181" i="1"/>
  <c r="H4180" i="1"/>
  <c r="C4180" i="1"/>
  <c r="A4180" i="1"/>
  <c r="H4179" i="1"/>
  <c r="C4179" i="1"/>
  <c r="A4179" i="1"/>
  <c r="H4178" i="1"/>
  <c r="C4178" i="1"/>
  <c r="A4178" i="1"/>
  <c r="H4177" i="1"/>
  <c r="C4177" i="1"/>
  <c r="A4177" i="1"/>
  <c r="H4176" i="1"/>
  <c r="C4176" i="1"/>
  <c r="A4176" i="1"/>
  <c r="H4175" i="1"/>
  <c r="C4175" i="1"/>
  <c r="A4175" i="1"/>
  <c r="H4174" i="1"/>
  <c r="C4174" i="1"/>
  <c r="A4174" i="1"/>
  <c r="H4173" i="1"/>
  <c r="C4173" i="1"/>
  <c r="A4173" i="1"/>
  <c r="H4172" i="1"/>
  <c r="C4172" i="1"/>
  <c r="A4172" i="1"/>
  <c r="H4171" i="1"/>
  <c r="C4171" i="1"/>
  <c r="A4171" i="1"/>
  <c r="H4170" i="1"/>
  <c r="C4170" i="1"/>
  <c r="A4170" i="1"/>
  <c r="H4169" i="1"/>
  <c r="C4169" i="1"/>
  <c r="A4169" i="1"/>
  <c r="H4168" i="1"/>
  <c r="C4168" i="1"/>
  <c r="A4168" i="1"/>
  <c r="H4167" i="1"/>
  <c r="C4167" i="1"/>
  <c r="A4167" i="1"/>
  <c r="H4166" i="1"/>
  <c r="C4166" i="1"/>
  <c r="A4166" i="1"/>
  <c r="H4165" i="1"/>
  <c r="C4165" i="1"/>
  <c r="A4165" i="1"/>
  <c r="H4164" i="1"/>
  <c r="C4164" i="1"/>
  <c r="A4164" i="1"/>
  <c r="H4163" i="1"/>
  <c r="C4163" i="1"/>
  <c r="A4163" i="1"/>
  <c r="H4162" i="1"/>
  <c r="C4162" i="1"/>
  <c r="A4162" i="1"/>
  <c r="H4161" i="1"/>
  <c r="C4161" i="1"/>
  <c r="A4161" i="1"/>
  <c r="H4160" i="1"/>
  <c r="C4160" i="1"/>
  <c r="A4160" i="1"/>
  <c r="H4159" i="1"/>
  <c r="C4159" i="1"/>
  <c r="A4159" i="1"/>
  <c r="H4158" i="1"/>
  <c r="C4158" i="1"/>
  <c r="A4158" i="1"/>
  <c r="H4157" i="1"/>
  <c r="C4157" i="1"/>
  <c r="A4157" i="1"/>
  <c r="H4156" i="1"/>
  <c r="C4156" i="1"/>
  <c r="A4156" i="1"/>
  <c r="H4155" i="1"/>
  <c r="C4155" i="1"/>
  <c r="A4155" i="1"/>
  <c r="H4154" i="1"/>
  <c r="C4154" i="1"/>
  <c r="A4154" i="1"/>
  <c r="H4153" i="1"/>
  <c r="C4153" i="1"/>
  <c r="A4153" i="1"/>
  <c r="H4152" i="1"/>
  <c r="C4152" i="1"/>
  <c r="A4152" i="1"/>
  <c r="H4151" i="1"/>
  <c r="C4151" i="1"/>
  <c r="A4151" i="1"/>
  <c r="H4150" i="1"/>
  <c r="C4150" i="1"/>
  <c r="A4150" i="1"/>
  <c r="H4149" i="1"/>
  <c r="C4149" i="1"/>
  <c r="A4149" i="1"/>
  <c r="H4148" i="1"/>
  <c r="C4148" i="1"/>
  <c r="A4148" i="1"/>
  <c r="H4147" i="1"/>
  <c r="C4147" i="1"/>
  <c r="A4147" i="1"/>
  <c r="H4146" i="1"/>
  <c r="C4146" i="1"/>
  <c r="A4146" i="1"/>
  <c r="H4145" i="1"/>
  <c r="C4145" i="1"/>
  <c r="A4145" i="1"/>
  <c r="H4144" i="1"/>
  <c r="C4144" i="1"/>
  <c r="A4144" i="1"/>
  <c r="H4143" i="1"/>
  <c r="C4143" i="1"/>
  <c r="A4143" i="1"/>
  <c r="H4142" i="1"/>
  <c r="C4142" i="1"/>
  <c r="A4142" i="1"/>
  <c r="H4141" i="1"/>
  <c r="C4141" i="1"/>
  <c r="A4141" i="1"/>
  <c r="H4140" i="1"/>
  <c r="C4140" i="1"/>
  <c r="A4140" i="1"/>
  <c r="H4139" i="1"/>
  <c r="C4139" i="1"/>
  <c r="A4139" i="1"/>
  <c r="H4138" i="1"/>
  <c r="C4138" i="1"/>
  <c r="A4138" i="1"/>
  <c r="H4137" i="1"/>
  <c r="C4137" i="1"/>
  <c r="A4137" i="1"/>
  <c r="H4136" i="1"/>
  <c r="C4136" i="1"/>
  <c r="A4136" i="1"/>
  <c r="H4135" i="1"/>
  <c r="C4135" i="1"/>
  <c r="A4135" i="1"/>
  <c r="H4134" i="1"/>
  <c r="C4134" i="1"/>
  <c r="A4134" i="1"/>
  <c r="H4133" i="1"/>
  <c r="C4133" i="1"/>
  <c r="A4133" i="1"/>
  <c r="H4132" i="1"/>
  <c r="C4132" i="1"/>
  <c r="A4132" i="1"/>
  <c r="H4131" i="1"/>
  <c r="C4131" i="1"/>
  <c r="A4131" i="1"/>
  <c r="H4130" i="1"/>
  <c r="C4130" i="1"/>
  <c r="A4130" i="1"/>
  <c r="H4129" i="1"/>
  <c r="C4129" i="1"/>
  <c r="A4129" i="1"/>
  <c r="H4128" i="1"/>
  <c r="C4128" i="1"/>
  <c r="A4128" i="1"/>
  <c r="H4127" i="1"/>
  <c r="C4127" i="1"/>
  <c r="A4127" i="1"/>
  <c r="H4126" i="1"/>
  <c r="C4126" i="1"/>
  <c r="A4126" i="1"/>
  <c r="H4125" i="1"/>
  <c r="C4125" i="1"/>
  <c r="A4125" i="1"/>
  <c r="H4124" i="1"/>
  <c r="C4124" i="1"/>
  <c r="A4124" i="1"/>
  <c r="H4123" i="1"/>
  <c r="C4123" i="1"/>
  <c r="A4123" i="1"/>
  <c r="H4122" i="1"/>
  <c r="C4122" i="1"/>
  <c r="A4122" i="1"/>
  <c r="H4121" i="1"/>
  <c r="C4121" i="1"/>
  <c r="A4121" i="1"/>
  <c r="H4120" i="1"/>
  <c r="C4120" i="1"/>
  <c r="A4120" i="1"/>
  <c r="H4119" i="1"/>
  <c r="C4119" i="1"/>
  <c r="A4119" i="1"/>
  <c r="H4118" i="1"/>
  <c r="C4118" i="1"/>
  <c r="A4118" i="1"/>
  <c r="H4117" i="1"/>
  <c r="C4117" i="1"/>
  <c r="A4117" i="1"/>
  <c r="H4116" i="1"/>
  <c r="C4116" i="1"/>
  <c r="A4116" i="1"/>
  <c r="H4115" i="1"/>
  <c r="C4115" i="1"/>
  <c r="A4115" i="1"/>
  <c r="H4114" i="1"/>
  <c r="C4114" i="1"/>
  <c r="A4114" i="1"/>
  <c r="H4113" i="1"/>
  <c r="C4113" i="1"/>
  <c r="A4113" i="1"/>
  <c r="H4112" i="1"/>
  <c r="C4112" i="1"/>
  <c r="A4112" i="1"/>
  <c r="H4111" i="1"/>
  <c r="C4111" i="1"/>
  <c r="A4111" i="1"/>
  <c r="H4110" i="1"/>
  <c r="C4110" i="1"/>
  <c r="A4110" i="1"/>
  <c r="H4109" i="1"/>
  <c r="C4109" i="1"/>
  <c r="A4109" i="1"/>
  <c r="H4108" i="1"/>
  <c r="C4108" i="1"/>
  <c r="A4108" i="1"/>
  <c r="H4107" i="1"/>
  <c r="C4107" i="1"/>
  <c r="A4107" i="1"/>
  <c r="H4106" i="1"/>
  <c r="C4106" i="1"/>
  <c r="A4106" i="1"/>
  <c r="H4105" i="1"/>
  <c r="C4105" i="1"/>
  <c r="A4105" i="1"/>
  <c r="H4104" i="1"/>
  <c r="C4104" i="1"/>
  <c r="A4104" i="1"/>
  <c r="H4103" i="1"/>
  <c r="C4103" i="1"/>
  <c r="A4103" i="1"/>
  <c r="H4102" i="1"/>
  <c r="C4102" i="1"/>
  <c r="A4102" i="1"/>
  <c r="H4101" i="1"/>
  <c r="C4101" i="1"/>
  <c r="A4101" i="1"/>
  <c r="H4100" i="1"/>
  <c r="C4100" i="1"/>
  <c r="A4100" i="1"/>
  <c r="H4099" i="1"/>
  <c r="C4099" i="1"/>
  <c r="A4099" i="1"/>
  <c r="H4098" i="1"/>
  <c r="C4098" i="1"/>
  <c r="A4098" i="1"/>
  <c r="H4097" i="1"/>
  <c r="C4097" i="1"/>
  <c r="A4097" i="1"/>
  <c r="H4096" i="1"/>
  <c r="C4096" i="1"/>
  <c r="A4096" i="1"/>
  <c r="H4095" i="1"/>
  <c r="C4095" i="1"/>
  <c r="A4095" i="1"/>
  <c r="H4094" i="1"/>
  <c r="C4094" i="1"/>
  <c r="A4094" i="1"/>
  <c r="H4093" i="1"/>
  <c r="C4093" i="1"/>
  <c r="A4093" i="1"/>
  <c r="H4092" i="1"/>
  <c r="C4092" i="1"/>
  <c r="A4092" i="1"/>
  <c r="H4091" i="1"/>
  <c r="C4091" i="1"/>
  <c r="A4091" i="1"/>
  <c r="H4090" i="1"/>
  <c r="C4090" i="1"/>
  <c r="A4090" i="1"/>
  <c r="H4089" i="1"/>
  <c r="C4089" i="1"/>
  <c r="A4089" i="1"/>
  <c r="H4088" i="1"/>
  <c r="C4088" i="1"/>
  <c r="A4088" i="1"/>
  <c r="H4087" i="1"/>
  <c r="C4087" i="1"/>
  <c r="A4087" i="1"/>
  <c r="H4086" i="1"/>
  <c r="C4086" i="1"/>
  <c r="A4086" i="1"/>
  <c r="H4085" i="1"/>
  <c r="C4085" i="1"/>
  <c r="A4085" i="1"/>
  <c r="H4084" i="1"/>
  <c r="C4084" i="1"/>
  <c r="A4084" i="1"/>
  <c r="H4083" i="1"/>
  <c r="C4083" i="1"/>
  <c r="A4083" i="1"/>
  <c r="H4082" i="1"/>
  <c r="C4082" i="1"/>
  <c r="A4082" i="1"/>
  <c r="H4081" i="1"/>
  <c r="C4081" i="1"/>
  <c r="A4081" i="1"/>
  <c r="H4080" i="1"/>
  <c r="C4080" i="1"/>
  <c r="A4080" i="1"/>
  <c r="H4079" i="1"/>
  <c r="C4079" i="1"/>
  <c r="A4079" i="1"/>
  <c r="H4078" i="1"/>
  <c r="C4078" i="1"/>
  <c r="A4078" i="1"/>
  <c r="H4077" i="1"/>
  <c r="C4077" i="1"/>
  <c r="A4077" i="1"/>
  <c r="H4076" i="1"/>
  <c r="C4076" i="1"/>
  <c r="A4076" i="1"/>
  <c r="H4075" i="1"/>
  <c r="C4075" i="1"/>
  <c r="A4075" i="1"/>
  <c r="H4074" i="1"/>
  <c r="C4074" i="1"/>
  <c r="A4074" i="1"/>
  <c r="H4073" i="1"/>
  <c r="C4073" i="1"/>
  <c r="A4073" i="1"/>
  <c r="H4072" i="1"/>
  <c r="C4072" i="1"/>
  <c r="A4072" i="1"/>
  <c r="H4071" i="1"/>
  <c r="C4071" i="1"/>
  <c r="A4071" i="1"/>
  <c r="H4070" i="1"/>
  <c r="C4070" i="1"/>
  <c r="A4070" i="1"/>
  <c r="H4069" i="1"/>
  <c r="C4069" i="1"/>
  <c r="A4069" i="1"/>
  <c r="H4068" i="1"/>
  <c r="C4068" i="1"/>
  <c r="A4068" i="1"/>
  <c r="H4067" i="1"/>
  <c r="C4067" i="1"/>
  <c r="A4067" i="1"/>
  <c r="H4066" i="1"/>
  <c r="C4066" i="1"/>
  <c r="A4066" i="1"/>
  <c r="H4065" i="1"/>
  <c r="C4065" i="1"/>
  <c r="A4065" i="1"/>
  <c r="H4064" i="1"/>
  <c r="C4064" i="1"/>
  <c r="A4064" i="1"/>
  <c r="H4063" i="1"/>
  <c r="C4063" i="1"/>
  <c r="A4063" i="1"/>
  <c r="H4062" i="1"/>
  <c r="C4062" i="1"/>
  <c r="A4062" i="1"/>
  <c r="H4061" i="1"/>
  <c r="C4061" i="1"/>
  <c r="A4061" i="1"/>
  <c r="H4060" i="1"/>
  <c r="C4060" i="1"/>
  <c r="A4060" i="1"/>
  <c r="H4059" i="1"/>
  <c r="C4059" i="1"/>
  <c r="A4059" i="1"/>
  <c r="H4058" i="1"/>
  <c r="C4058" i="1"/>
  <c r="A4058" i="1"/>
  <c r="H4057" i="1"/>
  <c r="C4057" i="1"/>
  <c r="A4057" i="1"/>
  <c r="H4056" i="1"/>
  <c r="C4056" i="1"/>
  <c r="A4056" i="1"/>
  <c r="H4055" i="1"/>
  <c r="C4055" i="1"/>
  <c r="A4055" i="1"/>
  <c r="H4054" i="1"/>
  <c r="C4054" i="1"/>
  <c r="A4054" i="1"/>
  <c r="H4053" i="1"/>
  <c r="C4053" i="1"/>
  <c r="A4053" i="1"/>
  <c r="H4052" i="1"/>
  <c r="C4052" i="1"/>
  <c r="A4052" i="1"/>
  <c r="H4051" i="1"/>
  <c r="C4051" i="1"/>
  <c r="A4051" i="1"/>
  <c r="H4050" i="1"/>
  <c r="C4050" i="1"/>
  <c r="A4050" i="1"/>
  <c r="H4049" i="1"/>
  <c r="C4049" i="1"/>
  <c r="A4049" i="1"/>
  <c r="H4048" i="1"/>
  <c r="C4048" i="1"/>
  <c r="A4048" i="1"/>
  <c r="H4047" i="1"/>
  <c r="C4047" i="1"/>
  <c r="A4047" i="1"/>
  <c r="H4046" i="1"/>
  <c r="C4046" i="1"/>
  <c r="A4046" i="1"/>
  <c r="H4045" i="1"/>
  <c r="C4045" i="1"/>
  <c r="A4045" i="1"/>
  <c r="H4044" i="1"/>
  <c r="C4044" i="1"/>
  <c r="A4044" i="1"/>
  <c r="H4043" i="1"/>
  <c r="C4043" i="1"/>
  <c r="A4043" i="1"/>
  <c r="H4042" i="1"/>
  <c r="C4042" i="1"/>
  <c r="A4042" i="1"/>
  <c r="H4041" i="1"/>
  <c r="C4041" i="1"/>
  <c r="A4041" i="1"/>
  <c r="H4040" i="1"/>
  <c r="C4040" i="1"/>
  <c r="A4040" i="1"/>
  <c r="H4039" i="1"/>
  <c r="C4039" i="1"/>
  <c r="A4039" i="1"/>
  <c r="H4038" i="1"/>
  <c r="C4038" i="1"/>
  <c r="A4038" i="1"/>
  <c r="H4037" i="1"/>
  <c r="C4037" i="1"/>
  <c r="A4037" i="1"/>
  <c r="H4036" i="1"/>
  <c r="C4036" i="1"/>
  <c r="A4036" i="1"/>
  <c r="H4035" i="1"/>
  <c r="C4035" i="1"/>
  <c r="A4035" i="1"/>
  <c r="H4034" i="1"/>
  <c r="C4034" i="1"/>
  <c r="A4034" i="1"/>
  <c r="H4033" i="1"/>
  <c r="C4033" i="1"/>
  <c r="A4033" i="1"/>
  <c r="H4032" i="1"/>
  <c r="C4032" i="1"/>
  <c r="A4032" i="1"/>
  <c r="H4031" i="1"/>
  <c r="C4031" i="1"/>
  <c r="A4031" i="1"/>
  <c r="H4030" i="1"/>
  <c r="C4030" i="1"/>
  <c r="A4030" i="1"/>
  <c r="H4029" i="1"/>
  <c r="C4029" i="1"/>
  <c r="A4029" i="1"/>
  <c r="H4028" i="1"/>
  <c r="C4028" i="1"/>
  <c r="A4028" i="1"/>
  <c r="H4027" i="1"/>
  <c r="C4027" i="1"/>
  <c r="A4027" i="1"/>
  <c r="H4026" i="1"/>
  <c r="C4026" i="1"/>
  <c r="A4026" i="1"/>
  <c r="H4025" i="1"/>
  <c r="C4025" i="1"/>
  <c r="A4025" i="1"/>
  <c r="H4024" i="1"/>
  <c r="C4024" i="1"/>
  <c r="A4024" i="1"/>
  <c r="H4023" i="1"/>
  <c r="C4023" i="1"/>
  <c r="A4023" i="1"/>
  <c r="H4022" i="1"/>
  <c r="C4022" i="1"/>
  <c r="A4022" i="1"/>
  <c r="H4021" i="1"/>
  <c r="C4021" i="1"/>
  <c r="A4021" i="1"/>
  <c r="H4020" i="1"/>
  <c r="C4020" i="1"/>
  <c r="A4020" i="1"/>
  <c r="H4019" i="1"/>
  <c r="C4019" i="1"/>
  <c r="A4019" i="1"/>
  <c r="H4018" i="1"/>
  <c r="C4018" i="1"/>
  <c r="A4018" i="1"/>
  <c r="H4017" i="1"/>
  <c r="C4017" i="1"/>
  <c r="A4017" i="1"/>
  <c r="H4016" i="1"/>
  <c r="C4016" i="1"/>
  <c r="A4016" i="1"/>
  <c r="H4015" i="1"/>
  <c r="C4015" i="1"/>
  <c r="A4015" i="1"/>
  <c r="H4014" i="1"/>
  <c r="C4014" i="1"/>
  <c r="A4014" i="1"/>
  <c r="H4013" i="1"/>
  <c r="C4013" i="1"/>
  <c r="A4013" i="1"/>
  <c r="H4012" i="1"/>
  <c r="C4012" i="1"/>
  <c r="A4012" i="1"/>
  <c r="H4011" i="1"/>
  <c r="C4011" i="1"/>
  <c r="A4011" i="1"/>
  <c r="H4010" i="1"/>
  <c r="C4010" i="1"/>
  <c r="A4010" i="1"/>
  <c r="H4009" i="1"/>
  <c r="C4009" i="1"/>
  <c r="A4009" i="1"/>
  <c r="H4008" i="1"/>
  <c r="C4008" i="1"/>
  <c r="A4008" i="1"/>
  <c r="H4007" i="1"/>
  <c r="C4007" i="1"/>
  <c r="A4007" i="1"/>
  <c r="H4006" i="1"/>
  <c r="C4006" i="1"/>
  <c r="A4006" i="1"/>
  <c r="H4005" i="1"/>
  <c r="C4005" i="1"/>
  <c r="A4005" i="1"/>
  <c r="H4004" i="1"/>
  <c r="C4004" i="1"/>
  <c r="A4004" i="1"/>
  <c r="H4003" i="1"/>
  <c r="C4003" i="1"/>
  <c r="A4003" i="1"/>
  <c r="H4002" i="1"/>
  <c r="C4002" i="1"/>
  <c r="A4002" i="1"/>
  <c r="H4001" i="1"/>
  <c r="C4001" i="1"/>
  <c r="A4001" i="1"/>
  <c r="H4000" i="1"/>
  <c r="C4000" i="1"/>
  <c r="A4000" i="1"/>
  <c r="H3999" i="1"/>
  <c r="C3999" i="1"/>
  <c r="A3999" i="1"/>
  <c r="H3998" i="1"/>
  <c r="C3998" i="1"/>
  <c r="A3998" i="1"/>
  <c r="H3997" i="1"/>
  <c r="C3997" i="1"/>
  <c r="A3997" i="1"/>
  <c r="H3996" i="1"/>
  <c r="C3996" i="1"/>
  <c r="A3996" i="1"/>
  <c r="H3995" i="1"/>
  <c r="C3995" i="1"/>
  <c r="A3995" i="1"/>
  <c r="H3994" i="1"/>
  <c r="C3994" i="1"/>
  <c r="A3994" i="1"/>
  <c r="H3993" i="1"/>
  <c r="C3993" i="1"/>
  <c r="A3993" i="1"/>
  <c r="H3992" i="1"/>
  <c r="C3992" i="1"/>
  <c r="A3992" i="1"/>
  <c r="H3991" i="1"/>
  <c r="C3991" i="1"/>
  <c r="A3991" i="1"/>
  <c r="H3990" i="1"/>
  <c r="C3990" i="1"/>
  <c r="A3990" i="1"/>
  <c r="H3989" i="1"/>
  <c r="C3989" i="1"/>
  <c r="A3989" i="1"/>
  <c r="H3988" i="1"/>
  <c r="C3988" i="1"/>
  <c r="A3988" i="1"/>
  <c r="H3987" i="1"/>
  <c r="C3987" i="1"/>
  <c r="A3987" i="1"/>
  <c r="H3986" i="1"/>
  <c r="C3986" i="1"/>
  <c r="A3986" i="1"/>
  <c r="H3985" i="1"/>
  <c r="C3985" i="1"/>
  <c r="A3985" i="1"/>
  <c r="H3984" i="1"/>
  <c r="C3984" i="1"/>
  <c r="A3984" i="1"/>
  <c r="H3983" i="1"/>
  <c r="C3983" i="1"/>
  <c r="A3983" i="1"/>
  <c r="H3982" i="1"/>
  <c r="C3982" i="1"/>
  <c r="A3982" i="1"/>
  <c r="H3981" i="1"/>
  <c r="C3981" i="1"/>
  <c r="A3981" i="1"/>
  <c r="H3980" i="1"/>
  <c r="C3980" i="1"/>
  <c r="A3980" i="1"/>
  <c r="H3979" i="1"/>
  <c r="C3979" i="1"/>
  <c r="A3979" i="1"/>
  <c r="H3978" i="1"/>
  <c r="C3978" i="1"/>
  <c r="A3978" i="1"/>
  <c r="H3977" i="1"/>
  <c r="C3977" i="1"/>
  <c r="A3977" i="1"/>
  <c r="H3976" i="1"/>
  <c r="C3976" i="1"/>
  <c r="A3976" i="1"/>
  <c r="H3975" i="1"/>
  <c r="C3975" i="1"/>
  <c r="A3975" i="1"/>
  <c r="H3974" i="1"/>
  <c r="C3974" i="1"/>
  <c r="A3974" i="1"/>
  <c r="H3973" i="1"/>
  <c r="C3973" i="1"/>
  <c r="A3973" i="1"/>
  <c r="H3972" i="1"/>
  <c r="C3972" i="1"/>
  <c r="A3972" i="1"/>
  <c r="H3971" i="1"/>
  <c r="C3971" i="1"/>
  <c r="A3971" i="1"/>
  <c r="H3970" i="1"/>
  <c r="C3970" i="1"/>
  <c r="A3970" i="1"/>
  <c r="H3969" i="1"/>
  <c r="C3969" i="1"/>
  <c r="A3969" i="1"/>
  <c r="H3968" i="1"/>
  <c r="C3968" i="1"/>
  <c r="A3968" i="1"/>
  <c r="H3967" i="1"/>
  <c r="C3967" i="1"/>
  <c r="A3967" i="1"/>
  <c r="H3966" i="1"/>
  <c r="C3966" i="1"/>
  <c r="A3966" i="1"/>
  <c r="H3965" i="1"/>
  <c r="C3965" i="1"/>
  <c r="A3965" i="1"/>
  <c r="H3964" i="1"/>
  <c r="C3964" i="1"/>
  <c r="A3964" i="1"/>
  <c r="H3963" i="1"/>
  <c r="C3963" i="1"/>
  <c r="A3963" i="1"/>
  <c r="H3962" i="1"/>
  <c r="C3962" i="1"/>
  <c r="A3962" i="1"/>
  <c r="H3961" i="1"/>
  <c r="C3961" i="1"/>
  <c r="A3961" i="1"/>
  <c r="H3960" i="1"/>
  <c r="C3960" i="1"/>
  <c r="A3960" i="1"/>
  <c r="H3959" i="1"/>
  <c r="C3959" i="1"/>
  <c r="A3959" i="1"/>
  <c r="H3958" i="1"/>
  <c r="C3958" i="1"/>
  <c r="A3958" i="1"/>
  <c r="H3957" i="1"/>
  <c r="C3957" i="1"/>
  <c r="A3957" i="1"/>
  <c r="H3956" i="1"/>
  <c r="C3956" i="1"/>
  <c r="A3956" i="1"/>
  <c r="H3955" i="1"/>
  <c r="C3955" i="1"/>
  <c r="A3955" i="1"/>
  <c r="H3954" i="1"/>
  <c r="C3954" i="1"/>
  <c r="A3954" i="1"/>
  <c r="H3953" i="1"/>
  <c r="C3953" i="1"/>
  <c r="A3953" i="1"/>
  <c r="H3952" i="1"/>
  <c r="C3952" i="1"/>
  <c r="A3952" i="1"/>
  <c r="H3951" i="1"/>
  <c r="C3951" i="1"/>
  <c r="A3951" i="1"/>
  <c r="H3950" i="1"/>
  <c r="C3950" i="1"/>
  <c r="A3950" i="1"/>
  <c r="H3949" i="1"/>
  <c r="C3949" i="1"/>
  <c r="A3949" i="1"/>
  <c r="H3948" i="1"/>
  <c r="C3948" i="1"/>
  <c r="A3948" i="1"/>
  <c r="H3947" i="1"/>
  <c r="C3947" i="1"/>
  <c r="A3947" i="1"/>
  <c r="H3946" i="1"/>
  <c r="C3946" i="1"/>
  <c r="A3946" i="1"/>
  <c r="H3945" i="1"/>
  <c r="C3945" i="1"/>
  <c r="A3945" i="1"/>
  <c r="H3944" i="1"/>
  <c r="C3944" i="1"/>
  <c r="A3944" i="1"/>
  <c r="H3943" i="1"/>
  <c r="C3943" i="1"/>
  <c r="A3943" i="1"/>
  <c r="H3942" i="1"/>
  <c r="C3942" i="1"/>
  <c r="A3942" i="1"/>
  <c r="H3941" i="1"/>
  <c r="C3941" i="1"/>
  <c r="A3941" i="1"/>
  <c r="H3940" i="1"/>
  <c r="C3940" i="1"/>
  <c r="A3940" i="1"/>
  <c r="H3939" i="1"/>
  <c r="C3939" i="1"/>
  <c r="A3939" i="1"/>
  <c r="H3938" i="1"/>
  <c r="C3938" i="1"/>
  <c r="A3938" i="1"/>
  <c r="H3937" i="1"/>
  <c r="C3937" i="1"/>
  <c r="A3937" i="1"/>
  <c r="H3936" i="1"/>
  <c r="C3936" i="1"/>
  <c r="A3936" i="1"/>
  <c r="H3935" i="1"/>
  <c r="C3935" i="1"/>
  <c r="A3935" i="1"/>
  <c r="H3934" i="1"/>
  <c r="C3934" i="1"/>
  <c r="A3934" i="1"/>
  <c r="H3933" i="1"/>
  <c r="C3933" i="1"/>
  <c r="A3933" i="1"/>
  <c r="H3932" i="1"/>
  <c r="C3932" i="1"/>
  <c r="A3932" i="1"/>
  <c r="H3931" i="1"/>
  <c r="C3931" i="1"/>
  <c r="A3931" i="1"/>
  <c r="H3930" i="1"/>
  <c r="C3930" i="1"/>
  <c r="A3930" i="1"/>
  <c r="H3929" i="1"/>
  <c r="C3929" i="1"/>
  <c r="A3929" i="1"/>
  <c r="H3928" i="1"/>
  <c r="C3928" i="1"/>
  <c r="A3928" i="1"/>
  <c r="H3927" i="1"/>
  <c r="C3927" i="1"/>
  <c r="A3927" i="1"/>
  <c r="H3926" i="1"/>
  <c r="C3926" i="1"/>
  <c r="A3926" i="1"/>
  <c r="H3925" i="1"/>
  <c r="C3925" i="1"/>
  <c r="A3925" i="1"/>
  <c r="H3924" i="1"/>
  <c r="C3924" i="1"/>
  <c r="A3924" i="1"/>
  <c r="H3923" i="1"/>
  <c r="C3923" i="1"/>
  <c r="A3923" i="1"/>
  <c r="H3922" i="1"/>
  <c r="C3922" i="1"/>
  <c r="A3922" i="1"/>
  <c r="H3921" i="1"/>
  <c r="C3921" i="1"/>
  <c r="A3921" i="1"/>
  <c r="H3920" i="1"/>
  <c r="C3920" i="1"/>
  <c r="A3920" i="1"/>
  <c r="H3919" i="1"/>
  <c r="C3919" i="1"/>
  <c r="A3919" i="1"/>
  <c r="H3918" i="1"/>
  <c r="C3918" i="1"/>
  <c r="A3918" i="1"/>
  <c r="H3917" i="1"/>
  <c r="C3917" i="1"/>
  <c r="A3917" i="1"/>
  <c r="H3916" i="1"/>
  <c r="C3916" i="1"/>
  <c r="A3916" i="1"/>
  <c r="H3915" i="1"/>
  <c r="C3915" i="1"/>
  <c r="A3915" i="1"/>
  <c r="H3914" i="1"/>
  <c r="C3914" i="1"/>
  <c r="A3914" i="1"/>
  <c r="H3913" i="1"/>
  <c r="C3913" i="1"/>
  <c r="A3913" i="1"/>
  <c r="H3912" i="1"/>
  <c r="C3912" i="1"/>
  <c r="A3912" i="1"/>
  <c r="H3911" i="1"/>
  <c r="C3911" i="1"/>
  <c r="A3911" i="1"/>
  <c r="H3910" i="1"/>
  <c r="C3910" i="1"/>
  <c r="A3910" i="1"/>
  <c r="H3909" i="1"/>
  <c r="C3909" i="1"/>
  <c r="A3909" i="1"/>
  <c r="H3908" i="1"/>
  <c r="C3908" i="1"/>
  <c r="A3908" i="1"/>
  <c r="H3907" i="1"/>
  <c r="C3907" i="1"/>
  <c r="A3907" i="1"/>
  <c r="H3906" i="1"/>
  <c r="C3906" i="1"/>
  <c r="A3906" i="1"/>
  <c r="H3905" i="1"/>
  <c r="C3905" i="1"/>
  <c r="A3905" i="1"/>
  <c r="H3904" i="1"/>
  <c r="C3904" i="1"/>
  <c r="A3904" i="1"/>
  <c r="H3903" i="1"/>
  <c r="C3903" i="1"/>
  <c r="A3903" i="1"/>
  <c r="H3902" i="1"/>
  <c r="C3902" i="1"/>
  <c r="A3902" i="1"/>
  <c r="H3901" i="1"/>
  <c r="C3901" i="1"/>
  <c r="A3901" i="1"/>
  <c r="H3900" i="1"/>
  <c r="C3900" i="1"/>
  <c r="A3900" i="1"/>
  <c r="H3899" i="1"/>
  <c r="C3899" i="1"/>
  <c r="A3899" i="1"/>
  <c r="H3898" i="1"/>
  <c r="C3898" i="1"/>
  <c r="A3898" i="1"/>
  <c r="H3897" i="1"/>
  <c r="C3897" i="1"/>
  <c r="A3897" i="1"/>
  <c r="H3896" i="1"/>
  <c r="C3896" i="1"/>
  <c r="A3896" i="1"/>
  <c r="H3895" i="1"/>
  <c r="C3895" i="1"/>
  <c r="A3895" i="1"/>
  <c r="H3894" i="1"/>
  <c r="C3894" i="1"/>
  <c r="A3894" i="1"/>
  <c r="H3893" i="1"/>
  <c r="C3893" i="1"/>
  <c r="A3893" i="1"/>
  <c r="H3892" i="1"/>
  <c r="C3892" i="1"/>
  <c r="A3892" i="1"/>
  <c r="H3891" i="1"/>
  <c r="C3891" i="1"/>
  <c r="A3891" i="1"/>
  <c r="H3890" i="1"/>
  <c r="C3890" i="1"/>
  <c r="A3890" i="1"/>
  <c r="H3889" i="1"/>
  <c r="C3889" i="1"/>
  <c r="A3889" i="1"/>
  <c r="H3888" i="1"/>
  <c r="C3888" i="1"/>
  <c r="A3888" i="1"/>
  <c r="H3887" i="1"/>
  <c r="C3887" i="1"/>
  <c r="A3887" i="1"/>
  <c r="H3886" i="1"/>
  <c r="C3886" i="1"/>
  <c r="A3886" i="1"/>
  <c r="H3885" i="1"/>
  <c r="C3885" i="1"/>
  <c r="A3885" i="1"/>
  <c r="H3884" i="1"/>
  <c r="C3884" i="1"/>
  <c r="A3884" i="1"/>
  <c r="H3883" i="1"/>
  <c r="C3883" i="1"/>
  <c r="A3883" i="1"/>
  <c r="H3882" i="1"/>
  <c r="C3882" i="1"/>
  <c r="A3882" i="1"/>
  <c r="H3881" i="1"/>
  <c r="C3881" i="1"/>
  <c r="A3881" i="1"/>
  <c r="H3880" i="1"/>
  <c r="C3880" i="1"/>
  <c r="A3880" i="1"/>
  <c r="H3879" i="1"/>
  <c r="C3879" i="1"/>
  <c r="A3879" i="1"/>
  <c r="H3878" i="1"/>
  <c r="C3878" i="1"/>
  <c r="A3878" i="1"/>
  <c r="H3877" i="1"/>
  <c r="C3877" i="1"/>
  <c r="A3877" i="1"/>
  <c r="H3876" i="1"/>
  <c r="C3876" i="1"/>
  <c r="A3876" i="1"/>
  <c r="H3875" i="1"/>
  <c r="C3875" i="1"/>
  <c r="A3875" i="1"/>
  <c r="H3874" i="1"/>
  <c r="C3874" i="1"/>
  <c r="A3874" i="1"/>
  <c r="H3873" i="1"/>
  <c r="C3873" i="1"/>
  <c r="A3873" i="1"/>
  <c r="H3872" i="1"/>
  <c r="C3872" i="1"/>
  <c r="A3872" i="1"/>
  <c r="H3871" i="1"/>
  <c r="C3871" i="1"/>
  <c r="A3871" i="1"/>
  <c r="H3870" i="1"/>
  <c r="C3870" i="1"/>
  <c r="A3870" i="1"/>
  <c r="H3869" i="1"/>
  <c r="C3869" i="1"/>
  <c r="A3869" i="1"/>
  <c r="H3868" i="1"/>
  <c r="C3868" i="1"/>
  <c r="A3868" i="1"/>
  <c r="H3867" i="1"/>
  <c r="C3867" i="1"/>
  <c r="A3867" i="1"/>
  <c r="H3866" i="1"/>
  <c r="C3866" i="1"/>
  <c r="A3866" i="1"/>
  <c r="H3865" i="1"/>
  <c r="C3865" i="1"/>
  <c r="A3865" i="1"/>
  <c r="H3864" i="1"/>
  <c r="C3864" i="1"/>
  <c r="A3864" i="1"/>
  <c r="H3863" i="1"/>
  <c r="C3863" i="1"/>
  <c r="A3863" i="1"/>
  <c r="H3862" i="1"/>
  <c r="C3862" i="1"/>
  <c r="A3862" i="1"/>
  <c r="H3861" i="1"/>
  <c r="C3861" i="1"/>
  <c r="A3861" i="1"/>
  <c r="H3860" i="1"/>
  <c r="C3860" i="1"/>
  <c r="A3860" i="1"/>
  <c r="H3859" i="1"/>
  <c r="C3859" i="1"/>
  <c r="A3859" i="1"/>
  <c r="H3858" i="1"/>
  <c r="C3858" i="1"/>
  <c r="A3858" i="1"/>
  <c r="H3857" i="1"/>
  <c r="C3857" i="1"/>
  <c r="A3857" i="1"/>
  <c r="H3856" i="1"/>
  <c r="C3856" i="1"/>
  <c r="A3856" i="1"/>
  <c r="H3855" i="1"/>
  <c r="C3855" i="1"/>
  <c r="A3855" i="1"/>
  <c r="H3854" i="1"/>
  <c r="C3854" i="1"/>
  <c r="A3854" i="1"/>
  <c r="H3853" i="1"/>
  <c r="C3853" i="1"/>
  <c r="A3853" i="1"/>
  <c r="H3852" i="1"/>
  <c r="C3852" i="1"/>
  <c r="A3852" i="1"/>
  <c r="H3851" i="1"/>
  <c r="C3851" i="1"/>
  <c r="A3851" i="1"/>
  <c r="H3850" i="1"/>
  <c r="C3850" i="1"/>
  <c r="A3850" i="1"/>
  <c r="H3849" i="1"/>
  <c r="C3849" i="1"/>
  <c r="A3849" i="1"/>
  <c r="H3848" i="1"/>
  <c r="C3848" i="1"/>
  <c r="A3848" i="1"/>
  <c r="H3847" i="1"/>
  <c r="C3847" i="1"/>
  <c r="A3847" i="1"/>
  <c r="H3846" i="1"/>
  <c r="C3846" i="1"/>
  <c r="A3846" i="1"/>
  <c r="H3845" i="1"/>
  <c r="C3845" i="1"/>
  <c r="A3845" i="1"/>
  <c r="H3844" i="1"/>
  <c r="C3844" i="1"/>
  <c r="A3844" i="1"/>
  <c r="H3843" i="1"/>
  <c r="C3843" i="1"/>
  <c r="A3843" i="1"/>
  <c r="H3842" i="1"/>
  <c r="C3842" i="1"/>
  <c r="A3842" i="1"/>
  <c r="H3841" i="1"/>
  <c r="C3841" i="1"/>
  <c r="A3841" i="1"/>
  <c r="H3840" i="1"/>
  <c r="C3840" i="1"/>
  <c r="A3840" i="1"/>
  <c r="H3839" i="1"/>
  <c r="C3839" i="1"/>
  <c r="A3839" i="1"/>
  <c r="H3838" i="1"/>
  <c r="C3838" i="1"/>
  <c r="A3838" i="1"/>
  <c r="H3837" i="1"/>
  <c r="C3837" i="1"/>
  <c r="A3837" i="1"/>
  <c r="H3836" i="1"/>
  <c r="C3836" i="1"/>
  <c r="A3836" i="1"/>
  <c r="H3835" i="1"/>
  <c r="C3835" i="1"/>
  <c r="A3835" i="1"/>
  <c r="H3834" i="1"/>
  <c r="C3834" i="1"/>
  <c r="A3834" i="1"/>
  <c r="H3833" i="1"/>
  <c r="C3833" i="1"/>
  <c r="A3833" i="1"/>
  <c r="H3832" i="1"/>
  <c r="C3832" i="1"/>
  <c r="A3832" i="1"/>
  <c r="H3831" i="1"/>
  <c r="C3831" i="1"/>
  <c r="A3831" i="1"/>
  <c r="H3830" i="1"/>
  <c r="C3830" i="1"/>
  <c r="A3830" i="1"/>
  <c r="H3829" i="1"/>
  <c r="C3829" i="1"/>
  <c r="A3829" i="1"/>
  <c r="H3828" i="1"/>
  <c r="C3828" i="1"/>
  <c r="A3828" i="1"/>
  <c r="H3827" i="1"/>
  <c r="C3827" i="1"/>
  <c r="A3827" i="1"/>
  <c r="H3826" i="1"/>
  <c r="C3826" i="1"/>
  <c r="A3826" i="1"/>
  <c r="H3825" i="1"/>
  <c r="C3825" i="1"/>
  <c r="A3825" i="1"/>
  <c r="H3824" i="1"/>
  <c r="C3824" i="1"/>
  <c r="A3824" i="1"/>
  <c r="H3823" i="1"/>
  <c r="C3823" i="1"/>
  <c r="A3823" i="1"/>
  <c r="H3822" i="1"/>
  <c r="C3822" i="1"/>
  <c r="A3822" i="1"/>
  <c r="H3821" i="1"/>
  <c r="C3821" i="1"/>
  <c r="A3821" i="1"/>
  <c r="H3820" i="1"/>
  <c r="C3820" i="1"/>
  <c r="A3820" i="1"/>
  <c r="H3819" i="1"/>
  <c r="C3819" i="1"/>
  <c r="A3819" i="1"/>
  <c r="H3818" i="1"/>
  <c r="C3818" i="1"/>
  <c r="A3818" i="1"/>
  <c r="H3817" i="1"/>
  <c r="C3817" i="1"/>
  <c r="A3817" i="1"/>
  <c r="H3816" i="1"/>
  <c r="C3816" i="1"/>
  <c r="A3816" i="1"/>
  <c r="H3815" i="1"/>
  <c r="C3815" i="1"/>
  <c r="A3815" i="1"/>
  <c r="H3814" i="1"/>
  <c r="C3814" i="1"/>
  <c r="A3814" i="1"/>
  <c r="H3813" i="1"/>
  <c r="C3813" i="1"/>
  <c r="A3813" i="1"/>
  <c r="H3812" i="1"/>
  <c r="C3812" i="1"/>
  <c r="A3812" i="1"/>
  <c r="H3811" i="1"/>
  <c r="C3811" i="1"/>
  <c r="A3811" i="1"/>
  <c r="H3810" i="1"/>
  <c r="C3810" i="1"/>
  <c r="A3810" i="1"/>
  <c r="H3809" i="1"/>
  <c r="C3809" i="1"/>
  <c r="A3809" i="1"/>
  <c r="H3808" i="1"/>
  <c r="C3808" i="1"/>
  <c r="A3808" i="1"/>
  <c r="H3807" i="1"/>
  <c r="C3807" i="1"/>
  <c r="A3807" i="1"/>
  <c r="H3806" i="1"/>
  <c r="C3806" i="1"/>
  <c r="A3806" i="1"/>
  <c r="H3805" i="1"/>
  <c r="C3805" i="1"/>
  <c r="A3805" i="1"/>
  <c r="H3804" i="1"/>
  <c r="C3804" i="1"/>
  <c r="A3804" i="1"/>
  <c r="H3803" i="1"/>
  <c r="C3803" i="1"/>
  <c r="A3803" i="1"/>
  <c r="H3802" i="1"/>
  <c r="C3802" i="1"/>
  <c r="A3802" i="1"/>
  <c r="H3801" i="1"/>
  <c r="C3801" i="1"/>
  <c r="A3801" i="1"/>
  <c r="H3800" i="1"/>
  <c r="C3800" i="1"/>
  <c r="A3800" i="1"/>
  <c r="H3799" i="1"/>
  <c r="C3799" i="1"/>
  <c r="A3799" i="1"/>
  <c r="H3798" i="1"/>
  <c r="C3798" i="1"/>
  <c r="A3798" i="1"/>
  <c r="H3797" i="1"/>
  <c r="C3797" i="1"/>
  <c r="A3797" i="1"/>
  <c r="H3796" i="1"/>
  <c r="C3796" i="1"/>
  <c r="A3796" i="1"/>
  <c r="H3795" i="1"/>
  <c r="C3795" i="1"/>
  <c r="A3795" i="1"/>
  <c r="H3794" i="1"/>
  <c r="C3794" i="1"/>
  <c r="A3794" i="1"/>
  <c r="H3793" i="1"/>
  <c r="C3793" i="1"/>
  <c r="A3793" i="1"/>
  <c r="H3792" i="1"/>
  <c r="C3792" i="1"/>
  <c r="A3792" i="1"/>
  <c r="H3791" i="1"/>
  <c r="C3791" i="1"/>
  <c r="A3791" i="1"/>
  <c r="H3790" i="1"/>
  <c r="C3790" i="1"/>
  <c r="A3790" i="1"/>
  <c r="H3789" i="1"/>
  <c r="C3789" i="1"/>
  <c r="A3789" i="1"/>
  <c r="H3788" i="1"/>
  <c r="C3788" i="1"/>
  <c r="A3788" i="1"/>
  <c r="H3787" i="1"/>
  <c r="C3787" i="1"/>
  <c r="A3787" i="1"/>
  <c r="H3786" i="1"/>
  <c r="C3786" i="1"/>
  <c r="A3786" i="1"/>
  <c r="H3785" i="1"/>
  <c r="C3785" i="1"/>
  <c r="A3785" i="1"/>
  <c r="H3784" i="1"/>
  <c r="C3784" i="1"/>
  <c r="A3784" i="1"/>
  <c r="H3783" i="1"/>
  <c r="C3783" i="1"/>
  <c r="A3783" i="1"/>
  <c r="H3782" i="1"/>
  <c r="C3782" i="1"/>
  <c r="A3782" i="1"/>
  <c r="H3781" i="1"/>
  <c r="C3781" i="1"/>
  <c r="A3781" i="1"/>
  <c r="H3780" i="1"/>
  <c r="C3780" i="1"/>
  <c r="A3780" i="1"/>
  <c r="H3779" i="1"/>
  <c r="C3779" i="1"/>
  <c r="A3779" i="1"/>
  <c r="H3778" i="1"/>
  <c r="C3778" i="1"/>
  <c r="A3778" i="1"/>
  <c r="H3777" i="1"/>
  <c r="C3777" i="1"/>
  <c r="A3777" i="1"/>
  <c r="H3776" i="1"/>
  <c r="C3776" i="1"/>
  <c r="A3776" i="1"/>
  <c r="H3775" i="1"/>
  <c r="C3775" i="1"/>
  <c r="A3775" i="1"/>
  <c r="H3774" i="1"/>
  <c r="C3774" i="1"/>
  <c r="A3774" i="1"/>
  <c r="H3773" i="1"/>
  <c r="C3773" i="1"/>
  <c r="A3773" i="1"/>
  <c r="H3772" i="1"/>
  <c r="C3772" i="1"/>
  <c r="A3772" i="1"/>
  <c r="H3771" i="1"/>
  <c r="C3771" i="1"/>
  <c r="A3771" i="1"/>
  <c r="H3770" i="1"/>
  <c r="C3770" i="1"/>
  <c r="A3770" i="1"/>
  <c r="H3769" i="1"/>
  <c r="C3769" i="1"/>
  <c r="A3769" i="1"/>
  <c r="H3768" i="1"/>
  <c r="C3768" i="1"/>
  <c r="A3768" i="1"/>
  <c r="H3767" i="1"/>
  <c r="C3767" i="1"/>
  <c r="A3767" i="1"/>
  <c r="H3766" i="1"/>
  <c r="C3766" i="1"/>
  <c r="A3766" i="1"/>
  <c r="H3765" i="1"/>
  <c r="C3765" i="1"/>
  <c r="A3765" i="1"/>
  <c r="H3764" i="1"/>
  <c r="C3764" i="1"/>
  <c r="A3764" i="1"/>
  <c r="H3763" i="1"/>
  <c r="C3763" i="1"/>
  <c r="A3763" i="1"/>
  <c r="H3762" i="1"/>
  <c r="C3762" i="1"/>
  <c r="A3762" i="1"/>
  <c r="H3761" i="1"/>
  <c r="C3761" i="1"/>
  <c r="A3761" i="1"/>
  <c r="H3760" i="1"/>
  <c r="C3760" i="1"/>
  <c r="A3760" i="1"/>
  <c r="H3759" i="1"/>
  <c r="C3759" i="1"/>
  <c r="A3759" i="1"/>
  <c r="H3758" i="1"/>
  <c r="C3758" i="1"/>
  <c r="A3758" i="1"/>
  <c r="H3757" i="1"/>
  <c r="C3757" i="1"/>
  <c r="A3757" i="1"/>
  <c r="H3756" i="1"/>
  <c r="C3756" i="1"/>
  <c r="A3756" i="1"/>
  <c r="H3755" i="1"/>
  <c r="C3755" i="1"/>
  <c r="A3755" i="1"/>
  <c r="H3754" i="1"/>
  <c r="C3754" i="1"/>
  <c r="A3754" i="1"/>
  <c r="H3753" i="1"/>
  <c r="C3753" i="1"/>
  <c r="A3753" i="1"/>
  <c r="H3752" i="1"/>
  <c r="C3752" i="1"/>
  <c r="A3752" i="1"/>
  <c r="H3751" i="1"/>
  <c r="C3751" i="1"/>
  <c r="A3751" i="1"/>
  <c r="H3750" i="1"/>
  <c r="C3750" i="1"/>
  <c r="A3750" i="1"/>
  <c r="H3749" i="1"/>
  <c r="C3749" i="1"/>
  <c r="A3749" i="1"/>
  <c r="H3748" i="1"/>
  <c r="C3748" i="1"/>
  <c r="A3748" i="1"/>
  <c r="H3747" i="1"/>
  <c r="C3747" i="1"/>
  <c r="A3747" i="1"/>
  <c r="H3746" i="1"/>
  <c r="C3746" i="1"/>
  <c r="A3746" i="1"/>
  <c r="H3745" i="1"/>
  <c r="C3745" i="1"/>
  <c r="A3745" i="1"/>
  <c r="H3744" i="1"/>
  <c r="C3744" i="1"/>
  <c r="A3744" i="1"/>
  <c r="H3743" i="1"/>
  <c r="C3743" i="1"/>
  <c r="A3743" i="1"/>
  <c r="H3742" i="1"/>
  <c r="C3742" i="1"/>
  <c r="A3742" i="1"/>
  <c r="H3741" i="1"/>
  <c r="C3741" i="1"/>
  <c r="A3741" i="1"/>
  <c r="H3740" i="1"/>
  <c r="C3740" i="1"/>
  <c r="A3740" i="1"/>
  <c r="H3739" i="1"/>
  <c r="C3739" i="1"/>
  <c r="A3739" i="1"/>
  <c r="H3738" i="1"/>
  <c r="C3738" i="1"/>
  <c r="A3738" i="1"/>
  <c r="H3737" i="1"/>
  <c r="C3737" i="1"/>
  <c r="A3737" i="1"/>
  <c r="H3736" i="1"/>
  <c r="C3736" i="1"/>
  <c r="A3736" i="1"/>
  <c r="H3735" i="1"/>
  <c r="C3735" i="1"/>
  <c r="A3735" i="1"/>
  <c r="H3734" i="1"/>
  <c r="C3734" i="1"/>
  <c r="A3734" i="1"/>
  <c r="H3733" i="1"/>
  <c r="C3733" i="1"/>
  <c r="A3733" i="1"/>
  <c r="H3732" i="1"/>
  <c r="C3732" i="1"/>
  <c r="A3732" i="1"/>
  <c r="H3731" i="1"/>
  <c r="C3731" i="1"/>
  <c r="A3731" i="1"/>
  <c r="H3730" i="1"/>
  <c r="C3730" i="1"/>
  <c r="A3730" i="1"/>
  <c r="H3729" i="1"/>
  <c r="C3729" i="1"/>
  <c r="A3729" i="1"/>
  <c r="H3728" i="1"/>
  <c r="C3728" i="1"/>
  <c r="A3728" i="1"/>
  <c r="H3727" i="1"/>
  <c r="C3727" i="1"/>
  <c r="A3727" i="1"/>
  <c r="H3726" i="1"/>
  <c r="C3726" i="1"/>
  <c r="A3726" i="1"/>
  <c r="H3725" i="1"/>
  <c r="C3725" i="1"/>
  <c r="A3725" i="1"/>
  <c r="H3724" i="1"/>
  <c r="C3724" i="1"/>
  <c r="A3724" i="1"/>
  <c r="H3723" i="1"/>
  <c r="C3723" i="1"/>
  <c r="A3723" i="1"/>
  <c r="H3722" i="1"/>
  <c r="C3722" i="1"/>
  <c r="A3722" i="1"/>
  <c r="H3721" i="1"/>
  <c r="C3721" i="1"/>
  <c r="A3721" i="1"/>
  <c r="H3720" i="1"/>
  <c r="C3720" i="1"/>
  <c r="A3720" i="1"/>
  <c r="H3719" i="1"/>
  <c r="C3719" i="1"/>
  <c r="A3719" i="1"/>
  <c r="H3718" i="1"/>
  <c r="C3718" i="1"/>
  <c r="A3718" i="1"/>
  <c r="H3717" i="1"/>
  <c r="C3717" i="1"/>
  <c r="A3717" i="1"/>
  <c r="H3716" i="1"/>
  <c r="C3716" i="1"/>
  <c r="A3716" i="1"/>
  <c r="H3715" i="1"/>
  <c r="C3715" i="1"/>
  <c r="A3715" i="1"/>
  <c r="H3714" i="1"/>
  <c r="C3714" i="1"/>
  <c r="A3714" i="1"/>
  <c r="H3713" i="1"/>
  <c r="C3713" i="1"/>
  <c r="A3713" i="1"/>
  <c r="H3712" i="1"/>
  <c r="C3712" i="1"/>
  <c r="A3712" i="1"/>
  <c r="H3711" i="1"/>
  <c r="C3711" i="1"/>
  <c r="A3711" i="1"/>
  <c r="H3710" i="1"/>
  <c r="C3710" i="1"/>
  <c r="A3710" i="1"/>
  <c r="H3709" i="1"/>
  <c r="C3709" i="1"/>
  <c r="A3709" i="1"/>
  <c r="H3708" i="1"/>
  <c r="C3708" i="1"/>
  <c r="A3708" i="1"/>
  <c r="H3707" i="1"/>
  <c r="C3707" i="1"/>
  <c r="A3707" i="1"/>
  <c r="H3706" i="1"/>
  <c r="C3706" i="1"/>
  <c r="A3706" i="1"/>
  <c r="H3705" i="1"/>
  <c r="C3705" i="1"/>
  <c r="A3705" i="1"/>
  <c r="H3704" i="1"/>
  <c r="C3704" i="1"/>
  <c r="A3704" i="1"/>
  <c r="H3703" i="1"/>
  <c r="C3703" i="1"/>
  <c r="A3703" i="1"/>
  <c r="H3702" i="1"/>
  <c r="C3702" i="1"/>
  <c r="A3702" i="1"/>
  <c r="H3701" i="1"/>
  <c r="C3701" i="1"/>
  <c r="A3701" i="1"/>
  <c r="H3700" i="1"/>
  <c r="C3700" i="1"/>
  <c r="A3700" i="1"/>
  <c r="H3699" i="1"/>
  <c r="C3699" i="1"/>
  <c r="A3699" i="1"/>
  <c r="H3698" i="1"/>
  <c r="C3698" i="1"/>
  <c r="A3698" i="1"/>
  <c r="H3697" i="1"/>
  <c r="C3697" i="1"/>
  <c r="A3697" i="1"/>
  <c r="H3696" i="1"/>
  <c r="C3696" i="1"/>
  <c r="A3696" i="1"/>
  <c r="H3695" i="1"/>
  <c r="C3695" i="1"/>
  <c r="A3695" i="1"/>
  <c r="H3694" i="1"/>
  <c r="C3694" i="1"/>
  <c r="A3694" i="1"/>
  <c r="H3693" i="1"/>
  <c r="C3693" i="1"/>
  <c r="A3693" i="1"/>
  <c r="H3692" i="1"/>
  <c r="C3692" i="1"/>
  <c r="A3692" i="1"/>
  <c r="H3691" i="1"/>
  <c r="C3691" i="1"/>
  <c r="A3691" i="1"/>
  <c r="H3690" i="1"/>
  <c r="C3690" i="1"/>
  <c r="A3690" i="1"/>
  <c r="H3689" i="1"/>
  <c r="C3689" i="1"/>
  <c r="A3689" i="1"/>
  <c r="H3688" i="1"/>
  <c r="C3688" i="1"/>
  <c r="A3688" i="1"/>
  <c r="H3687" i="1"/>
  <c r="C3687" i="1"/>
  <c r="A3687" i="1"/>
  <c r="H3686" i="1"/>
  <c r="C3686" i="1"/>
  <c r="A3686" i="1"/>
  <c r="H3685" i="1"/>
  <c r="C3685" i="1"/>
  <c r="A3685" i="1"/>
  <c r="H3684" i="1"/>
  <c r="C3684" i="1"/>
  <c r="A3684" i="1"/>
  <c r="H3683" i="1"/>
  <c r="C3683" i="1"/>
  <c r="A3683" i="1"/>
  <c r="H3682" i="1"/>
  <c r="C3682" i="1"/>
  <c r="A3682" i="1"/>
  <c r="H3681" i="1"/>
  <c r="C3681" i="1"/>
  <c r="A3681" i="1"/>
  <c r="H3680" i="1"/>
  <c r="C3680" i="1"/>
  <c r="A3680" i="1"/>
  <c r="H3679" i="1"/>
  <c r="C3679" i="1"/>
  <c r="A3679" i="1"/>
  <c r="H3678" i="1"/>
  <c r="C3678" i="1"/>
  <c r="A3678" i="1"/>
  <c r="H3677" i="1"/>
  <c r="C3677" i="1"/>
  <c r="A3677" i="1"/>
  <c r="H3676" i="1"/>
  <c r="C3676" i="1"/>
  <c r="A3676" i="1"/>
  <c r="H3675" i="1"/>
  <c r="C3675" i="1"/>
  <c r="A3675" i="1"/>
  <c r="H3674" i="1"/>
  <c r="C3674" i="1"/>
  <c r="A3674" i="1"/>
  <c r="H3673" i="1"/>
  <c r="C3673" i="1"/>
  <c r="A3673" i="1"/>
  <c r="H3672" i="1"/>
  <c r="C3672" i="1"/>
  <c r="A3672" i="1"/>
  <c r="H3671" i="1"/>
  <c r="C3671" i="1"/>
  <c r="A3671" i="1"/>
  <c r="H3670" i="1"/>
  <c r="C3670" i="1"/>
  <c r="A3670" i="1"/>
  <c r="H3669" i="1"/>
  <c r="C3669" i="1"/>
  <c r="A3669" i="1"/>
  <c r="H3668" i="1"/>
  <c r="C3668" i="1"/>
  <c r="A3668" i="1"/>
  <c r="H3667" i="1"/>
  <c r="C3667" i="1"/>
  <c r="A3667" i="1"/>
  <c r="H3666" i="1"/>
  <c r="C3666" i="1"/>
  <c r="A3666" i="1"/>
  <c r="H3665" i="1"/>
  <c r="C3665" i="1"/>
  <c r="A3665" i="1"/>
  <c r="H3664" i="1"/>
  <c r="C3664" i="1"/>
  <c r="A3664" i="1"/>
  <c r="H3663" i="1"/>
  <c r="C3663" i="1"/>
  <c r="A3663" i="1"/>
  <c r="H3662" i="1"/>
  <c r="C3662" i="1"/>
  <c r="A3662" i="1"/>
  <c r="H3661" i="1"/>
  <c r="C3661" i="1"/>
  <c r="A3661" i="1"/>
  <c r="H3660" i="1"/>
  <c r="C3660" i="1"/>
  <c r="A3660" i="1"/>
  <c r="H3659" i="1"/>
  <c r="C3659" i="1"/>
  <c r="A3659" i="1"/>
  <c r="H3658" i="1"/>
  <c r="C3658" i="1"/>
  <c r="A3658" i="1"/>
  <c r="H3657" i="1"/>
  <c r="C3657" i="1"/>
  <c r="A3657" i="1"/>
  <c r="H3656" i="1"/>
  <c r="C3656" i="1"/>
  <c r="A3656" i="1"/>
  <c r="H3655" i="1"/>
  <c r="C3655" i="1"/>
  <c r="A3655" i="1"/>
  <c r="H3654" i="1"/>
  <c r="C3654" i="1"/>
  <c r="A3654" i="1"/>
  <c r="H3653" i="1"/>
  <c r="C3653" i="1"/>
  <c r="A3653" i="1"/>
  <c r="H3652" i="1"/>
  <c r="C3652" i="1"/>
  <c r="A3652" i="1"/>
  <c r="H3651" i="1"/>
  <c r="C3651" i="1"/>
  <c r="A3651" i="1"/>
  <c r="H3650" i="1"/>
  <c r="C3650" i="1"/>
  <c r="A3650" i="1"/>
  <c r="H3649" i="1"/>
  <c r="C3649" i="1"/>
  <c r="A3649" i="1"/>
  <c r="H3648" i="1"/>
  <c r="C3648" i="1"/>
  <c r="A3648" i="1"/>
  <c r="H3647" i="1"/>
  <c r="C3647" i="1"/>
  <c r="A3647" i="1"/>
  <c r="H3646" i="1"/>
  <c r="C3646" i="1"/>
  <c r="A3646" i="1"/>
  <c r="H3645" i="1"/>
  <c r="C3645" i="1"/>
  <c r="A3645" i="1"/>
  <c r="H3644" i="1"/>
  <c r="C3644" i="1"/>
  <c r="A3644" i="1"/>
  <c r="H3643" i="1"/>
  <c r="C3643" i="1"/>
  <c r="A3643" i="1"/>
  <c r="H3642" i="1"/>
  <c r="C3642" i="1"/>
  <c r="A3642" i="1"/>
  <c r="H3641" i="1"/>
  <c r="C3641" i="1"/>
  <c r="A3641" i="1"/>
  <c r="H3640" i="1"/>
  <c r="C3640" i="1"/>
  <c r="A3640" i="1"/>
  <c r="H3639" i="1"/>
  <c r="C3639" i="1"/>
  <c r="A3639" i="1"/>
  <c r="H3638" i="1"/>
  <c r="C3638" i="1"/>
  <c r="A3638" i="1"/>
  <c r="H3637" i="1"/>
  <c r="C3637" i="1"/>
  <c r="A3637" i="1"/>
  <c r="H3636" i="1"/>
  <c r="C3636" i="1"/>
  <c r="A3636" i="1"/>
  <c r="H3635" i="1"/>
  <c r="C3635" i="1"/>
  <c r="A3635" i="1"/>
  <c r="H3634" i="1"/>
  <c r="C3634" i="1"/>
  <c r="A3634" i="1"/>
  <c r="H3633" i="1"/>
  <c r="C3633" i="1"/>
  <c r="A3633" i="1"/>
  <c r="H3632" i="1"/>
  <c r="C3632" i="1"/>
  <c r="A3632" i="1"/>
  <c r="H3631" i="1"/>
  <c r="C3631" i="1"/>
  <c r="A3631" i="1"/>
  <c r="H3630" i="1"/>
  <c r="C3630" i="1"/>
  <c r="A3630" i="1"/>
  <c r="H3629" i="1"/>
  <c r="C3629" i="1"/>
  <c r="A3629" i="1"/>
  <c r="H3628" i="1"/>
  <c r="C3628" i="1"/>
  <c r="A3628" i="1"/>
  <c r="H3627" i="1"/>
  <c r="C3627" i="1"/>
  <c r="A3627" i="1"/>
  <c r="H3626" i="1"/>
  <c r="C3626" i="1"/>
  <c r="A3626" i="1"/>
  <c r="H3625" i="1"/>
  <c r="C3625" i="1"/>
  <c r="A3625" i="1"/>
  <c r="H3624" i="1"/>
  <c r="C3624" i="1"/>
  <c r="A3624" i="1"/>
  <c r="H3623" i="1"/>
  <c r="C3623" i="1"/>
  <c r="A3623" i="1"/>
  <c r="H3622" i="1"/>
  <c r="C3622" i="1"/>
  <c r="A3622" i="1"/>
  <c r="H3621" i="1"/>
  <c r="C3621" i="1"/>
  <c r="A3621" i="1"/>
  <c r="H3620" i="1"/>
  <c r="C3620" i="1"/>
  <c r="A3620" i="1"/>
  <c r="H3619" i="1"/>
  <c r="C3619" i="1"/>
  <c r="A3619" i="1"/>
  <c r="H3618" i="1"/>
  <c r="C3618" i="1"/>
  <c r="A3618" i="1"/>
  <c r="H3617" i="1"/>
  <c r="C3617" i="1"/>
  <c r="A3617" i="1"/>
  <c r="H3616" i="1"/>
  <c r="C3616" i="1"/>
  <c r="A3616" i="1"/>
  <c r="H3615" i="1"/>
  <c r="C3615" i="1"/>
  <c r="A3615" i="1"/>
  <c r="H3614" i="1"/>
  <c r="C3614" i="1"/>
  <c r="A3614" i="1"/>
  <c r="H3613" i="1"/>
  <c r="C3613" i="1"/>
  <c r="A3613" i="1"/>
  <c r="H3612" i="1"/>
  <c r="C3612" i="1"/>
  <c r="A3612" i="1"/>
  <c r="H3611" i="1"/>
  <c r="C3611" i="1"/>
  <c r="A3611" i="1"/>
  <c r="H3610" i="1"/>
  <c r="C3610" i="1"/>
  <c r="A3610" i="1"/>
  <c r="H3609" i="1"/>
  <c r="C3609" i="1"/>
  <c r="A3609" i="1"/>
  <c r="H3608" i="1"/>
  <c r="C3608" i="1"/>
  <c r="A3608" i="1"/>
  <c r="H3607" i="1"/>
  <c r="C3607" i="1"/>
  <c r="A3607" i="1"/>
  <c r="H3606" i="1"/>
  <c r="C3606" i="1"/>
  <c r="A3606" i="1"/>
  <c r="H3605" i="1"/>
  <c r="C3605" i="1"/>
  <c r="A3605" i="1"/>
  <c r="H3604" i="1"/>
  <c r="C3604" i="1"/>
  <c r="A3604" i="1"/>
  <c r="H3603" i="1"/>
  <c r="C3603" i="1"/>
  <c r="A3603" i="1"/>
  <c r="H3602" i="1"/>
  <c r="C3602" i="1"/>
  <c r="A3602" i="1"/>
  <c r="H3601" i="1"/>
  <c r="C3601" i="1"/>
  <c r="A3601" i="1"/>
  <c r="H3600" i="1"/>
  <c r="C3600" i="1"/>
  <c r="A3600" i="1"/>
  <c r="H3599" i="1"/>
  <c r="C3599" i="1"/>
  <c r="A3599" i="1"/>
  <c r="H3598" i="1"/>
  <c r="C3598" i="1"/>
  <c r="A3598" i="1"/>
  <c r="H3597" i="1"/>
  <c r="C3597" i="1"/>
  <c r="A3597" i="1"/>
  <c r="H3596" i="1"/>
  <c r="C3596" i="1"/>
  <c r="A3596" i="1"/>
  <c r="H3595" i="1"/>
  <c r="C3595" i="1"/>
  <c r="A3595" i="1"/>
  <c r="H3594" i="1"/>
  <c r="C3594" i="1"/>
  <c r="A3594" i="1"/>
  <c r="H3593" i="1"/>
  <c r="C3593" i="1"/>
  <c r="A3593" i="1"/>
  <c r="H3592" i="1"/>
  <c r="C3592" i="1"/>
  <c r="A3592" i="1"/>
  <c r="H3591" i="1"/>
  <c r="C3591" i="1"/>
  <c r="A3591" i="1"/>
  <c r="H3590" i="1"/>
  <c r="C3590" i="1"/>
  <c r="A3590" i="1"/>
  <c r="H3589" i="1"/>
  <c r="C3589" i="1"/>
  <c r="A3589" i="1"/>
  <c r="H3588" i="1"/>
  <c r="C3588" i="1"/>
  <c r="A3588" i="1"/>
  <c r="H3587" i="1"/>
  <c r="C3587" i="1"/>
  <c r="A3587" i="1"/>
  <c r="H3586" i="1"/>
  <c r="C3586" i="1"/>
  <c r="A3586" i="1"/>
  <c r="H3585" i="1"/>
  <c r="C3585" i="1"/>
  <c r="A3585" i="1"/>
  <c r="H3584" i="1"/>
  <c r="C3584" i="1"/>
  <c r="A3584" i="1"/>
  <c r="H3583" i="1"/>
  <c r="C3583" i="1"/>
  <c r="A3583" i="1"/>
  <c r="H3582" i="1"/>
  <c r="C3582" i="1"/>
  <c r="A3582" i="1"/>
  <c r="H3581" i="1"/>
  <c r="C3581" i="1"/>
  <c r="A3581" i="1"/>
  <c r="H3580" i="1"/>
  <c r="C3580" i="1"/>
  <c r="A3580" i="1"/>
  <c r="H3579" i="1"/>
  <c r="C3579" i="1"/>
  <c r="A3579" i="1"/>
  <c r="H3578" i="1"/>
  <c r="C3578" i="1"/>
  <c r="A3578" i="1"/>
  <c r="H3577" i="1"/>
  <c r="C3577" i="1"/>
  <c r="A3577" i="1"/>
  <c r="H3576" i="1"/>
  <c r="C3576" i="1"/>
  <c r="A3576" i="1"/>
  <c r="H3575" i="1"/>
  <c r="C3575" i="1"/>
  <c r="A3575" i="1"/>
  <c r="H3574" i="1"/>
  <c r="C3574" i="1"/>
  <c r="A3574" i="1"/>
  <c r="H3573" i="1"/>
  <c r="C3573" i="1"/>
  <c r="A3573" i="1"/>
  <c r="H3572" i="1"/>
  <c r="C3572" i="1"/>
  <c r="A3572" i="1"/>
  <c r="H3571" i="1"/>
  <c r="C3571" i="1"/>
  <c r="A3571" i="1"/>
  <c r="H3570" i="1"/>
  <c r="C3570" i="1"/>
  <c r="A3570" i="1"/>
  <c r="H3569" i="1"/>
  <c r="C3569" i="1"/>
  <c r="A3569" i="1"/>
  <c r="H3568" i="1"/>
  <c r="C3568" i="1"/>
  <c r="A3568" i="1"/>
  <c r="H3567" i="1"/>
  <c r="C3567" i="1"/>
  <c r="A3567" i="1"/>
  <c r="H3566" i="1"/>
  <c r="C3566" i="1"/>
  <c r="A3566" i="1"/>
  <c r="H3565" i="1"/>
  <c r="C3565" i="1"/>
  <c r="A3565" i="1"/>
  <c r="H3564" i="1"/>
  <c r="C3564" i="1"/>
  <c r="A3564" i="1"/>
  <c r="H3563" i="1"/>
  <c r="C3563" i="1"/>
  <c r="A3563" i="1"/>
  <c r="H3562" i="1"/>
  <c r="C3562" i="1"/>
  <c r="A3562" i="1"/>
  <c r="H3561" i="1"/>
  <c r="C3561" i="1"/>
  <c r="A3561" i="1"/>
  <c r="H3560" i="1"/>
  <c r="C3560" i="1"/>
  <c r="A3560" i="1"/>
  <c r="H3559" i="1"/>
  <c r="C3559" i="1"/>
  <c r="A3559" i="1"/>
  <c r="H3558" i="1"/>
  <c r="C3558" i="1"/>
  <c r="A3558" i="1"/>
  <c r="H3557" i="1"/>
  <c r="C3557" i="1"/>
  <c r="A3557" i="1"/>
  <c r="H3556" i="1"/>
  <c r="C3556" i="1"/>
  <c r="A3556" i="1"/>
  <c r="H3555" i="1"/>
  <c r="C3555" i="1"/>
  <c r="A3555" i="1"/>
  <c r="H3554" i="1"/>
  <c r="C3554" i="1"/>
  <c r="A3554" i="1"/>
  <c r="H3553" i="1"/>
  <c r="C3553" i="1"/>
  <c r="A3553" i="1"/>
  <c r="H3552" i="1"/>
  <c r="C3552" i="1"/>
  <c r="A3552" i="1"/>
  <c r="H3551" i="1"/>
  <c r="C3551" i="1"/>
  <c r="A3551" i="1"/>
  <c r="H3550" i="1"/>
  <c r="C3550" i="1"/>
  <c r="A3550" i="1"/>
  <c r="H3549" i="1"/>
  <c r="C3549" i="1"/>
  <c r="A3549" i="1"/>
  <c r="H3548" i="1"/>
  <c r="C3548" i="1"/>
  <c r="A3548" i="1"/>
  <c r="H3547" i="1"/>
  <c r="C3547" i="1"/>
  <c r="A3547" i="1"/>
  <c r="H3546" i="1"/>
  <c r="C3546" i="1"/>
  <c r="A3546" i="1"/>
  <c r="H3545" i="1"/>
  <c r="C3545" i="1"/>
  <c r="A3545" i="1"/>
  <c r="H3544" i="1"/>
  <c r="C3544" i="1"/>
  <c r="A3544" i="1"/>
  <c r="H3543" i="1"/>
  <c r="C3543" i="1"/>
  <c r="A3543" i="1"/>
  <c r="H3542" i="1"/>
  <c r="C3542" i="1"/>
  <c r="A3542" i="1"/>
  <c r="H3541" i="1"/>
  <c r="C3541" i="1"/>
  <c r="A3541" i="1"/>
  <c r="H3540" i="1"/>
  <c r="C3540" i="1"/>
  <c r="A3540" i="1"/>
  <c r="H3539" i="1"/>
  <c r="C3539" i="1"/>
  <c r="A3539" i="1"/>
  <c r="H3538" i="1"/>
  <c r="C3538" i="1"/>
  <c r="A3538" i="1"/>
  <c r="H3537" i="1"/>
  <c r="C3537" i="1"/>
  <c r="A3537" i="1"/>
  <c r="H3536" i="1"/>
  <c r="C3536" i="1"/>
  <c r="A3536" i="1"/>
  <c r="H3535" i="1"/>
  <c r="C3535" i="1"/>
  <c r="A3535" i="1"/>
  <c r="H3534" i="1"/>
  <c r="C3534" i="1"/>
  <c r="A3534" i="1"/>
  <c r="H3533" i="1"/>
  <c r="C3533" i="1"/>
  <c r="A3533" i="1"/>
  <c r="H3532" i="1"/>
  <c r="C3532" i="1"/>
  <c r="A3532" i="1"/>
  <c r="H3531" i="1"/>
  <c r="C3531" i="1"/>
  <c r="A3531" i="1"/>
  <c r="H3530" i="1"/>
  <c r="C3530" i="1"/>
  <c r="A3530" i="1"/>
  <c r="H3529" i="1"/>
  <c r="C3529" i="1"/>
  <c r="A3529" i="1"/>
  <c r="H3528" i="1"/>
  <c r="C3528" i="1"/>
  <c r="A3528" i="1"/>
  <c r="H3527" i="1"/>
  <c r="C3527" i="1"/>
  <c r="A3527" i="1"/>
  <c r="H3526" i="1"/>
  <c r="C3526" i="1"/>
  <c r="A3526" i="1"/>
  <c r="H3525" i="1"/>
  <c r="C3525" i="1"/>
  <c r="A3525" i="1"/>
  <c r="H3524" i="1"/>
  <c r="C3524" i="1"/>
  <c r="A3524" i="1"/>
  <c r="H3523" i="1"/>
  <c r="C3523" i="1"/>
  <c r="A3523" i="1"/>
  <c r="H3522" i="1"/>
  <c r="C3522" i="1"/>
  <c r="A3522" i="1"/>
  <c r="H3521" i="1"/>
  <c r="C3521" i="1"/>
  <c r="A3521" i="1"/>
  <c r="H3520" i="1"/>
  <c r="C3520" i="1"/>
  <c r="A3520" i="1"/>
  <c r="H3519" i="1"/>
  <c r="C3519" i="1"/>
  <c r="A3519" i="1"/>
  <c r="H3518" i="1"/>
  <c r="C3518" i="1"/>
  <c r="A3518" i="1"/>
  <c r="H3517" i="1"/>
  <c r="C3517" i="1"/>
  <c r="A3517" i="1"/>
  <c r="H3516" i="1"/>
  <c r="C3516" i="1"/>
  <c r="A3516" i="1"/>
  <c r="H3515" i="1"/>
  <c r="C3515" i="1"/>
  <c r="A3515" i="1"/>
  <c r="H3514" i="1"/>
  <c r="C3514" i="1"/>
  <c r="A3514" i="1"/>
  <c r="H3513" i="1"/>
  <c r="C3513" i="1"/>
  <c r="A3513" i="1"/>
  <c r="H3512" i="1"/>
  <c r="C3512" i="1"/>
  <c r="A3512" i="1"/>
  <c r="H3511" i="1"/>
  <c r="C3511" i="1"/>
  <c r="A3511" i="1"/>
  <c r="H3510" i="1"/>
  <c r="C3510" i="1"/>
  <c r="A3510" i="1"/>
  <c r="H3509" i="1"/>
  <c r="C3509" i="1"/>
  <c r="A3509" i="1"/>
  <c r="H3508" i="1"/>
  <c r="C3508" i="1"/>
  <c r="A3508" i="1"/>
  <c r="H3507" i="1"/>
  <c r="C3507" i="1"/>
  <c r="A3507" i="1"/>
  <c r="H3506" i="1"/>
  <c r="C3506" i="1"/>
  <c r="A3506" i="1"/>
  <c r="H3505" i="1"/>
  <c r="C3505" i="1"/>
  <c r="A3505" i="1"/>
  <c r="H3504" i="1"/>
  <c r="C3504" i="1"/>
  <c r="A3504" i="1"/>
  <c r="H3503" i="1"/>
  <c r="C3503" i="1"/>
  <c r="A3503" i="1"/>
  <c r="H3502" i="1"/>
  <c r="C3502" i="1"/>
  <c r="A3502" i="1"/>
  <c r="H3501" i="1"/>
  <c r="C3501" i="1"/>
  <c r="A3501" i="1"/>
  <c r="H3500" i="1"/>
  <c r="C3500" i="1"/>
  <c r="A3500" i="1"/>
  <c r="H3499" i="1"/>
  <c r="C3499" i="1"/>
  <c r="A3499" i="1"/>
  <c r="H3498" i="1"/>
  <c r="C3498" i="1"/>
  <c r="A3498" i="1"/>
  <c r="H3497" i="1"/>
  <c r="C3497" i="1"/>
  <c r="A3497" i="1"/>
  <c r="H3496" i="1"/>
  <c r="C3496" i="1"/>
  <c r="A3496" i="1"/>
  <c r="H3495" i="1"/>
  <c r="C3495" i="1"/>
  <c r="A3495" i="1"/>
  <c r="H3494" i="1"/>
  <c r="C3494" i="1"/>
  <c r="A3494" i="1"/>
  <c r="H3493" i="1"/>
  <c r="C3493" i="1"/>
  <c r="A3493" i="1"/>
  <c r="H3492" i="1"/>
  <c r="C3492" i="1"/>
  <c r="A3492" i="1"/>
  <c r="H3491" i="1"/>
  <c r="C3491" i="1"/>
  <c r="A3491" i="1"/>
  <c r="H3490" i="1"/>
  <c r="C3490" i="1"/>
  <c r="A3490" i="1"/>
  <c r="H3489" i="1"/>
  <c r="C3489" i="1"/>
  <c r="A3489" i="1"/>
  <c r="H3488" i="1"/>
  <c r="C3488" i="1"/>
  <c r="A3488" i="1"/>
  <c r="H3487" i="1"/>
  <c r="C3487" i="1"/>
  <c r="A3487" i="1"/>
  <c r="H3486" i="1"/>
  <c r="C3486" i="1"/>
  <c r="A3486" i="1"/>
  <c r="H3485" i="1"/>
  <c r="C3485" i="1"/>
  <c r="A3485" i="1"/>
  <c r="H3484" i="1"/>
  <c r="C3484" i="1"/>
  <c r="A3484" i="1"/>
  <c r="H3483" i="1"/>
  <c r="C3483" i="1"/>
  <c r="A3483" i="1"/>
  <c r="H3482" i="1"/>
  <c r="C3482" i="1"/>
  <c r="A3482" i="1"/>
  <c r="H3481" i="1"/>
  <c r="C3481" i="1"/>
  <c r="A3481" i="1"/>
  <c r="H3480" i="1"/>
  <c r="C3480" i="1"/>
  <c r="A3480" i="1"/>
  <c r="H3479" i="1"/>
  <c r="C3479" i="1"/>
  <c r="A3479" i="1"/>
  <c r="H3478" i="1"/>
  <c r="C3478" i="1"/>
  <c r="A3478" i="1"/>
  <c r="H3477" i="1"/>
  <c r="C3477" i="1"/>
  <c r="A3477" i="1"/>
  <c r="H3476" i="1"/>
  <c r="C3476" i="1"/>
  <c r="A3476" i="1"/>
  <c r="H3475" i="1"/>
  <c r="C3475" i="1"/>
  <c r="A3475" i="1"/>
  <c r="H3474" i="1"/>
  <c r="C3474" i="1"/>
  <c r="A3474" i="1"/>
  <c r="H3473" i="1"/>
  <c r="C3473" i="1"/>
  <c r="A3473" i="1"/>
  <c r="H3472" i="1"/>
  <c r="C3472" i="1"/>
  <c r="A3472" i="1"/>
  <c r="H3471" i="1"/>
  <c r="C3471" i="1"/>
  <c r="A3471" i="1"/>
  <c r="H3470" i="1"/>
  <c r="C3470" i="1"/>
  <c r="A3470" i="1"/>
  <c r="H3469" i="1"/>
  <c r="C3469" i="1"/>
  <c r="A3469" i="1"/>
  <c r="H3468" i="1"/>
  <c r="C3468" i="1"/>
  <c r="A3468" i="1"/>
  <c r="H3467" i="1"/>
  <c r="C3467" i="1"/>
  <c r="A3467" i="1"/>
  <c r="H3466" i="1"/>
  <c r="C3466" i="1"/>
  <c r="A3466" i="1"/>
  <c r="H3465" i="1"/>
  <c r="C3465" i="1"/>
  <c r="A3465" i="1"/>
  <c r="H3464" i="1"/>
  <c r="C3464" i="1"/>
  <c r="A3464" i="1"/>
  <c r="H3463" i="1"/>
  <c r="C3463" i="1"/>
  <c r="A3463" i="1"/>
  <c r="H3462" i="1"/>
  <c r="C3462" i="1"/>
  <c r="A3462" i="1"/>
  <c r="H3461" i="1"/>
  <c r="C3461" i="1"/>
  <c r="A3461" i="1"/>
  <c r="H3460" i="1"/>
  <c r="C3460" i="1"/>
  <c r="A3460" i="1"/>
  <c r="H3459" i="1"/>
  <c r="C3459" i="1"/>
  <c r="A3459" i="1"/>
  <c r="H3458" i="1"/>
  <c r="C3458" i="1"/>
  <c r="A3458" i="1"/>
  <c r="H3457" i="1"/>
  <c r="C3457" i="1"/>
  <c r="A3457" i="1"/>
  <c r="H3456" i="1"/>
  <c r="C3456" i="1"/>
  <c r="A3456" i="1"/>
  <c r="H3455" i="1"/>
  <c r="C3455" i="1"/>
  <c r="A3455" i="1"/>
  <c r="H3454" i="1"/>
  <c r="C3454" i="1"/>
  <c r="A3454" i="1"/>
  <c r="H3453" i="1"/>
  <c r="C3453" i="1"/>
  <c r="A3453" i="1"/>
  <c r="H3452" i="1"/>
  <c r="C3452" i="1"/>
  <c r="A3452" i="1"/>
  <c r="H3451" i="1"/>
  <c r="C3451" i="1"/>
  <c r="A3451" i="1"/>
  <c r="H3450" i="1"/>
  <c r="C3450" i="1"/>
  <c r="A3450" i="1"/>
  <c r="H3449" i="1"/>
  <c r="C3449" i="1"/>
  <c r="A3449" i="1"/>
  <c r="H3448" i="1"/>
  <c r="C3448" i="1"/>
  <c r="A3448" i="1"/>
  <c r="H3447" i="1"/>
  <c r="C3447" i="1"/>
  <c r="A3447" i="1"/>
  <c r="H3446" i="1"/>
  <c r="C3446" i="1"/>
  <c r="A3446" i="1"/>
  <c r="H3445" i="1"/>
  <c r="C3445" i="1"/>
  <c r="A3445" i="1"/>
  <c r="H3444" i="1"/>
  <c r="C3444" i="1"/>
  <c r="A3444" i="1"/>
  <c r="H3443" i="1"/>
  <c r="C3443" i="1"/>
  <c r="A3443" i="1"/>
  <c r="H3442" i="1"/>
  <c r="C3442" i="1"/>
  <c r="A3442" i="1"/>
  <c r="H3441" i="1"/>
  <c r="C3441" i="1"/>
  <c r="A3441" i="1"/>
  <c r="H3440" i="1"/>
  <c r="C3440" i="1"/>
  <c r="A3440" i="1"/>
  <c r="H3439" i="1"/>
  <c r="C3439" i="1"/>
  <c r="A3439" i="1"/>
  <c r="H3438" i="1"/>
  <c r="C3438" i="1"/>
  <c r="A3438" i="1"/>
  <c r="H3437" i="1"/>
  <c r="C3437" i="1"/>
  <c r="A3437" i="1"/>
  <c r="H3436" i="1"/>
  <c r="C3436" i="1"/>
  <c r="A3436" i="1"/>
  <c r="H3435" i="1"/>
  <c r="C3435" i="1"/>
  <c r="A3435" i="1"/>
  <c r="H3434" i="1"/>
  <c r="C3434" i="1"/>
  <c r="A3434" i="1"/>
  <c r="H3433" i="1"/>
  <c r="C3433" i="1"/>
  <c r="A3433" i="1"/>
  <c r="H3432" i="1"/>
  <c r="C3432" i="1"/>
  <c r="A3432" i="1"/>
  <c r="H3431" i="1"/>
  <c r="C3431" i="1"/>
  <c r="A3431" i="1"/>
  <c r="H3430" i="1"/>
  <c r="C3430" i="1"/>
  <c r="A3430" i="1"/>
  <c r="H3429" i="1"/>
  <c r="C3429" i="1"/>
  <c r="A3429" i="1"/>
  <c r="H3428" i="1"/>
  <c r="C3428" i="1"/>
  <c r="A3428" i="1"/>
  <c r="H3427" i="1"/>
  <c r="C3427" i="1"/>
  <c r="A3427" i="1"/>
  <c r="H3426" i="1"/>
  <c r="C3426" i="1"/>
  <c r="A3426" i="1"/>
  <c r="H3425" i="1"/>
  <c r="C3425" i="1"/>
  <c r="A3425" i="1"/>
  <c r="H3424" i="1"/>
  <c r="C3424" i="1"/>
  <c r="A3424" i="1"/>
  <c r="H3423" i="1"/>
  <c r="C3423" i="1"/>
  <c r="A3423" i="1"/>
  <c r="H3422" i="1"/>
  <c r="C3422" i="1"/>
  <c r="A3422" i="1"/>
  <c r="H3421" i="1"/>
  <c r="C3421" i="1"/>
  <c r="A3421" i="1"/>
  <c r="H3420" i="1"/>
  <c r="C3420" i="1"/>
  <c r="A3420" i="1"/>
  <c r="H3419" i="1"/>
  <c r="C3419" i="1"/>
  <c r="A3419" i="1"/>
  <c r="H3418" i="1"/>
  <c r="C3418" i="1"/>
  <c r="A3418" i="1"/>
  <c r="H3417" i="1"/>
  <c r="C3417" i="1"/>
  <c r="A3417" i="1"/>
  <c r="H3416" i="1"/>
  <c r="C3416" i="1"/>
  <c r="A3416" i="1"/>
  <c r="H3415" i="1"/>
  <c r="C3415" i="1"/>
  <c r="A3415" i="1"/>
  <c r="H3414" i="1"/>
  <c r="C3414" i="1"/>
  <c r="A3414" i="1"/>
  <c r="H3413" i="1"/>
  <c r="C3413" i="1"/>
  <c r="A3413" i="1"/>
  <c r="H3412" i="1"/>
  <c r="C3412" i="1"/>
  <c r="A3412" i="1"/>
  <c r="H3411" i="1"/>
  <c r="C3411" i="1"/>
  <c r="A3411" i="1"/>
  <c r="H3410" i="1"/>
  <c r="C3410" i="1"/>
  <c r="A3410" i="1"/>
  <c r="H3409" i="1"/>
  <c r="C3409" i="1"/>
  <c r="A3409" i="1"/>
  <c r="H3408" i="1"/>
  <c r="C3408" i="1"/>
  <c r="A3408" i="1"/>
  <c r="H3407" i="1"/>
  <c r="C3407" i="1"/>
  <c r="A3407" i="1"/>
  <c r="H3406" i="1"/>
  <c r="C3406" i="1"/>
  <c r="A3406" i="1"/>
  <c r="H3405" i="1"/>
  <c r="C3405" i="1"/>
  <c r="A3405" i="1"/>
  <c r="H3404" i="1"/>
  <c r="C3404" i="1"/>
  <c r="A3404" i="1"/>
  <c r="H3403" i="1"/>
  <c r="C3403" i="1"/>
  <c r="A3403" i="1"/>
  <c r="H3402" i="1"/>
  <c r="C3402" i="1"/>
  <c r="A3402" i="1"/>
  <c r="H3401" i="1"/>
  <c r="C3401" i="1"/>
  <c r="A3401" i="1"/>
  <c r="H3400" i="1"/>
  <c r="C3400" i="1"/>
  <c r="A3400" i="1"/>
  <c r="H3399" i="1"/>
  <c r="C3399" i="1"/>
  <c r="A3399" i="1"/>
  <c r="H3398" i="1"/>
  <c r="C3398" i="1"/>
  <c r="A3398" i="1"/>
  <c r="H3397" i="1"/>
  <c r="C3397" i="1"/>
  <c r="A3397" i="1"/>
  <c r="H3396" i="1"/>
  <c r="C3396" i="1"/>
  <c r="A3396" i="1"/>
  <c r="H3395" i="1"/>
  <c r="C3395" i="1"/>
  <c r="A3395" i="1"/>
  <c r="H3394" i="1"/>
  <c r="C3394" i="1"/>
  <c r="A3394" i="1"/>
  <c r="H3393" i="1"/>
  <c r="C3393" i="1"/>
  <c r="A3393" i="1"/>
  <c r="H3392" i="1"/>
  <c r="C3392" i="1"/>
  <c r="A3392" i="1"/>
  <c r="H3391" i="1"/>
  <c r="C3391" i="1"/>
  <c r="A3391" i="1"/>
  <c r="H3390" i="1"/>
  <c r="C3390" i="1"/>
  <c r="A3390" i="1"/>
  <c r="H3389" i="1"/>
  <c r="C3389" i="1"/>
  <c r="A3389" i="1"/>
  <c r="H3388" i="1"/>
  <c r="C3388" i="1"/>
  <c r="A3388" i="1"/>
  <c r="H3387" i="1"/>
  <c r="C3387" i="1"/>
  <c r="A3387" i="1"/>
  <c r="H3386" i="1"/>
  <c r="C3386" i="1"/>
  <c r="A3386" i="1"/>
  <c r="H3385" i="1"/>
  <c r="C3385" i="1"/>
  <c r="A3385" i="1"/>
  <c r="H3384" i="1"/>
  <c r="C3384" i="1"/>
  <c r="A3384" i="1"/>
  <c r="H3383" i="1"/>
  <c r="C3383" i="1"/>
  <c r="A3383" i="1"/>
  <c r="H3382" i="1"/>
  <c r="C3382" i="1"/>
  <c r="A3382" i="1"/>
  <c r="H3381" i="1"/>
  <c r="C3381" i="1"/>
  <c r="A3381" i="1"/>
  <c r="H3380" i="1"/>
  <c r="C3380" i="1"/>
  <c r="A3380" i="1"/>
  <c r="H3379" i="1"/>
  <c r="C3379" i="1"/>
  <c r="A3379" i="1"/>
  <c r="H3378" i="1"/>
  <c r="C3378" i="1"/>
  <c r="A3378" i="1"/>
  <c r="H3377" i="1"/>
  <c r="C3377" i="1"/>
  <c r="A3377" i="1"/>
  <c r="H3376" i="1"/>
  <c r="C3376" i="1"/>
  <c r="A3376" i="1"/>
  <c r="H3375" i="1"/>
  <c r="C3375" i="1"/>
  <c r="A3375" i="1"/>
  <c r="H3374" i="1"/>
  <c r="C3374" i="1"/>
  <c r="A3374" i="1"/>
  <c r="H3373" i="1"/>
  <c r="C3373" i="1"/>
  <c r="A3373" i="1"/>
  <c r="H3372" i="1"/>
  <c r="C3372" i="1"/>
  <c r="A3372" i="1"/>
  <c r="H3371" i="1"/>
  <c r="C3371" i="1"/>
  <c r="A3371" i="1"/>
  <c r="H3370" i="1"/>
  <c r="C3370" i="1"/>
  <c r="A3370" i="1"/>
  <c r="H3369" i="1"/>
  <c r="C3369" i="1"/>
  <c r="A3369" i="1"/>
  <c r="H3368" i="1"/>
  <c r="C3368" i="1"/>
  <c r="A3368" i="1"/>
  <c r="H3367" i="1"/>
  <c r="C3367" i="1"/>
  <c r="A3367" i="1"/>
  <c r="H3366" i="1"/>
  <c r="C3366" i="1"/>
  <c r="A3366" i="1"/>
  <c r="H3365" i="1"/>
  <c r="C3365" i="1"/>
  <c r="A3365" i="1"/>
  <c r="H3364" i="1"/>
  <c r="C3364" i="1"/>
  <c r="A3364" i="1"/>
  <c r="H3363" i="1"/>
  <c r="C3363" i="1"/>
  <c r="A3363" i="1"/>
  <c r="H3362" i="1"/>
  <c r="C3362" i="1"/>
  <c r="A3362" i="1"/>
  <c r="H3361" i="1"/>
  <c r="C3361" i="1"/>
  <c r="A3361" i="1"/>
  <c r="H3360" i="1"/>
  <c r="C3360" i="1"/>
  <c r="A3360" i="1"/>
  <c r="H3359" i="1"/>
  <c r="C3359" i="1"/>
  <c r="A3359" i="1"/>
  <c r="H3358" i="1"/>
  <c r="C3358" i="1"/>
  <c r="A3358" i="1"/>
  <c r="Y3357" i="1"/>
  <c r="W3357" i="1"/>
  <c r="H3357" i="1"/>
  <c r="C3357" i="1"/>
  <c r="A3357" i="1"/>
  <c r="H3356" i="1"/>
  <c r="C3356" i="1"/>
  <c r="A3356" i="1"/>
  <c r="H3355" i="1"/>
  <c r="C3355" i="1"/>
  <c r="A3355" i="1"/>
  <c r="H3354" i="1"/>
  <c r="C3354" i="1"/>
  <c r="A3354" i="1"/>
  <c r="H3353" i="1"/>
  <c r="C3353" i="1"/>
  <c r="A3353" i="1"/>
  <c r="H3352" i="1"/>
  <c r="C3352" i="1"/>
  <c r="A3352" i="1"/>
  <c r="H3351" i="1"/>
  <c r="C3351" i="1"/>
  <c r="A3351" i="1"/>
  <c r="H3350" i="1"/>
  <c r="C3350" i="1"/>
  <c r="A3350" i="1"/>
  <c r="H3349" i="1"/>
  <c r="C3349" i="1"/>
  <c r="A3349" i="1"/>
  <c r="H3348" i="1"/>
  <c r="C3348" i="1"/>
  <c r="A3348" i="1"/>
  <c r="H3347" i="1"/>
  <c r="C3347" i="1"/>
  <c r="A3347" i="1"/>
  <c r="H3346" i="1"/>
  <c r="C3346" i="1"/>
  <c r="A3346" i="1"/>
  <c r="H3345" i="1"/>
  <c r="C3345" i="1"/>
  <c r="A3345" i="1"/>
  <c r="H3344" i="1"/>
  <c r="C3344" i="1"/>
  <c r="A3344" i="1"/>
  <c r="H3343" i="1"/>
  <c r="C3343" i="1"/>
  <c r="A3343" i="1"/>
  <c r="H3342" i="1"/>
  <c r="C3342" i="1"/>
  <c r="A3342" i="1"/>
  <c r="H3341" i="1"/>
  <c r="C3341" i="1"/>
  <c r="A3341" i="1"/>
  <c r="H3340" i="1"/>
  <c r="C3340" i="1"/>
  <c r="A3340" i="1"/>
  <c r="H3339" i="1"/>
  <c r="C3339" i="1"/>
  <c r="A3339" i="1"/>
  <c r="H3338" i="1"/>
  <c r="C3338" i="1"/>
  <c r="A3338" i="1"/>
  <c r="H3337" i="1"/>
  <c r="C3337" i="1"/>
  <c r="A3337" i="1"/>
  <c r="H3336" i="1"/>
  <c r="C3336" i="1"/>
  <c r="A3336" i="1"/>
  <c r="H3335" i="1"/>
  <c r="C3335" i="1"/>
  <c r="A3335" i="1"/>
  <c r="H3334" i="1"/>
  <c r="C3334" i="1"/>
  <c r="A3334" i="1"/>
  <c r="H3333" i="1"/>
  <c r="C3333" i="1"/>
  <c r="A3333" i="1"/>
  <c r="H3332" i="1"/>
  <c r="C3332" i="1"/>
  <c r="A3332" i="1"/>
  <c r="H3331" i="1"/>
  <c r="C3331" i="1"/>
  <c r="A3331" i="1"/>
  <c r="H3330" i="1"/>
  <c r="C3330" i="1"/>
  <c r="A3330" i="1"/>
  <c r="H3329" i="1"/>
  <c r="C3329" i="1"/>
  <c r="A3329" i="1"/>
  <c r="H3328" i="1"/>
  <c r="C3328" i="1"/>
  <c r="A3328" i="1"/>
  <c r="H3327" i="1"/>
  <c r="C3327" i="1"/>
  <c r="A3327" i="1"/>
  <c r="H3326" i="1"/>
  <c r="C3326" i="1"/>
  <c r="A3326" i="1"/>
  <c r="H3325" i="1"/>
  <c r="C3325" i="1"/>
  <c r="A3325" i="1"/>
  <c r="H3324" i="1"/>
  <c r="C3324" i="1"/>
  <c r="A3324" i="1"/>
  <c r="H3323" i="1"/>
  <c r="C3323" i="1"/>
  <c r="A3323" i="1"/>
  <c r="H3322" i="1"/>
  <c r="C3322" i="1"/>
  <c r="A3322" i="1"/>
  <c r="H3321" i="1"/>
  <c r="C3321" i="1"/>
  <c r="A3321" i="1"/>
  <c r="H3320" i="1"/>
  <c r="C3320" i="1"/>
  <c r="A3320" i="1"/>
  <c r="H3319" i="1"/>
  <c r="C3319" i="1"/>
  <c r="A3319" i="1"/>
  <c r="H3318" i="1"/>
  <c r="C3318" i="1"/>
  <c r="A3318" i="1"/>
  <c r="H3317" i="1"/>
  <c r="C3317" i="1"/>
  <c r="A3317" i="1"/>
  <c r="H3316" i="1"/>
  <c r="C3316" i="1"/>
  <c r="A3316" i="1"/>
  <c r="H3315" i="1"/>
  <c r="C3315" i="1"/>
  <c r="A3315" i="1"/>
  <c r="H3314" i="1"/>
  <c r="C3314" i="1"/>
  <c r="A3314" i="1"/>
  <c r="H3313" i="1"/>
  <c r="C3313" i="1"/>
  <c r="A3313" i="1"/>
  <c r="H3312" i="1"/>
  <c r="C3312" i="1"/>
  <c r="A3312" i="1"/>
  <c r="H3311" i="1"/>
  <c r="C3311" i="1"/>
  <c r="A3311" i="1"/>
  <c r="H3310" i="1"/>
  <c r="C3310" i="1"/>
  <c r="A3310" i="1"/>
  <c r="H3309" i="1"/>
  <c r="C3309" i="1"/>
  <c r="A3309" i="1"/>
  <c r="H3308" i="1"/>
  <c r="C3308" i="1"/>
  <c r="A3308" i="1"/>
  <c r="H3307" i="1"/>
  <c r="C3307" i="1"/>
  <c r="A3307" i="1"/>
  <c r="H3306" i="1"/>
  <c r="C3306" i="1"/>
  <c r="A3306" i="1"/>
  <c r="H3305" i="1"/>
  <c r="C3305" i="1"/>
  <c r="A3305" i="1"/>
  <c r="H3304" i="1"/>
  <c r="C3304" i="1"/>
  <c r="A3304" i="1"/>
  <c r="H3303" i="1"/>
  <c r="C3303" i="1"/>
  <c r="A3303" i="1"/>
  <c r="H3302" i="1"/>
  <c r="C3302" i="1"/>
  <c r="A3302" i="1"/>
  <c r="H3301" i="1"/>
  <c r="C3301" i="1"/>
  <c r="A3301" i="1"/>
  <c r="H3300" i="1"/>
  <c r="C3300" i="1"/>
  <c r="A3300" i="1"/>
  <c r="H3299" i="1"/>
  <c r="C3299" i="1"/>
  <c r="A3299" i="1"/>
  <c r="H3298" i="1"/>
  <c r="C3298" i="1"/>
  <c r="A3298" i="1"/>
  <c r="H3297" i="1"/>
  <c r="C3297" i="1"/>
  <c r="A3297" i="1"/>
  <c r="H3296" i="1"/>
  <c r="C3296" i="1"/>
  <c r="A3296" i="1"/>
  <c r="H3295" i="1"/>
  <c r="C3295" i="1"/>
  <c r="A3295" i="1"/>
  <c r="H3294" i="1"/>
  <c r="C3294" i="1"/>
  <c r="A3294" i="1"/>
  <c r="H3293" i="1"/>
  <c r="C3293" i="1"/>
  <c r="A3293" i="1"/>
  <c r="H3292" i="1"/>
  <c r="C3292" i="1"/>
  <c r="A3292" i="1"/>
  <c r="H3291" i="1"/>
  <c r="C3291" i="1"/>
  <c r="A3291" i="1"/>
  <c r="H3290" i="1"/>
  <c r="C3290" i="1"/>
  <c r="A3290" i="1"/>
  <c r="H3289" i="1"/>
  <c r="C3289" i="1"/>
  <c r="A3289" i="1"/>
  <c r="H3288" i="1"/>
  <c r="C3288" i="1"/>
  <c r="A3288" i="1"/>
  <c r="H3287" i="1"/>
  <c r="C3287" i="1"/>
  <c r="A3287" i="1"/>
  <c r="H3286" i="1"/>
  <c r="C3286" i="1"/>
  <c r="A3286" i="1"/>
  <c r="H3285" i="1"/>
  <c r="C3285" i="1"/>
  <c r="A3285" i="1"/>
  <c r="H3284" i="1"/>
  <c r="C3284" i="1"/>
  <c r="A3284" i="1"/>
  <c r="H3283" i="1"/>
  <c r="C3283" i="1"/>
  <c r="A3283" i="1"/>
  <c r="H3282" i="1"/>
  <c r="C3282" i="1"/>
  <c r="A3282" i="1"/>
  <c r="H3281" i="1"/>
  <c r="C3281" i="1"/>
  <c r="A3281" i="1"/>
  <c r="H3280" i="1"/>
  <c r="C3280" i="1"/>
  <c r="A3280" i="1"/>
  <c r="H3279" i="1"/>
  <c r="C3279" i="1"/>
  <c r="A3279" i="1"/>
  <c r="H3278" i="1"/>
  <c r="C3278" i="1"/>
  <c r="A3278" i="1"/>
  <c r="H3277" i="1"/>
  <c r="C3277" i="1"/>
  <c r="A3277" i="1"/>
  <c r="H3276" i="1"/>
  <c r="C3276" i="1"/>
  <c r="A3276" i="1"/>
  <c r="H3275" i="1"/>
  <c r="C3275" i="1"/>
  <c r="A3275" i="1"/>
  <c r="H3274" i="1"/>
  <c r="C3274" i="1"/>
  <c r="A3274" i="1"/>
  <c r="H3273" i="1"/>
  <c r="C3273" i="1"/>
  <c r="A3273" i="1"/>
  <c r="H3272" i="1"/>
  <c r="C3272" i="1"/>
  <c r="A3272" i="1"/>
  <c r="H3271" i="1"/>
  <c r="C3271" i="1"/>
  <c r="A3271" i="1"/>
  <c r="H3270" i="1"/>
  <c r="C3270" i="1"/>
  <c r="A3270" i="1"/>
  <c r="H3269" i="1"/>
  <c r="C3269" i="1"/>
  <c r="A3269" i="1"/>
  <c r="H3268" i="1"/>
  <c r="C3268" i="1"/>
  <c r="A3268" i="1"/>
  <c r="H3267" i="1"/>
  <c r="C3267" i="1"/>
  <c r="A3267" i="1"/>
  <c r="H3266" i="1"/>
  <c r="C3266" i="1"/>
  <c r="A3266" i="1"/>
  <c r="H3265" i="1"/>
  <c r="C3265" i="1"/>
  <c r="A3265" i="1"/>
  <c r="H3264" i="1"/>
  <c r="C3264" i="1"/>
  <c r="A3264" i="1"/>
  <c r="H3263" i="1"/>
  <c r="C3263" i="1"/>
  <c r="A3263" i="1"/>
  <c r="H3262" i="1"/>
  <c r="C3262" i="1"/>
  <c r="A3262" i="1"/>
  <c r="H3261" i="1"/>
  <c r="C3261" i="1"/>
  <c r="A3261" i="1"/>
  <c r="H3260" i="1"/>
  <c r="C3260" i="1"/>
  <c r="A3260" i="1"/>
  <c r="H3259" i="1"/>
  <c r="C3259" i="1"/>
  <c r="A3259" i="1"/>
  <c r="H3258" i="1"/>
  <c r="C3258" i="1"/>
  <c r="A3258" i="1"/>
  <c r="H3257" i="1"/>
  <c r="C3257" i="1"/>
  <c r="A3257" i="1"/>
  <c r="H3256" i="1"/>
  <c r="C3256" i="1"/>
  <c r="A3256" i="1"/>
  <c r="H3255" i="1"/>
  <c r="C3255" i="1"/>
  <c r="A3255" i="1"/>
  <c r="H3254" i="1"/>
  <c r="C3254" i="1"/>
  <c r="A3254" i="1"/>
  <c r="H3253" i="1"/>
  <c r="C3253" i="1"/>
  <c r="A3253" i="1"/>
  <c r="H3252" i="1"/>
  <c r="C3252" i="1"/>
  <c r="A3252" i="1"/>
  <c r="H3251" i="1"/>
  <c r="C3251" i="1"/>
  <c r="A3251" i="1"/>
  <c r="H3250" i="1"/>
  <c r="C3250" i="1"/>
  <c r="A3250" i="1"/>
  <c r="H3249" i="1"/>
  <c r="C3249" i="1"/>
  <c r="A3249" i="1"/>
  <c r="H3248" i="1"/>
  <c r="C3248" i="1"/>
  <c r="A3248" i="1"/>
  <c r="H3247" i="1"/>
  <c r="C3247" i="1"/>
  <c r="A3247" i="1"/>
  <c r="H3246" i="1"/>
  <c r="C3246" i="1"/>
  <c r="A3246" i="1"/>
  <c r="H3245" i="1"/>
  <c r="C3245" i="1"/>
  <c r="A3245" i="1"/>
  <c r="H3244" i="1"/>
  <c r="C3244" i="1"/>
  <c r="A3244" i="1"/>
  <c r="H3243" i="1"/>
  <c r="C3243" i="1"/>
  <c r="A3243" i="1"/>
  <c r="H3242" i="1"/>
  <c r="C3242" i="1"/>
  <c r="A3242" i="1"/>
  <c r="H3241" i="1"/>
  <c r="C3241" i="1"/>
  <c r="A3241" i="1"/>
  <c r="H3240" i="1"/>
  <c r="C3240" i="1"/>
  <c r="A3240" i="1"/>
  <c r="H3239" i="1"/>
  <c r="C3239" i="1"/>
  <c r="A3239" i="1"/>
  <c r="H3238" i="1"/>
  <c r="C3238" i="1"/>
  <c r="A3238" i="1"/>
  <c r="H3237" i="1"/>
  <c r="C3237" i="1"/>
  <c r="A3237" i="1"/>
  <c r="H3236" i="1"/>
  <c r="C3236" i="1"/>
  <c r="A3236" i="1"/>
  <c r="H3235" i="1"/>
  <c r="C3235" i="1"/>
  <c r="A3235" i="1"/>
  <c r="H3234" i="1"/>
  <c r="C3234" i="1"/>
  <c r="A3234" i="1"/>
  <c r="H3233" i="1"/>
  <c r="C3233" i="1"/>
  <c r="A3233" i="1"/>
  <c r="H3232" i="1"/>
  <c r="C3232" i="1"/>
  <c r="A3232" i="1"/>
  <c r="H3231" i="1"/>
  <c r="C3231" i="1"/>
  <c r="A3231" i="1"/>
  <c r="H3230" i="1"/>
  <c r="C3230" i="1"/>
  <c r="A3230" i="1"/>
  <c r="H3229" i="1"/>
  <c r="C3229" i="1"/>
  <c r="A3229" i="1"/>
  <c r="H3228" i="1"/>
  <c r="C3228" i="1"/>
  <c r="A3228" i="1"/>
  <c r="H3227" i="1"/>
  <c r="C3227" i="1"/>
  <c r="A3227" i="1"/>
  <c r="H3226" i="1"/>
  <c r="C3226" i="1"/>
  <c r="A3226" i="1"/>
  <c r="H3225" i="1"/>
  <c r="C3225" i="1"/>
  <c r="A3225" i="1"/>
  <c r="H3224" i="1"/>
  <c r="C3224" i="1"/>
  <c r="A3224" i="1"/>
  <c r="H3223" i="1"/>
  <c r="C3223" i="1"/>
  <c r="A3223" i="1"/>
  <c r="H3222" i="1"/>
  <c r="C3222" i="1"/>
  <c r="A3222" i="1"/>
  <c r="H3221" i="1"/>
  <c r="C3221" i="1"/>
  <c r="A3221" i="1"/>
  <c r="H3220" i="1"/>
  <c r="C3220" i="1"/>
  <c r="A3220" i="1"/>
  <c r="H3219" i="1"/>
  <c r="C3219" i="1"/>
  <c r="A3219" i="1"/>
  <c r="H3218" i="1"/>
  <c r="C3218" i="1"/>
  <c r="A3218" i="1"/>
  <c r="H3217" i="1"/>
  <c r="C3217" i="1"/>
  <c r="A3217" i="1"/>
  <c r="H3216" i="1"/>
  <c r="C3216" i="1"/>
  <c r="A3216" i="1"/>
  <c r="H3215" i="1"/>
  <c r="C3215" i="1"/>
  <c r="A3215" i="1"/>
  <c r="H3214" i="1"/>
  <c r="C3214" i="1"/>
  <c r="A3214" i="1"/>
  <c r="H3213" i="1"/>
  <c r="C3213" i="1"/>
  <c r="A3213" i="1"/>
  <c r="H3212" i="1"/>
  <c r="C3212" i="1"/>
  <c r="A3212" i="1"/>
  <c r="H3211" i="1"/>
  <c r="C3211" i="1"/>
  <c r="A3211" i="1"/>
  <c r="H3210" i="1"/>
  <c r="C3210" i="1"/>
  <c r="A3210" i="1"/>
  <c r="H3209" i="1"/>
  <c r="C3209" i="1"/>
  <c r="A3209" i="1"/>
  <c r="H3208" i="1"/>
  <c r="C3208" i="1"/>
  <c r="A3208" i="1"/>
  <c r="H3207" i="1"/>
  <c r="C3207" i="1"/>
  <c r="A3207" i="1"/>
  <c r="H3206" i="1"/>
  <c r="C3206" i="1"/>
  <c r="A3206" i="1"/>
  <c r="H3205" i="1"/>
  <c r="C3205" i="1"/>
  <c r="A3205" i="1"/>
  <c r="H3204" i="1"/>
  <c r="C3204" i="1"/>
  <c r="A3204" i="1"/>
  <c r="H3203" i="1"/>
  <c r="C3203" i="1"/>
  <c r="A3203" i="1"/>
  <c r="H3202" i="1"/>
  <c r="C3202" i="1"/>
  <c r="A3202" i="1"/>
  <c r="H3201" i="1"/>
  <c r="C3201" i="1"/>
  <c r="A3201" i="1"/>
  <c r="H3200" i="1"/>
  <c r="C3200" i="1"/>
  <c r="A3200" i="1"/>
  <c r="H3199" i="1"/>
  <c r="C3199" i="1"/>
  <c r="A3199" i="1"/>
  <c r="H3198" i="1"/>
  <c r="C3198" i="1"/>
  <c r="A3198" i="1"/>
  <c r="H3197" i="1"/>
  <c r="C3197" i="1"/>
  <c r="A3197" i="1"/>
  <c r="H3196" i="1"/>
  <c r="C3196" i="1"/>
  <c r="A3196" i="1"/>
  <c r="H3195" i="1"/>
  <c r="C3195" i="1"/>
  <c r="A3195" i="1"/>
  <c r="H3194" i="1"/>
  <c r="C3194" i="1"/>
  <c r="A3194" i="1"/>
  <c r="H3193" i="1"/>
  <c r="C3193" i="1"/>
  <c r="A3193" i="1"/>
  <c r="H3192" i="1"/>
  <c r="C3192" i="1"/>
  <c r="A3192" i="1"/>
  <c r="H3191" i="1"/>
  <c r="C3191" i="1"/>
  <c r="A3191" i="1"/>
  <c r="H3190" i="1"/>
  <c r="C3190" i="1"/>
  <c r="A3190" i="1"/>
  <c r="H3189" i="1"/>
  <c r="C3189" i="1"/>
  <c r="A3189" i="1"/>
  <c r="H3188" i="1"/>
  <c r="C3188" i="1"/>
  <c r="A3188" i="1"/>
  <c r="H3187" i="1"/>
  <c r="C3187" i="1"/>
  <c r="A3187" i="1"/>
  <c r="H3186" i="1"/>
  <c r="C3186" i="1"/>
  <c r="A3186" i="1"/>
  <c r="H3185" i="1"/>
  <c r="C3185" i="1"/>
  <c r="A3185" i="1"/>
  <c r="H3184" i="1"/>
  <c r="C3184" i="1"/>
  <c r="A3184" i="1"/>
  <c r="H3183" i="1"/>
  <c r="C3183" i="1"/>
  <c r="A3183" i="1"/>
  <c r="H3182" i="1"/>
  <c r="C3182" i="1"/>
  <c r="A3182" i="1"/>
  <c r="H3181" i="1"/>
  <c r="C3181" i="1"/>
  <c r="A3181" i="1"/>
  <c r="H3180" i="1"/>
  <c r="C3180" i="1"/>
  <c r="A3180" i="1"/>
  <c r="H3179" i="1"/>
  <c r="C3179" i="1"/>
  <c r="A3179" i="1"/>
  <c r="H3178" i="1"/>
  <c r="C3178" i="1"/>
  <c r="A3178" i="1"/>
  <c r="H3177" i="1"/>
  <c r="C3177" i="1"/>
  <c r="A3177" i="1"/>
  <c r="H3176" i="1"/>
  <c r="C3176" i="1"/>
  <c r="A3176" i="1"/>
  <c r="H3175" i="1"/>
  <c r="C3175" i="1"/>
  <c r="A3175" i="1"/>
  <c r="H3174" i="1"/>
  <c r="C3174" i="1"/>
  <c r="A3174" i="1"/>
  <c r="H3173" i="1"/>
  <c r="C3173" i="1"/>
  <c r="A3173" i="1"/>
  <c r="H3172" i="1"/>
  <c r="C3172" i="1"/>
  <c r="A3172" i="1"/>
  <c r="H3171" i="1"/>
  <c r="C3171" i="1"/>
  <c r="A3171" i="1"/>
  <c r="H3170" i="1"/>
  <c r="C3170" i="1"/>
  <c r="A3170" i="1"/>
  <c r="H3169" i="1"/>
  <c r="C3169" i="1"/>
  <c r="A3169" i="1"/>
  <c r="H3168" i="1"/>
  <c r="C3168" i="1"/>
  <c r="A3168" i="1"/>
  <c r="H3167" i="1"/>
  <c r="C3167" i="1"/>
  <c r="A3167" i="1"/>
  <c r="H3166" i="1"/>
  <c r="C3166" i="1"/>
  <c r="A3166" i="1"/>
  <c r="H3165" i="1"/>
  <c r="C3165" i="1"/>
  <c r="A3165" i="1"/>
  <c r="H3164" i="1"/>
  <c r="C3164" i="1"/>
  <c r="A3164" i="1"/>
  <c r="H3163" i="1"/>
  <c r="C3163" i="1"/>
  <c r="A3163" i="1"/>
  <c r="H3162" i="1"/>
  <c r="C3162" i="1"/>
  <c r="A3162" i="1"/>
  <c r="H3161" i="1"/>
  <c r="C3161" i="1"/>
  <c r="A3161" i="1"/>
  <c r="H3160" i="1"/>
  <c r="C3160" i="1"/>
  <c r="A3160" i="1"/>
  <c r="H3159" i="1"/>
  <c r="C3159" i="1"/>
  <c r="A3159" i="1"/>
  <c r="H3158" i="1"/>
  <c r="C3158" i="1"/>
  <c r="A3158" i="1"/>
  <c r="H3157" i="1"/>
  <c r="C3157" i="1"/>
  <c r="A3157" i="1"/>
  <c r="H3156" i="1"/>
  <c r="C3156" i="1"/>
  <c r="A3156" i="1"/>
  <c r="H3155" i="1"/>
  <c r="C3155" i="1"/>
  <c r="A3155" i="1"/>
  <c r="H3154" i="1"/>
  <c r="C3154" i="1"/>
  <c r="A3154" i="1"/>
  <c r="H3153" i="1"/>
  <c r="C3153" i="1"/>
  <c r="A3153" i="1"/>
  <c r="H3152" i="1"/>
  <c r="C3152" i="1"/>
  <c r="A3152" i="1"/>
  <c r="H3151" i="1"/>
  <c r="C3151" i="1"/>
  <c r="A3151" i="1"/>
  <c r="H3150" i="1"/>
  <c r="C3150" i="1"/>
  <c r="A3150" i="1"/>
  <c r="H3149" i="1"/>
  <c r="C3149" i="1"/>
  <c r="A3149" i="1"/>
  <c r="H3148" i="1"/>
  <c r="C3148" i="1"/>
  <c r="A3148" i="1"/>
  <c r="H3147" i="1"/>
  <c r="C3147" i="1"/>
  <c r="A3147" i="1"/>
  <c r="H3146" i="1"/>
  <c r="C3146" i="1"/>
  <c r="A3146" i="1"/>
  <c r="H3145" i="1"/>
  <c r="C3145" i="1"/>
  <c r="A3145" i="1"/>
  <c r="H3144" i="1"/>
  <c r="C3144" i="1"/>
  <c r="A3144" i="1"/>
  <c r="H3143" i="1"/>
  <c r="C3143" i="1"/>
  <c r="A3143" i="1"/>
  <c r="H3142" i="1"/>
  <c r="C3142" i="1"/>
  <c r="A3142" i="1"/>
  <c r="H3141" i="1"/>
  <c r="C3141" i="1"/>
  <c r="A3141" i="1"/>
  <c r="H3140" i="1"/>
  <c r="C3140" i="1"/>
  <c r="A3140" i="1"/>
  <c r="H3139" i="1"/>
  <c r="C3139" i="1"/>
  <c r="A3139" i="1"/>
  <c r="H3138" i="1"/>
  <c r="C3138" i="1"/>
  <c r="A3138" i="1"/>
  <c r="H3137" i="1"/>
  <c r="C3137" i="1"/>
  <c r="A3137" i="1"/>
  <c r="H3136" i="1"/>
  <c r="C3136" i="1"/>
  <c r="A3136" i="1"/>
  <c r="H3135" i="1"/>
  <c r="C3135" i="1"/>
  <c r="A3135" i="1"/>
  <c r="H3134" i="1"/>
  <c r="C3134" i="1"/>
  <c r="A3134" i="1"/>
  <c r="H3133" i="1"/>
  <c r="C3133" i="1"/>
  <c r="A3133" i="1"/>
  <c r="H3132" i="1"/>
  <c r="C3132" i="1"/>
  <c r="A3132" i="1"/>
  <c r="H3131" i="1"/>
  <c r="C3131" i="1"/>
  <c r="A3131" i="1"/>
  <c r="H3130" i="1"/>
  <c r="C3130" i="1"/>
  <c r="A3130" i="1"/>
  <c r="H3129" i="1"/>
  <c r="C3129" i="1"/>
  <c r="A3129" i="1"/>
  <c r="H3128" i="1"/>
  <c r="C3128" i="1"/>
  <c r="A3128" i="1"/>
  <c r="H3127" i="1"/>
  <c r="C3127" i="1"/>
  <c r="A3127" i="1"/>
  <c r="H3126" i="1"/>
  <c r="C3126" i="1"/>
  <c r="A3126" i="1"/>
  <c r="H3125" i="1"/>
  <c r="C3125" i="1"/>
  <c r="A3125" i="1"/>
  <c r="H3124" i="1"/>
  <c r="C3124" i="1"/>
  <c r="A3124" i="1"/>
  <c r="H3123" i="1"/>
  <c r="C3123" i="1"/>
  <c r="A3123" i="1"/>
  <c r="H3122" i="1"/>
  <c r="C3122" i="1"/>
  <c r="A3122" i="1"/>
  <c r="H3121" i="1"/>
  <c r="C3121" i="1"/>
  <c r="A3121" i="1"/>
  <c r="H3120" i="1"/>
  <c r="C3120" i="1"/>
  <c r="A3120" i="1"/>
  <c r="H3119" i="1"/>
  <c r="C3119" i="1"/>
  <c r="A3119" i="1"/>
  <c r="H3118" i="1"/>
  <c r="C3118" i="1"/>
  <c r="A3118" i="1"/>
  <c r="H3117" i="1"/>
  <c r="C3117" i="1"/>
  <c r="A3117" i="1"/>
  <c r="H3116" i="1"/>
  <c r="C3116" i="1"/>
  <c r="A3116" i="1"/>
  <c r="H3115" i="1"/>
  <c r="C3115" i="1"/>
  <c r="A3115" i="1"/>
  <c r="H3114" i="1"/>
  <c r="C3114" i="1"/>
  <c r="A3114" i="1"/>
  <c r="H3113" i="1"/>
  <c r="C3113" i="1"/>
  <c r="A3113" i="1"/>
  <c r="H3112" i="1"/>
  <c r="C3112" i="1"/>
  <c r="A3112" i="1"/>
  <c r="H3111" i="1"/>
  <c r="C3111" i="1"/>
  <c r="A3111" i="1"/>
  <c r="H3110" i="1"/>
  <c r="C3110" i="1"/>
  <c r="A3110" i="1"/>
  <c r="H3109" i="1"/>
  <c r="C3109" i="1"/>
  <c r="A3109" i="1"/>
  <c r="H3108" i="1"/>
  <c r="C3108" i="1"/>
  <c r="A3108" i="1"/>
  <c r="H3107" i="1"/>
  <c r="C3107" i="1"/>
  <c r="A3107" i="1"/>
  <c r="H3106" i="1"/>
  <c r="C3106" i="1"/>
  <c r="A3106" i="1"/>
  <c r="H3105" i="1"/>
  <c r="C3105" i="1"/>
  <c r="A3105" i="1"/>
  <c r="H3104" i="1"/>
  <c r="C3104" i="1"/>
  <c r="A3104" i="1"/>
  <c r="H3103" i="1"/>
  <c r="C3103" i="1"/>
  <c r="A3103" i="1"/>
  <c r="H3102" i="1"/>
  <c r="C3102" i="1"/>
  <c r="A3102" i="1"/>
  <c r="H3101" i="1"/>
  <c r="C3101" i="1"/>
  <c r="A3101" i="1"/>
  <c r="H3100" i="1"/>
  <c r="C3100" i="1"/>
  <c r="A3100" i="1"/>
  <c r="H3099" i="1"/>
  <c r="C3099" i="1"/>
  <c r="A3099" i="1"/>
  <c r="H3098" i="1"/>
  <c r="C3098" i="1"/>
  <c r="A3098" i="1"/>
  <c r="H3097" i="1"/>
  <c r="C3097" i="1"/>
  <c r="A3097" i="1"/>
  <c r="H3096" i="1"/>
  <c r="C3096" i="1"/>
  <c r="A3096" i="1"/>
  <c r="H3095" i="1"/>
  <c r="C3095" i="1"/>
  <c r="A3095" i="1"/>
  <c r="H3094" i="1"/>
  <c r="C3094" i="1"/>
  <c r="A3094" i="1"/>
  <c r="H3093" i="1"/>
  <c r="C3093" i="1"/>
  <c r="A3093" i="1"/>
  <c r="H3092" i="1"/>
  <c r="C3092" i="1"/>
  <c r="A3092" i="1"/>
  <c r="H3091" i="1"/>
  <c r="C3091" i="1"/>
  <c r="A3091" i="1"/>
  <c r="H3090" i="1"/>
  <c r="C3090" i="1"/>
  <c r="A3090" i="1"/>
  <c r="H3089" i="1"/>
  <c r="C3089" i="1"/>
  <c r="A3089" i="1"/>
  <c r="H3088" i="1"/>
  <c r="C3088" i="1"/>
  <c r="A3088" i="1"/>
  <c r="H3087" i="1"/>
  <c r="C3087" i="1"/>
  <c r="A3087" i="1"/>
  <c r="H3086" i="1"/>
  <c r="C3086" i="1"/>
  <c r="A3086" i="1"/>
  <c r="H3085" i="1"/>
  <c r="C3085" i="1"/>
  <c r="A3085" i="1"/>
  <c r="H3084" i="1"/>
  <c r="C3084" i="1"/>
  <c r="A3084" i="1"/>
  <c r="H3083" i="1"/>
  <c r="C3083" i="1"/>
  <c r="A3083" i="1"/>
  <c r="H3082" i="1"/>
  <c r="C3082" i="1"/>
  <c r="A3082" i="1"/>
  <c r="H3081" i="1"/>
  <c r="C3081" i="1"/>
  <c r="A3081" i="1"/>
  <c r="H3080" i="1"/>
  <c r="C3080" i="1"/>
  <c r="A3080" i="1"/>
  <c r="H3079" i="1"/>
  <c r="C3079" i="1"/>
  <c r="A3079" i="1"/>
  <c r="H3078" i="1"/>
  <c r="C3078" i="1"/>
  <c r="A3078" i="1"/>
  <c r="H3077" i="1"/>
  <c r="C3077" i="1"/>
  <c r="A3077" i="1"/>
  <c r="H3076" i="1"/>
  <c r="C3076" i="1"/>
  <c r="A3076" i="1"/>
  <c r="H3075" i="1"/>
  <c r="C3075" i="1"/>
  <c r="A3075" i="1"/>
  <c r="H3074" i="1"/>
  <c r="C3074" i="1"/>
  <c r="A3074" i="1"/>
  <c r="H3073" i="1"/>
  <c r="C3073" i="1"/>
  <c r="A3073" i="1"/>
  <c r="H3072" i="1"/>
  <c r="C3072" i="1"/>
  <c r="A3072" i="1"/>
  <c r="H3071" i="1"/>
  <c r="C3071" i="1"/>
  <c r="A3071" i="1"/>
  <c r="H3070" i="1"/>
  <c r="C3070" i="1"/>
  <c r="A3070" i="1"/>
  <c r="H3069" i="1"/>
  <c r="C3069" i="1"/>
  <c r="A3069" i="1"/>
  <c r="H3068" i="1"/>
  <c r="C3068" i="1"/>
  <c r="A3068" i="1"/>
  <c r="H3067" i="1"/>
  <c r="C3067" i="1"/>
  <c r="A3067" i="1"/>
  <c r="H3066" i="1"/>
  <c r="C3066" i="1"/>
  <c r="A3066" i="1"/>
  <c r="H3065" i="1"/>
  <c r="C3065" i="1"/>
  <c r="A3065" i="1"/>
  <c r="H3064" i="1"/>
  <c r="C3064" i="1"/>
  <c r="A3064" i="1"/>
  <c r="H3063" i="1"/>
  <c r="C3063" i="1"/>
  <c r="A3063" i="1"/>
  <c r="H3062" i="1"/>
  <c r="C3062" i="1"/>
  <c r="A3062" i="1"/>
  <c r="H3061" i="1"/>
  <c r="C3061" i="1"/>
  <c r="A3061" i="1"/>
  <c r="H3060" i="1"/>
  <c r="C3060" i="1"/>
  <c r="A3060" i="1"/>
  <c r="H3059" i="1"/>
  <c r="C3059" i="1"/>
  <c r="A3059" i="1"/>
  <c r="H3058" i="1"/>
  <c r="C3058" i="1"/>
  <c r="A3058" i="1"/>
  <c r="H3057" i="1"/>
  <c r="C3057" i="1"/>
  <c r="A3057" i="1"/>
  <c r="H3056" i="1"/>
  <c r="C3056" i="1"/>
  <c r="A3056" i="1"/>
  <c r="H3055" i="1"/>
  <c r="C3055" i="1"/>
  <c r="A3055" i="1"/>
  <c r="H3054" i="1"/>
  <c r="C3054" i="1"/>
  <c r="A3054" i="1"/>
  <c r="H3053" i="1"/>
  <c r="C3053" i="1"/>
  <c r="A3053" i="1"/>
  <c r="H3052" i="1"/>
  <c r="C3052" i="1"/>
  <c r="A3052" i="1"/>
  <c r="H3051" i="1"/>
  <c r="C3051" i="1"/>
  <c r="A3051" i="1"/>
  <c r="H3050" i="1"/>
  <c r="C3050" i="1"/>
  <c r="A3050" i="1"/>
  <c r="H3049" i="1"/>
  <c r="C3049" i="1"/>
  <c r="A3049" i="1"/>
  <c r="H3048" i="1"/>
  <c r="C3048" i="1"/>
  <c r="A3048" i="1"/>
  <c r="H3047" i="1"/>
  <c r="C3047" i="1"/>
  <c r="A3047" i="1"/>
  <c r="H3046" i="1"/>
  <c r="C3046" i="1"/>
  <c r="A3046" i="1"/>
  <c r="H3045" i="1"/>
  <c r="C3045" i="1"/>
  <c r="A3045" i="1"/>
  <c r="H3044" i="1"/>
  <c r="C3044" i="1"/>
  <c r="A3044" i="1"/>
  <c r="H3043" i="1"/>
  <c r="C3043" i="1"/>
  <c r="A3043" i="1"/>
  <c r="H3042" i="1"/>
  <c r="C3042" i="1"/>
  <c r="A3042" i="1"/>
  <c r="H3041" i="1"/>
  <c r="C3041" i="1"/>
  <c r="A3041" i="1"/>
  <c r="H3040" i="1"/>
  <c r="C3040" i="1"/>
  <c r="A3040" i="1"/>
  <c r="H3039" i="1"/>
  <c r="C3039" i="1"/>
  <c r="A3039" i="1"/>
  <c r="H3038" i="1"/>
  <c r="C3038" i="1"/>
  <c r="A3038" i="1"/>
  <c r="H3037" i="1"/>
  <c r="C3037" i="1"/>
  <c r="A3037" i="1"/>
  <c r="H3036" i="1"/>
  <c r="C3036" i="1"/>
  <c r="A3036" i="1"/>
  <c r="H3035" i="1"/>
  <c r="C3035" i="1"/>
  <c r="A3035" i="1"/>
  <c r="H3034" i="1"/>
  <c r="C3034" i="1"/>
  <c r="A3034" i="1"/>
  <c r="H3033" i="1"/>
  <c r="C3033" i="1"/>
  <c r="A3033" i="1"/>
  <c r="H3032" i="1"/>
  <c r="C3032" i="1"/>
  <c r="A3032" i="1"/>
  <c r="H3031" i="1"/>
  <c r="C3031" i="1"/>
  <c r="A3031" i="1"/>
  <c r="H3030" i="1"/>
  <c r="C3030" i="1"/>
  <c r="A3030" i="1"/>
  <c r="H3029" i="1"/>
  <c r="C3029" i="1"/>
  <c r="A3029" i="1"/>
  <c r="H3028" i="1"/>
  <c r="C3028" i="1"/>
  <c r="A3028" i="1"/>
  <c r="H3027" i="1"/>
  <c r="C3027" i="1"/>
  <c r="A3027" i="1"/>
  <c r="H3026" i="1"/>
  <c r="C3026" i="1"/>
  <c r="A3026" i="1"/>
  <c r="H3025" i="1"/>
  <c r="C3025" i="1"/>
  <c r="A3025" i="1"/>
  <c r="H3024" i="1"/>
  <c r="C3024" i="1"/>
  <c r="A3024" i="1"/>
  <c r="H3023" i="1"/>
  <c r="C3023" i="1"/>
  <c r="A3023" i="1"/>
  <c r="H3022" i="1"/>
  <c r="C3022" i="1"/>
  <c r="A3022" i="1"/>
  <c r="H3021" i="1"/>
  <c r="C3021" i="1"/>
  <c r="A3021" i="1"/>
  <c r="H3020" i="1"/>
  <c r="C3020" i="1"/>
  <c r="A3020" i="1"/>
  <c r="H3019" i="1"/>
  <c r="C3019" i="1"/>
  <c r="A3019" i="1"/>
  <c r="H3018" i="1"/>
  <c r="C3018" i="1"/>
  <c r="A3018" i="1"/>
  <c r="H3017" i="1"/>
  <c r="C3017" i="1"/>
  <c r="A3017" i="1"/>
  <c r="H3016" i="1"/>
  <c r="C3016" i="1"/>
  <c r="A3016" i="1"/>
  <c r="H3015" i="1"/>
  <c r="C3015" i="1"/>
  <c r="A3015" i="1"/>
  <c r="H3014" i="1"/>
  <c r="C3014" i="1"/>
  <c r="A3014" i="1"/>
  <c r="H3013" i="1"/>
  <c r="C3013" i="1"/>
  <c r="A3013" i="1"/>
  <c r="H3012" i="1"/>
  <c r="C3012" i="1"/>
  <c r="A3012" i="1"/>
  <c r="H3011" i="1"/>
  <c r="C3011" i="1"/>
  <c r="A3011" i="1"/>
  <c r="H3010" i="1"/>
  <c r="C3010" i="1"/>
  <c r="A3010" i="1"/>
  <c r="H3009" i="1"/>
  <c r="C3009" i="1"/>
  <c r="A3009" i="1"/>
  <c r="H3008" i="1"/>
  <c r="C3008" i="1"/>
  <c r="A3008" i="1"/>
  <c r="H3007" i="1"/>
  <c r="C3007" i="1"/>
  <c r="A3007" i="1"/>
  <c r="H3006" i="1"/>
  <c r="C3006" i="1"/>
  <c r="A3006" i="1"/>
  <c r="H3005" i="1"/>
  <c r="C3005" i="1"/>
  <c r="A3005" i="1"/>
  <c r="H3004" i="1"/>
  <c r="C3004" i="1"/>
  <c r="A3004" i="1"/>
  <c r="H3003" i="1"/>
  <c r="C3003" i="1"/>
  <c r="A3003" i="1"/>
  <c r="H3002" i="1"/>
  <c r="C3002" i="1"/>
  <c r="A3002" i="1"/>
  <c r="H3001" i="1"/>
  <c r="C3001" i="1"/>
  <c r="A3001" i="1"/>
  <c r="H3000" i="1"/>
  <c r="C3000" i="1"/>
  <c r="A3000" i="1"/>
  <c r="H2999" i="1"/>
  <c r="C2999" i="1"/>
  <c r="A2999" i="1"/>
  <c r="H2998" i="1"/>
  <c r="C2998" i="1"/>
  <c r="A2998" i="1"/>
  <c r="H2997" i="1"/>
  <c r="C2997" i="1"/>
  <c r="A2997" i="1"/>
  <c r="H2996" i="1"/>
  <c r="C2996" i="1"/>
  <c r="A2996" i="1"/>
  <c r="H2995" i="1"/>
  <c r="C2995" i="1"/>
  <c r="A2995" i="1"/>
  <c r="H2994" i="1"/>
  <c r="C2994" i="1"/>
  <c r="A2994" i="1"/>
  <c r="H2993" i="1"/>
  <c r="C2993" i="1"/>
  <c r="A2993" i="1"/>
  <c r="H2992" i="1"/>
  <c r="C2992" i="1"/>
  <c r="A2992" i="1"/>
  <c r="H2991" i="1"/>
  <c r="C2991" i="1"/>
  <c r="A2991" i="1"/>
  <c r="H2990" i="1"/>
  <c r="C2990" i="1"/>
  <c r="A2990" i="1"/>
  <c r="H2989" i="1"/>
  <c r="C2989" i="1"/>
  <c r="A2989" i="1"/>
  <c r="H2988" i="1"/>
  <c r="C2988" i="1"/>
  <c r="A2988" i="1"/>
  <c r="H2987" i="1"/>
  <c r="C2987" i="1"/>
  <c r="A2987" i="1"/>
  <c r="H2986" i="1"/>
  <c r="C2986" i="1"/>
  <c r="A2986" i="1"/>
  <c r="H2985" i="1"/>
  <c r="C2985" i="1"/>
  <c r="A2985" i="1"/>
  <c r="H2984" i="1"/>
  <c r="C2984" i="1"/>
  <c r="A2984" i="1"/>
  <c r="H2983" i="1"/>
  <c r="C2983" i="1"/>
  <c r="A2983" i="1"/>
  <c r="H2982" i="1"/>
  <c r="C2982" i="1"/>
  <c r="A2982" i="1"/>
  <c r="H2981" i="1"/>
  <c r="C2981" i="1"/>
  <c r="A2981" i="1"/>
  <c r="H2980" i="1"/>
  <c r="C2980" i="1"/>
  <c r="A2980" i="1"/>
  <c r="H2979" i="1"/>
  <c r="C2979" i="1"/>
  <c r="A2979" i="1"/>
  <c r="H2978" i="1"/>
  <c r="C2978" i="1"/>
  <c r="A2978" i="1"/>
  <c r="H2977" i="1"/>
  <c r="C2977" i="1"/>
  <c r="A2977" i="1"/>
  <c r="H2976" i="1"/>
  <c r="C2976" i="1"/>
  <c r="A2976" i="1"/>
  <c r="H2975" i="1"/>
  <c r="C2975" i="1"/>
  <c r="A2975" i="1"/>
  <c r="H2974" i="1"/>
  <c r="C2974" i="1"/>
  <c r="A2974" i="1"/>
  <c r="H2973" i="1"/>
  <c r="C2973" i="1"/>
  <c r="A2973" i="1"/>
  <c r="H2972" i="1"/>
  <c r="C2972" i="1"/>
  <c r="A2972" i="1"/>
  <c r="H2971" i="1"/>
  <c r="C2971" i="1"/>
  <c r="A2971" i="1"/>
  <c r="H2970" i="1"/>
  <c r="C2970" i="1"/>
  <c r="A2970" i="1"/>
  <c r="H2969" i="1"/>
  <c r="C2969" i="1"/>
  <c r="A2969" i="1"/>
  <c r="H2968" i="1"/>
  <c r="C2968" i="1"/>
  <c r="A2968" i="1"/>
  <c r="H2967" i="1"/>
  <c r="C2967" i="1"/>
  <c r="A2967" i="1"/>
  <c r="H2966" i="1"/>
  <c r="C2966" i="1"/>
  <c r="A2966" i="1"/>
  <c r="H2965" i="1"/>
  <c r="C2965" i="1"/>
  <c r="A2965" i="1"/>
  <c r="H2964" i="1"/>
  <c r="C2964" i="1"/>
  <c r="A2964" i="1"/>
  <c r="H2963" i="1"/>
  <c r="C2963" i="1"/>
  <c r="A2963" i="1"/>
  <c r="H2962" i="1"/>
  <c r="C2962" i="1"/>
  <c r="A2962" i="1"/>
  <c r="H2961" i="1"/>
  <c r="C2961" i="1"/>
  <c r="A2961" i="1"/>
  <c r="H2960" i="1"/>
  <c r="C2960" i="1"/>
  <c r="A2960" i="1"/>
  <c r="H2959" i="1"/>
  <c r="C2959" i="1"/>
  <c r="A2959" i="1"/>
  <c r="H2958" i="1"/>
  <c r="C2958" i="1"/>
  <c r="A2958" i="1"/>
  <c r="H2957" i="1"/>
  <c r="C2957" i="1"/>
  <c r="A2957" i="1"/>
  <c r="H2956" i="1"/>
  <c r="C2956" i="1"/>
  <c r="A2956" i="1"/>
  <c r="H2955" i="1"/>
  <c r="C2955" i="1"/>
  <c r="A2955" i="1"/>
  <c r="H2954" i="1"/>
  <c r="C2954" i="1"/>
  <c r="A2954" i="1"/>
  <c r="H2953" i="1"/>
  <c r="C2953" i="1"/>
  <c r="A2953" i="1"/>
  <c r="H2952" i="1"/>
  <c r="C2952" i="1"/>
  <c r="A2952" i="1"/>
  <c r="H2951" i="1"/>
  <c r="C2951" i="1"/>
  <c r="A2951" i="1"/>
  <c r="H2950" i="1"/>
  <c r="C2950" i="1"/>
  <c r="A2950" i="1"/>
  <c r="H2949" i="1"/>
  <c r="C2949" i="1"/>
  <c r="A2949" i="1"/>
  <c r="H2948" i="1"/>
  <c r="C2948" i="1"/>
  <c r="A2948" i="1"/>
  <c r="H2947" i="1"/>
  <c r="C2947" i="1"/>
  <c r="A2947" i="1"/>
  <c r="H2946" i="1"/>
  <c r="C2946" i="1"/>
  <c r="A2946" i="1"/>
  <c r="H2945" i="1"/>
  <c r="C2945" i="1"/>
  <c r="A2945" i="1"/>
  <c r="H2944" i="1"/>
  <c r="C2944" i="1"/>
  <c r="A2944" i="1"/>
  <c r="H2943" i="1"/>
  <c r="C2943" i="1"/>
  <c r="A2943" i="1"/>
  <c r="H2942" i="1"/>
  <c r="C2942" i="1"/>
  <c r="A2942" i="1"/>
  <c r="H2941" i="1"/>
  <c r="C2941" i="1"/>
  <c r="A2941" i="1"/>
  <c r="H2940" i="1"/>
  <c r="C2940" i="1"/>
  <c r="A2940" i="1"/>
  <c r="H2939" i="1"/>
  <c r="C2939" i="1"/>
  <c r="A2939" i="1"/>
  <c r="H2938" i="1"/>
  <c r="C2938" i="1"/>
  <c r="A2938" i="1"/>
  <c r="H2937" i="1"/>
  <c r="C2937" i="1"/>
  <c r="A2937" i="1"/>
  <c r="H2936" i="1"/>
  <c r="C2936" i="1"/>
  <c r="A2936" i="1"/>
  <c r="H2935" i="1"/>
  <c r="C2935" i="1"/>
  <c r="A2935" i="1"/>
  <c r="H2934" i="1"/>
  <c r="C2934" i="1"/>
  <c r="A2934" i="1"/>
  <c r="H2933" i="1"/>
  <c r="C2933" i="1"/>
  <c r="A2933" i="1"/>
  <c r="H2932" i="1"/>
  <c r="C2932" i="1"/>
  <c r="A2932" i="1"/>
  <c r="H2931" i="1"/>
  <c r="C2931" i="1"/>
  <c r="A2931" i="1"/>
  <c r="H2930" i="1"/>
  <c r="C2930" i="1"/>
  <c r="A2930" i="1"/>
  <c r="H2929" i="1"/>
  <c r="C2929" i="1"/>
  <c r="A2929" i="1"/>
  <c r="H2928" i="1"/>
  <c r="C2928" i="1"/>
  <c r="A2928" i="1"/>
  <c r="H2927" i="1"/>
  <c r="C2927" i="1"/>
  <c r="A2927" i="1"/>
  <c r="H2926" i="1"/>
  <c r="C2926" i="1"/>
  <c r="A2926" i="1"/>
  <c r="H2925" i="1"/>
  <c r="C2925" i="1"/>
  <c r="A2925" i="1"/>
  <c r="H2924" i="1"/>
  <c r="C2924" i="1"/>
  <c r="A2924" i="1"/>
  <c r="H2923" i="1"/>
  <c r="C2923" i="1"/>
  <c r="A2923" i="1"/>
  <c r="H2922" i="1"/>
  <c r="C2922" i="1"/>
  <c r="A2922" i="1"/>
  <c r="H2921" i="1"/>
  <c r="C2921" i="1"/>
  <c r="A2921" i="1"/>
  <c r="H2920" i="1"/>
  <c r="C2920" i="1"/>
  <c r="A2920" i="1"/>
  <c r="H2919" i="1"/>
  <c r="C2919" i="1"/>
  <c r="A2919" i="1"/>
  <c r="H2918" i="1"/>
  <c r="C2918" i="1"/>
  <c r="A2918" i="1"/>
  <c r="H2917" i="1"/>
  <c r="C2917" i="1"/>
  <c r="A2917" i="1"/>
  <c r="H2916" i="1"/>
  <c r="C2916" i="1"/>
  <c r="A2916" i="1"/>
  <c r="H2915" i="1"/>
  <c r="C2915" i="1"/>
  <c r="A2915" i="1"/>
  <c r="H2914" i="1"/>
  <c r="C2914" i="1"/>
  <c r="A2914" i="1"/>
  <c r="H2913" i="1"/>
  <c r="C2913" i="1"/>
  <c r="A2913" i="1"/>
  <c r="H2912" i="1"/>
  <c r="C2912" i="1"/>
  <c r="A2912" i="1"/>
  <c r="H2911" i="1"/>
  <c r="C2911" i="1"/>
  <c r="A2911" i="1"/>
  <c r="H2910" i="1"/>
  <c r="C2910" i="1"/>
  <c r="A2910" i="1"/>
  <c r="H2909" i="1"/>
  <c r="C2909" i="1"/>
  <c r="A2909" i="1"/>
  <c r="H2908" i="1"/>
  <c r="C2908" i="1"/>
  <c r="A2908" i="1"/>
  <c r="H2907" i="1"/>
  <c r="C2907" i="1"/>
  <c r="A2907" i="1"/>
  <c r="H2906" i="1"/>
  <c r="C2906" i="1"/>
  <c r="A2906" i="1"/>
  <c r="H2905" i="1"/>
  <c r="C2905" i="1"/>
  <c r="A2905" i="1"/>
  <c r="H2904" i="1"/>
  <c r="C2904" i="1"/>
  <c r="A2904" i="1"/>
  <c r="H2903" i="1"/>
  <c r="C2903" i="1"/>
  <c r="A2903" i="1"/>
  <c r="H2902" i="1"/>
  <c r="C2902" i="1"/>
  <c r="A2902" i="1"/>
  <c r="H2901" i="1"/>
  <c r="C2901" i="1"/>
  <c r="A2901" i="1"/>
  <c r="H2900" i="1"/>
  <c r="C2900" i="1"/>
  <c r="A2900" i="1"/>
  <c r="H2899" i="1"/>
  <c r="C2899" i="1"/>
  <c r="A2899" i="1"/>
  <c r="H2898" i="1"/>
  <c r="C2898" i="1"/>
  <c r="A2898" i="1"/>
  <c r="H2897" i="1"/>
  <c r="C2897" i="1"/>
  <c r="A2897" i="1"/>
  <c r="H2896" i="1"/>
  <c r="C2896" i="1"/>
  <c r="A2896" i="1"/>
  <c r="H2895" i="1"/>
  <c r="C2895" i="1"/>
  <c r="A2895" i="1"/>
  <c r="H2894" i="1"/>
  <c r="C2894" i="1"/>
  <c r="A2894" i="1"/>
  <c r="H2893" i="1"/>
  <c r="C2893" i="1"/>
  <c r="A2893" i="1"/>
  <c r="H2892" i="1"/>
  <c r="C2892" i="1"/>
  <c r="A2892" i="1"/>
  <c r="H2891" i="1"/>
  <c r="C2891" i="1"/>
  <c r="A2891" i="1"/>
  <c r="H2890" i="1"/>
  <c r="C2890" i="1"/>
  <c r="A2890" i="1"/>
  <c r="H2889" i="1"/>
  <c r="C2889" i="1"/>
  <c r="A2889" i="1"/>
  <c r="H2888" i="1"/>
  <c r="C2888" i="1"/>
  <c r="A2888" i="1"/>
  <c r="H2887" i="1"/>
  <c r="C2887" i="1"/>
  <c r="A2887" i="1"/>
  <c r="H2886" i="1"/>
  <c r="C2886" i="1"/>
  <c r="A2886" i="1"/>
  <c r="H2885" i="1"/>
  <c r="C2885" i="1"/>
  <c r="A2885" i="1"/>
  <c r="H2884" i="1"/>
  <c r="C2884" i="1"/>
  <c r="A2884" i="1"/>
  <c r="H2883" i="1"/>
  <c r="C2883" i="1"/>
  <c r="A2883" i="1"/>
  <c r="H2882" i="1"/>
  <c r="C2882" i="1"/>
  <c r="A2882" i="1"/>
  <c r="H2881" i="1"/>
  <c r="C2881" i="1"/>
  <c r="A2881" i="1"/>
  <c r="H2880" i="1"/>
  <c r="C2880" i="1"/>
  <c r="A2880" i="1"/>
  <c r="H2879" i="1"/>
  <c r="C2879" i="1"/>
  <c r="A2879" i="1"/>
  <c r="H2878" i="1"/>
  <c r="C2878" i="1"/>
  <c r="A2878" i="1"/>
  <c r="H2877" i="1"/>
  <c r="C2877" i="1"/>
  <c r="A2877" i="1"/>
  <c r="H2876" i="1"/>
  <c r="C2876" i="1"/>
  <c r="A2876" i="1"/>
  <c r="H2875" i="1"/>
  <c r="C2875" i="1"/>
  <c r="A2875" i="1"/>
  <c r="H2874" i="1"/>
  <c r="C2874" i="1"/>
  <c r="A2874" i="1"/>
  <c r="H2873" i="1"/>
  <c r="C2873" i="1"/>
  <c r="A2873" i="1"/>
  <c r="H2872" i="1"/>
  <c r="C2872" i="1"/>
  <c r="A2872" i="1"/>
  <c r="H2871" i="1"/>
  <c r="C2871" i="1"/>
  <c r="A2871" i="1"/>
  <c r="H2870" i="1"/>
  <c r="C2870" i="1"/>
  <c r="A2870" i="1"/>
  <c r="H2869" i="1"/>
  <c r="C2869" i="1"/>
  <c r="A2869" i="1"/>
  <c r="H2868" i="1"/>
  <c r="C2868" i="1"/>
  <c r="A2868" i="1"/>
  <c r="H2867" i="1"/>
  <c r="C2867" i="1"/>
  <c r="A2867" i="1"/>
  <c r="H2866" i="1"/>
  <c r="C2866" i="1"/>
  <c r="A2866" i="1"/>
  <c r="H2865" i="1"/>
  <c r="C2865" i="1"/>
  <c r="A2865" i="1"/>
  <c r="H2864" i="1"/>
  <c r="C2864" i="1"/>
  <c r="A2864" i="1"/>
  <c r="H2863" i="1"/>
  <c r="C2863" i="1"/>
  <c r="A2863" i="1"/>
  <c r="H2862" i="1"/>
  <c r="C2862" i="1"/>
  <c r="A2862" i="1"/>
  <c r="H2861" i="1"/>
  <c r="C2861" i="1"/>
  <c r="A2861" i="1"/>
  <c r="H2860" i="1"/>
  <c r="C2860" i="1"/>
  <c r="A2860" i="1"/>
  <c r="H2859" i="1"/>
  <c r="C2859" i="1"/>
  <c r="A2859" i="1"/>
  <c r="H2858" i="1"/>
  <c r="C2858" i="1"/>
  <c r="A2858" i="1"/>
  <c r="H2857" i="1"/>
  <c r="C2857" i="1"/>
  <c r="A2857" i="1"/>
  <c r="H2856" i="1"/>
  <c r="C2856" i="1"/>
  <c r="A2856" i="1"/>
  <c r="H2855" i="1"/>
  <c r="C2855" i="1"/>
  <c r="A2855" i="1"/>
  <c r="H2854" i="1"/>
  <c r="C2854" i="1"/>
  <c r="A2854" i="1"/>
  <c r="H2853" i="1"/>
  <c r="C2853" i="1"/>
  <c r="A2853" i="1"/>
  <c r="H2852" i="1"/>
  <c r="C2852" i="1"/>
  <c r="A2852" i="1"/>
  <c r="H2851" i="1"/>
  <c r="C2851" i="1"/>
  <c r="A2851" i="1"/>
  <c r="H2850" i="1"/>
  <c r="C2850" i="1"/>
  <c r="A2850" i="1"/>
  <c r="H2849" i="1"/>
  <c r="C2849" i="1"/>
  <c r="A2849" i="1"/>
  <c r="H2848" i="1"/>
  <c r="C2848" i="1"/>
  <c r="A2848" i="1"/>
  <c r="H2847" i="1"/>
  <c r="C2847" i="1"/>
  <c r="A2847" i="1"/>
  <c r="H2846" i="1"/>
  <c r="C2846" i="1"/>
  <c r="A2846" i="1"/>
  <c r="H2845" i="1"/>
  <c r="C2845" i="1"/>
  <c r="A2845" i="1"/>
  <c r="H2844" i="1"/>
  <c r="C2844" i="1"/>
  <c r="A2844" i="1"/>
  <c r="H2843" i="1"/>
  <c r="C2843" i="1"/>
  <c r="A2843" i="1"/>
  <c r="H2842" i="1"/>
  <c r="C2842" i="1"/>
  <c r="A2842" i="1"/>
  <c r="H2841" i="1"/>
  <c r="C2841" i="1"/>
  <c r="A2841" i="1"/>
  <c r="H2840" i="1"/>
  <c r="C2840" i="1"/>
  <c r="A2840" i="1"/>
  <c r="H2839" i="1"/>
  <c r="C2839" i="1"/>
  <c r="A2839" i="1"/>
  <c r="H2838" i="1"/>
  <c r="C2838" i="1"/>
  <c r="A2838" i="1"/>
  <c r="H2837" i="1"/>
  <c r="C2837" i="1"/>
  <c r="A2837" i="1"/>
  <c r="H2836" i="1"/>
  <c r="C2836" i="1"/>
  <c r="A2836" i="1"/>
  <c r="H2835" i="1"/>
  <c r="C2835" i="1"/>
  <c r="A2835" i="1"/>
  <c r="H2834" i="1"/>
  <c r="C2834" i="1"/>
  <c r="A2834" i="1"/>
  <c r="H2833" i="1"/>
  <c r="C2833" i="1"/>
  <c r="A2833" i="1"/>
  <c r="H2832" i="1"/>
  <c r="C2832" i="1"/>
  <c r="A2832" i="1"/>
  <c r="H2831" i="1"/>
  <c r="C2831" i="1"/>
  <c r="A2831" i="1"/>
  <c r="H2830" i="1"/>
  <c r="C2830" i="1"/>
  <c r="A2830" i="1"/>
  <c r="H2829" i="1"/>
  <c r="C2829" i="1"/>
  <c r="A2829" i="1"/>
  <c r="H2828" i="1"/>
  <c r="C2828" i="1"/>
  <c r="A2828" i="1"/>
  <c r="H2827" i="1"/>
  <c r="C2827" i="1"/>
  <c r="A2827" i="1"/>
  <c r="H2826" i="1"/>
  <c r="C2826" i="1"/>
  <c r="A2826" i="1"/>
  <c r="H2825" i="1"/>
  <c r="C2825" i="1"/>
  <c r="A2825" i="1"/>
  <c r="H2824" i="1"/>
  <c r="C2824" i="1"/>
  <c r="A2824" i="1"/>
  <c r="H2823" i="1"/>
  <c r="C2823" i="1"/>
  <c r="A2823" i="1"/>
  <c r="H2822" i="1"/>
  <c r="C2822" i="1"/>
  <c r="A2822" i="1"/>
  <c r="H2821" i="1"/>
  <c r="C2821" i="1"/>
  <c r="A2821" i="1"/>
  <c r="H2820" i="1"/>
  <c r="C2820" i="1"/>
  <c r="A2820" i="1"/>
  <c r="H2819" i="1"/>
  <c r="C2819" i="1"/>
  <c r="A2819" i="1"/>
  <c r="H2818" i="1"/>
  <c r="C2818" i="1"/>
  <c r="A2818" i="1"/>
  <c r="H2817" i="1"/>
  <c r="C2817" i="1"/>
  <c r="A2817" i="1"/>
  <c r="H2816" i="1"/>
  <c r="C2816" i="1"/>
  <c r="A2816" i="1"/>
  <c r="H2815" i="1"/>
  <c r="C2815" i="1"/>
  <c r="A2815" i="1"/>
  <c r="H2814" i="1"/>
  <c r="C2814" i="1"/>
  <c r="A2814" i="1"/>
  <c r="H2813" i="1"/>
  <c r="C2813" i="1"/>
  <c r="A2813" i="1"/>
  <c r="H2812" i="1"/>
  <c r="C2812" i="1"/>
  <c r="A2812" i="1"/>
  <c r="H2811" i="1"/>
  <c r="C2811" i="1"/>
  <c r="A2811" i="1"/>
  <c r="H2810" i="1"/>
  <c r="C2810" i="1"/>
  <c r="A2810" i="1"/>
  <c r="H2809" i="1"/>
  <c r="C2809" i="1"/>
  <c r="A2809" i="1"/>
  <c r="H2808" i="1"/>
  <c r="C2808" i="1"/>
  <c r="A2808" i="1"/>
  <c r="H2807" i="1"/>
  <c r="C2807" i="1"/>
  <c r="A2807" i="1"/>
  <c r="H2806" i="1"/>
  <c r="C2806" i="1"/>
  <c r="A2806" i="1"/>
  <c r="H2805" i="1"/>
  <c r="C2805" i="1"/>
  <c r="A2805" i="1"/>
  <c r="H2804" i="1"/>
  <c r="C2804" i="1"/>
  <c r="A2804" i="1"/>
  <c r="H2803" i="1"/>
  <c r="C2803" i="1"/>
  <c r="A2803" i="1"/>
  <c r="H2802" i="1"/>
  <c r="C2802" i="1"/>
  <c r="A2802" i="1"/>
  <c r="H2801" i="1"/>
  <c r="C2801" i="1"/>
  <c r="A2801" i="1"/>
  <c r="H2800" i="1"/>
  <c r="C2800" i="1"/>
  <c r="A2800" i="1"/>
  <c r="H2799" i="1"/>
  <c r="C2799" i="1"/>
  <c r="A2799" i="1"/>
  <c r="H2798" i="1"/>
  <c r="C2798" i="1"/>
  <c r="A2798" i="1"/>
  <c r="H2797" i="1"/>
  <c r="C2797" i="1"/>
  <c r="A2797" i="1"/>
  <c r="H2796" i="1"/>
  <c r="C2796" i="1"/>
  <c r="A2796" i="1"/>
  <c r="H2795" i="1"/>
  <c r="C2795" i="1"/>
  <c r="A2795" i="1"/>
  <c r="H2794" i="1"/>
  <c r="C2794" i="1"/>
  <c r="A2794" i="1"/>
  <c r="H2793" i="1"/>
  <c r="C2793" i="1"/>
  <c r="A2793" i="1"/>
  <c r="H2792" i="1"/>
  <c r="C2792" i="1"/>
  <c r="A2792" i="1"/>
  <c r="H2791" i="1"/>
  <c r="C2791" i="1"/>
  <c r="A2791" i="1"/>
  <c r="H2790" i="1"/>
  <c r="C2790" i="1"/>
  <c r="A2790" i="1"/>
  <c r="H2789" i="1"/>
  <c r="C2789" i="1"/>
  <c r="A2789" i="1"/>
  <c r="H2788" i="1"/>
  <c r="C2788" i="1"/>
  <c r="A2788" i="1"/>
  <c r="H2787" i="1"/>
  <c r="C2787" i="1"/>
  <c r="A2787" i="1"/>
  <c r="H2786" i="1"/>
  <c r="C2786" i="1"/>
  <c r="A2786" i="1"/>
  <c r="H2785" i="1"/>
  <c r="C2785" i="1"/>
  <c r="A2785" i="1"/>
  <c r="H2784" i="1"/>
  <c r="C2784" i="1"/>
  <c r="A2784" i="1"/>
  <c r="H2783" i="1"/>
  <c r="C2783" i="1"/>
  <c r="A2783" i="1"/>
  <c r="H2782" i="1"/>
  <c r="C2782" i="1"/>
  <c r="A2782" i="1"/>
  <c r="H2781" i="1"/>
  <c r="C2781" i="1"/>
  <c r="A2781" i="1"/>
  <c r="H2780" i="1"/>
  <c r="C2780" i="1"/>
  <c r="A2780" i="1"/>
  <c r="H2779" i="1"/>
  <c r="C2779" i="1"/>
  <c r="A2779" i="1"/>
  <c r="H2778" i="1"/>
  <c r="C2778" i="1"/>
  <c r="A2778" i="1"/>
  <c r="H2777" i="1"/>
  <c r="C2777" i="1"/>
  <c r="A2777" i="1"/>
  <c r="H2776" i="1"/>
  <c r="C2776" i="1"/>
  <c r="A2776" i="1"/>
  <c r="H2775" i="1"/>
  <c r="C2775" i="1"/>
  <c r="A2775" i="1"/>
  <c r="H2774" i="1"/>
  <c r="C2774" i="1"/>
  <c r="A2774" i="1"/>
  <c r="H2773" i="1"/>
  <c r="C2773" i="1"/>
  <c r="A2773" i="1"/>
  <c r="H2772" i="1"/>
  <c r="C2772" i="1"/>
  <c r="A2772" i="1"/>
  <c r="H2771" i="1"/>
  <c r="C2771" i="1"/>
  <c r="A2771" i="1"/>
  <c r="H2770" i="1"/>
  <c r="C2770" i="1"/>
  <c r="A2770" i="1"/>
  <c r="H2769" i="1"/>
  <c r="C2769" i="1"/>
  <c r="A2769" i="1"/>
  <c r="H2768" i="1"/>
  <c r="C2768" i="1"/>
  <c r="A2768" i="1"/>
  <c r="H2767" i="1"/>
  <c r="C2767" i="1"/>
  <c r="A2767" i="1"/>
  <c r="H2766" i="1"/>
  <c r="C2766" i="1"/>
  <c r="A2766" i="1"/>
  <c r="H2765" i="1"/>
  <c r="C2765" i="1"/>
  <c r="A2765" i="1"/>
  <c r="H2764" i="1"/>
  <c r="C2764" i="1"/>
  <c r="A2764" i="1"/>
  <c r="H2763" i="1"/>
  <c r="C2763" i="1"/>
  <c r="A2763" i="1"/>
  <c r="H2762" i="1"/>
  <c r="C2762" i="1"/>
  <c r="A2762" i="1"/>
  <c r="H2761" i="1"/>
  <c r="C2761" i="1"/>
  <c r="A2761" i="1"/>
  <c r="H2760" i="1"/>
  <c r="C2760" i="1"/>
  <c r="A2760" i="1"/>
  <c r="H2759" i="1"/>
  <c r="C2759" i="1"/>
  <c r="A2759" i="1"/>
  <c r="H2758" i="1"/>
  <c r="C2758" i="1"/>
  <c r="A2758" i="1"/>
  <c r="H2757" i="1"/>
  <c r="C2757" i="1"/>
  <c r="A2757" i="1"/>
  <c r="H2756" i="1"/>
  <c r="C2756" i="1"/>
  <c r="A2756" i="1"/>
  <c r="H2755" i="1"/>
  <c r="C2755" i="1"/>
  <c r="A2755" i="1"/>
  <c r="H2754" i="1"/>
  <c r="C2754" i="1"/>
  <c r="A2754" i="1"/>
  <c r="H2753" i="1"/>
  <c r="C2753" i="1"/>
  <c r="A2753" i="1"/>
  <c r="H2752" i="1"/>
  <c r="C2752" i="1"/>
  <c r="A2752" i="1"/>
  <c r="H2751" i="1"/>
  <c r="C2751" i="1"/>
  <c r="A2751" i="1"/>
  <c r="H2750" i="1"/>
  <c r="C2750" i="1"/>
  <c r="A2750" i="1"/>
  <c r="H2749" i="1"/>
  <c r="C2749" i="1"/>
  <c r="A2749" i="1"/>
  <c r="H2748" i="1"/>
  <c r="C2748" i="1"/>
  <c r="A2748" i="1"/>
  <c r="H2747" i="1"/>
  <c r="C2747" i="1"/>
  <c r="A2747" i="1"/>
  <c r="H2746" i="1"/>
  <c r="C2746" i="1"/>
  <c r="A2746" i="1"/>
  <c r="H2745" i="1"/>
  <c r="C2745" i="1"/>
  <c r="A2745" i="1"/>
  <c r="H2744" i="1"/>
  <c r="C2744" i="1"/>
  <c r="A2744" i="1"/>
  <c r="H2743" i="1"/>
  <c r="C2743" i="1"/>
  <c r="A2743" i="1"/>
  <c r="H2742" i="1"/>
  <c r="C2742" i="1"/>
  <c r="A2742" i="1"/>
  <c r="H2741" i="1"/>
  <c r="C2741" i="1"/>
  <c r="A2741" i="1"/>
  <c r="H2740" i="1"/>
  <c r="C2740" i="1"/>
  <c r="A2740" i="1"/>
  <c r="H2739" i="1"/>
  <c r="C2739" i="1"/>
  <c r="A2739" i="1"/>
  <c r="H2738" i="1"/>
  <c r="C2738" i="1"/>
  <c r="A2738" i="1"/>
  <c r="H2737" i="1"/>
  <c r="C2737" i="1"/>
  <c r="A2737" i="1"/>
  <c r="H2736" i="1"/>
  <c r="C2736" i="1"/>
  <c r="A2736" i="1"/>
  <c r="H2735" i="1"/>
  <c r="C2735" i="1"/>
  <c r="A2735" i="1"/>
  <c r="H2734" i="1"/>
  <c r="C2734" i="1"/>
  <c r="A2734" i="1"/>
  <c r="H2733" i="1"/>
  <c r="C2733" i="1"/>
  <c r="A2733" i="1"/>
  <c r="H2732" i="1"/>
  <c r="C2732" i="1"/>
  <c r="A2732" i="1"/>
  <c r="H2731" i="1"/>
  <c r="C2731" i="1"/>
  <c r="A2731" i="1"/>
  <c r="H2730" i="1"/>
  <c r="C2730" i="1"/>
  <c r="A2730" i="1"/>
  <c r="H2729" i="1"/>
  <c r="C2729" i="1"/>
  <c r="A2729" i="1"/>
  <c r="H2728" i="1"/>
  <c r="C2728" i="1"/>
  <c r="A2728" i="1"/>
  <c r="H2727" i="1"/>
  <c r="C2727" i="1"/>
  <c r="A2727" i="1"/>
  <c r="H2726" i="1"/>
  <c r="C2726" i="1"/>
  <c r="A2726" i="1"/>
  <c r="H2725" i="1"/>
  <c r="C2725" i="1"/>
  <c r="A2725" i="1"/>
  <c r="H2724" i="1"/>
  <c r="C2724" i="1"/>
  <c r="A2724" i="1"/>
  <c r="H2723" i="1"/>
  <c r="C2723" i="1"/>
  <c r="A2723" i="1"/>
  <c r="H2722" i="1"/>
  <c r="C2722" i="1"/>
  <c r="A2722" i="1"/>
  <c r="H2721" i="1"/>
  <c r="C2721" i="1"/>
  <c r="A2721" i="1"/>
  <c r="H2720" i="1"/>
  <c r="C2720" i="1"/>
  <c r="A2720" i="1"/>
  <c r="H2719" i="1"/>
  <c r="C2719" i="1"/>
  <c r="A2719" i="1"/>
  <c r="H2718" i="1"/>
  <c r="C2718" i="1"/>
  <c r="A2718" i="1"/>
  <c r="H2717" i="1"/>
  <c r="C2717" i="1"/>
  <c r="A2717" i="1"/>
  <c r="H2716" i="1"/>
  <c r="C2716" i="1"/>
  <c r="A2716" i="1"/>
  <c r="H2715" i="1"/>
  <c r="C2715" i="1"/>
  <c r="A2715" i="1"/>
  <c r="H2714" i="1"/>
  <c r="C2714" i="1"/>
  <c r="A2714" i="1"/>
  <c r="H2713" i="1"/>
  <c r="C2713" i="1"/>
  <c r="A2713" i="1"/>
  <c r="H2712" i="1"/>
  <c r="C2712" i="1"/>
  <c r="A2712" i="1"/>
  <c r="H2711" i="1"/>
  <c r="C2711" i="1"/>
  <c r="A2711" i="1"/>
  <c r="H2710" i="1"/>
  <c r="C2710" i="1"/>
  <c r="A2710" i="1"/>
  <c r="H2709" i="1"/>
  <c r="C2709" i="1"/>
  <c r="A2709" i="1"/>
  <c r="H2708" i="1"/>
  <c r="C2708" i="1"/>
  <c r="A2708" i="1"/>
  <c r="H2707" i="1"/>
  <c r="C2707" i="1"/>
  <c r="A2707" i="1"/>
  <c r="H2706" i="1"/>
  <c r="C2706" i="1"/>
  <c r="A2706" i="1"/>
  <c r="H2705" i="1"/>
  <c r="C2705" i="1"/>
  <c r="A2705" i="1"/>
  <c r="H2704" i="1"/>
  <c r="C2704" i="1"/>
  <c r="A2704" i="1"/>
  <c r="H2703" i="1"/>
  <c r="C2703" i="1"/>
  <c r="A2703" i="1"/>
  <c r="H2702" i="1"/>
  <c r="C2702" i="1"/>
  <c r="A2702" i="1"/>
  <c r="H2701" i="1"/>
  <c r="C2701" i="1"/>
  <c r="A2701" i="1"/>
  <c r="H2700" i="1"/>
  <c r="C2700" i="1"/>
  <c r="A2700" i="1"/>
  <c r="H2699" i="1"/>
  <c r="C2699" i="1"/>
  <c r="A2699" i="1"/>
  <c r="H2698" i="1"/>
  <c r="C2698" i="1"/>
  <c r="A2698" i="1"/>
  <c r="H2697" i="1"/>
  <c r="C2697" i="1"/>
  <c r="A2697" i="1"/>
  <c r="H2696" i="1"/>
  <c r="C2696" i="1"/>
  <c r="A2696" i="1"/>
  <c r="H2695" i="1"/>
  <c r="C2695" i="1"/>
  <c r="A2695" i="1"/>
  <c r="H2694" i="1"/>
  <c r="C2694" i="1"/>
  <c r="A2694" i="1"/>
  <c r="H2693" i="1"/>
  <c r="C2693" i="1"/>
  <c r="A2693" i="1"/>
  <c r="H2692" i="1"/>
  <c r="C2692" i="1"/>
  <c r="A2692" i="1"/>
  <c r="H2691" i="1"/>
  <c r="C2691" i="1"/>
  <c r="A2691" i="1"/>
  <c r="H2690" i="1"/>
  <c r="C2690" i="1"/>
  <c r="A2690" i="1"/>
  <c r="H2689" i="1"/>
  <c r="C2689" i="1"/>
  <c r="A2689" i="1"/>
  <c r="H2688" i="1"/>
  <c r="C2688" i="1"/>
  <c r="A2688" i="1"/>
  <c r="H2687" i="1"/>
  <c r="C2687" i="1"/>
  <c r="A2687" i="1"/>
  <c r="H2686" i="1"/>
  <c r="C2686" i="1"/>
  <c r="A2686" i="1"/>
  <c r="H2685" i="1"/>
  <c r="C2685" i="1"/>
  <c r="A2685" i="1"/>
  <c r="H2684" i="1"/>
  <c r="C2684" i="1"/>
  <c r="A2684" i="1"/>
  <c r="H2683" i="1"/>
  <c r="C2683" i="1"/>
  <c r="A2683" i="1"/>
  <c r="H2682" i="1"/>
  <c r="C2682" i="1"/>
  <c r="A2682" i="1"/>
  <c r="H2681" i="1"/>
  <c r="C2681" i="1"/>
  <c r="A2681" i="1"/>
  <c r="H2680" i="1"/>
  <c r="C2680" i="1"/>
  <c r="A2680" i="1"/>
  <c r="H2679" i="1"/>
  <c r="C2679" i="1"/>
  <c r="A2679" i="1"/>
  <c r="H2678" i="1"/>
  <c r="C2678" i="1"/>
  <c r="A2678" i="1"/>
  <c r="H2677" i="1"/>
  <c r="C2677" i="1"/>
  <c r="A2677" i="1"/>
  <c r="H2676" i="1"/>
  <c r="C2676" i="1"/>
  <c r="A2676" i="1"/>
  <c r="H2675" i="1"/>
  <c r="C2675" i="1"/>
  <c r="A2675" i="1"/>
  <c r="H2674" i="1"/>
  <c r="C2674" i="1"/>
  <c r="A2674" i="1"/>
  <c r="H2673" i="1"/>
  <c r="C2673" i="1"/>
  <c r="A2673" i="1"/>
  <c r="H2672" i="1"/>
  <c r="C2672" i="1"/>
  <c r="A2672" i="1"/>
  <c r="H2671" i="1"/>
  <c r="C2671" i="1"/>
  <c r="A2671" i="1"/>
  <c r="H2670" i="1"/>
  <c r="C2670" i="1"/>
  <c r="A2670" i="1"/>
  <c r="H2669" i="1"/>
  <c r="C2669" i="1"/>
  <c r="A2669" i="1"/>
  <c r="H2668" i="1"/>
  <c r="C2668" i="1"/>
  <c r="A2668" i="1"/>
  <c r="H2667" i="1"/>
  <c r="C2667" i="1"/>
  <c r="A2667" i="1"/>
  <c r="H2666" i="1"/>
  <c r="C2666" i="1"/>
  <c r="A2666" i="1"/>
  <c r="H2665" i="1"/>
  <c r="C2665" i="1"/>
  <c r="A2665" i="1"/>
  <c r="H2664" i="1"/>
  <c r="C2664" i="1"/>
  <c r="A2664" i="1"/>
  <c r="H2663" i="1"/>
  <c r="C2663" i="1"/>
  <c r="A2663" i="1"/>
  <c r="H2662" i="1"/>
  <c r="C2662" i="1"/>
  <c r="A2662" i="1"/>
  <c r="H2661" i="1"/>
  <c r="C2661" i="1"/>
  <c r="A2661" i="1"/>
  <c r="H2660" i="1"/>
  <c r="C2660" i="1"/>
  <c r="A2660" i="1"/>
  <c r="H2659" i="1"/>
  <c r="C2659" i="1"/>
  <c r="A2659" i="1"/>
  <c r="H2658" i="1"/>
  <c r="C2658" i="1"/>
  <c r="A2658" i="1"/>
  <c r="H2657" i="1"/>
  <c r="C2657" i="1"/>
  <c r="A2657" i="1"/>
  <c r="H2656" i="1"/>
  <c r="C2656" i="1"/>
  <c r="A2656" i="1"/>
  <c r="H2655" i="1"/>
  <c r="C2655" i="1"/>
  <c r="A2655" i="1"/>
  <c r="H2654" i="1"/>
  <c r="C2654" i="1"/>
  <c r="A2654" i="1"/>
  <c r="H2653" i="1"/>
  <c r="C2653" i="1"/>
  <c r="A2653" i="1"/>
  <c r="H2652" i="1"/>
  <c r="C2652" i="1"/>
  <c r="A2652" i="1"/>
  <c r="H2651" i="1"/>
  <c r="C2651" i="1"/>
  <c r="A2651" i="1"/>
  <c r="H2650" i="1"/>
  <c r="C2650" i="1"/>
  <c r="A2650" i="1"/>
  <c r="H2649" i="1"/>
  <c r="C2649" i="1"/>
  <c r="A2649" i="1"/>
  <c r="H2648" i="1"/>
  <c r="C2648" i="1"/>
  <c r="A2648" i="1"/>
  <c r="H2647" i="1"/>
  <c r="C2647" i="1"/>
  <c r="A2647" i="1"/>
  <c r="H2646" i="1"/>
  <c r="C2646" i="1"/>
  <c r="A2646" i="1"/>
  <c r="H2645" i="1"/>
  <c r="C2645" i="1"/>
  <c r="A2645" i="1"/>
  <c r="H2644" i="1"/>
  <c r="C2644" i="1"/>
  <c r="A2644" i="1"/>
  <c r="H2643" i="1"/>
  <c r="C2643" i="1"/>
  <c r="A2643" i="1"/>
  <c r="H2642" i="1"/>
  <c r="C2642" i="1"/>
  <c r="A2642" i="1"/>
  <c r="H2641" i="1"/>
  <c r="C2641" i="1"/>
  <c r="A2641" i="1"/>
  <c r="H2640" i="1"/>
  <c r="C2640" i="1"/>
  <c r="A2640" i="1"/>
  <c r="H2639" i="1"/>
  <c r="C2639" i="1"/>
  <c r="A2639" i="1"/>
  <c r="H2638" i="1"/>
  <c r="C2638" i="1"/>
  <c r="A2638" i="1"/>
  <c r="H2637" i="1"/>
  <c r="C2637" i="1"/>
  <c r="A2637" i="1"/>
  <c r="H2636" i="1"/>
  <c r="C2636" i="1"/>
  <c r="A2636" i="1"/>
  <c r="H2635" i="1"/>
  <c r="C2635" i="1"/>
  <c r="A2635" i="1"/>
  <c r="H2634" i="1"/>
  <c r="C2634" i="1"/>
  <c r="A2634" i="1"/>
  <c r="H2633" i="1"/>
  <c r="C2633" i="1"/>
  <c r="A2633" i="1"/>
  <c r="H2632" i="1"/>
  <c r="C2632" i="1"/>
  <c r="A2632" i="1"/>
  <c r="H2631" i="1"/>
  <c r="C2631" i="1"/>
  <c r="A2631" i="1"/>
  <c r="H2630" i="1"/>
  <c r="C2630" i="1"/>
  <c r="A2630" i="1"/>
  <c r="H2629" i="1"/>
  <c r="C2629" i="1"/>
  <c r="A2629" i="1"/>
  <c r="H2628" i="1"/>
  <c r="C2628" i="1"/>
  <c r="A2628" i="1"/>
  <c r="H2627" i="1"/>
  <c r="C2627" i="1"/>
  <c r="A2627" i="1"/>
  <c r="H2626" i="1"/>
  <c r="C2626" i="1"/>
  <c r="A2626" i="1"/>
  <c r="H2625" i="1"/>
  <c r="C2625" i="1"/>
  <c r="A2625" i="1"/>
  <c r="H2624" i="1"/>
  <c r="C2624" i="1"/>
  <c r="A2624" i="1"/>
  <c r="H2623" i="1"/>
  <c r="C2623" i="1"/>
  <c r="A2623" i="1"/>
  <c r="H2622" i="1"/>
  <c r="C2622" i="1"/>
  <c r="A2622" i="1"/>
  <c r="H2621" i="1"/>
  <c r="C2621" i="1"/>
  <c r="A2621" i="1"/>
  <c r="H2620" i="1"/>
  <c r="C2620" i="1"/>
  <c r="A2620" i="1"/>
  <c r="H2619" i="1"/>
  <c r="C2619" i="1"/>
  <c r="A2619" i="1"/>
  <c r="H2618" i="1"/>
  <c r="C2618" i="1"/>
  <c r="A2618" i="1"/>
  <c r="H2617" i="1"/>
  <c r="C2617" i="1"/>
  <c r="A2617" i="1"/>
  <c r="H2616" i="1"/>
  <c r="C2616" i="1"/>
  <c r="A2616" i="1"/>
  <c r="H2615" i="1"/>
  <c r="C2615" i="1"/>
  <c r="A2615" i="1"/>
  <c r="H2614" i="1"/>
  <c r="C2614" i="1"/>
  <c r="A2614" i="1"/>
  <c r="H2613" i="1"/>
  <c r="C2613" i="1"/>
  <c r="A2613" i="1"/>
  <c r="H2612" i="1"/>
  <c r="C2612" i="1"/>
  <c r="A2612" i="1"/>
  <c r="H2611" i="1"/>
  <c r="C2611" i="1"/>
  <c r="A2611" i="1"/>
  <c r="H2610" i="1"/>
  <c r="C2610" i="1"/>
  <c r="A2610" i="1"/>
  <c r="H2609" i="1"/>
  <c r="C2609" i="1"/>
  <c r="A2609" i="1"/>
  <c r="H2608" i="1"/>
  <c r="C2608" i="1"/>
  <c r="A2608" i="1"/>
  <c r="H2607" i="1"/>
  <c r="C2607" i="1"/>
  <c r="A2607" i="1"/>
  <c r="H2606" i="1"/>
  <c r="C2606" i="1"/>
  <c r="A2606" i="1"/>
  <c r="H2605" i="1"/>
  <c r="C2605" i="1"/>
  <c r="A2605" i="1"/>
  <c r="H2604" i="1"/>
  <c r="C2604" i="1"/>
  <c r="A2604" i="1"/>
  <c r="H2603" i="1"/>
  <c r="C2603" i="1"/>
  <c r="A2603" i="1"/>
  <c r="H2602" i="1"/>
  <c r="C2602" i="1"/>
  <c r="A2602" i="1"/>
  <c r="H2601" i="1"/>
  <c r="C2601" i="1"/>
  <c r="A2601" i="1"/>
  <c r="H2600" i="1"/>
  <c r="C2600" i="1"/>
  <c r="A2600" i="1"/>
  <c r="H2599" i="1"/>
  <c r="C2599" i="1"/>
  <c r="A2599" i="1"/>
  <c r="H2598" i="1"/>
  <c r="C2598" i="1"/>
  <c r="A2598" i="1"/>
  <c r="H2597" i="1"/>
  <c r="C2597" i="1"/>
  <c r="A2597" i="1"/>
  <c r="H2596" i="1"/>
  <c r="C2596" i="1"/>
  <c r="A2596" i="1"/>
  <c r="H2595" i="1"/>
  <c r="C2595" i="1"/>
  <c r="A2595" i="1"/>
  <c r="H2594" i="1"/>
  <c r="C2594" i="1"/>
  <c r="A2594" i="1"/>
  <c r="H2593" i="1"/>
  <c r="C2593" i="1"/>
  <c r="A2593" i="1"/>
  <c r="H2592" i="1"/>
  <c r="C2592" i="1"/>
  <c r="A2592" i="1"/>
  <c r="H2591" i="1"/>
  <c r="C2591" i="1"/>
  <c r="A2591" i="1"/>
  <c r="H2590" i="1"/>
  <c r="C2590" i="1"/>
  <c r="A2590" i="1"/>
  <c r="H2589" i="1"/>
  <c r="C2589" i="1"/>
  <c r="A2589" i="1"/>
  <c r="H2588" i="1"/>
  <c r="C2588" i="1"/>
  <c r="A2588" i="1"/>
  <c r="H2587" i="1"/>
  <c r="C2587" i="1"/>
  <c r="A2587" i="1"/>
  <c r="H2586" i="1"/>
  <c r="C2586" i="1"/>
  <c r="A2586" i="1"/>
  <c r="H2585" i="1"/>
  <c r="C2585" i="1"/>
  <c r="A2585" i="1"/>
  <c r="H2584" i="1"/>
  <c r="C2584" i="1"/>
  <c r="A2584" i="1"/>
  <c r="H2583" i="1"/>
  <c r="C2583" i="1"/>
  <c r="A2583" i="1"/>
  <c r="H2582" i="1"/>
  <c r="C2582" i="1"/>
  <c r="A2582" i="1"/>
  <c r="H2581" i="1"/>
  <c r="C2581" i="1"/>
  <c r="A2581" i="1"/>
  <c r="H2580" i="1"/>
  <c r="C2580" i="1"/>
  <c r="A2580" i="1"/>
  <c r="H2579" i="1"/>
  <c r="C2579" i="1"/>
  <c r="A2579" i="1"/>
  <c r="H2578" i="1"/>
  <c r="C2578" i="1"/>
  <c r="A2578" i="1"/>
  <c r="H2577" i="1"/>
  <c r="C2577" i="1"/>
  <c r="A2577" i="1"/>
  <c r="H2576" i="1"/>
  <c r="C2576" i="1"/>
  <c r="A2576" i="1"/>
  <c r="H2575" i="1"/>
  <c r="C2575" i="1"/>
  <c r="A2575" i="1"/>
  <c r="H2574" i="1"/>
  <c r="C2574" i="1"/>
  <c r="A2574" i="1"/>
  <c r="H2573" i="1"/>
  <c r="C2573" i="1"/>
  <c r="A2573" i="1"/>
  <c r="H2572" i="1"/>
  <c r="C2572" i="1"/>
  <c r="A2572" i="1"/>
  <c r="H2571" i="1"/>
  <c r="C2571" i="1"/>
  <c r="A2571" i="1"/>
  <c r="H2570" i="1"/>
  <c r="C2570" i="1"/>
  <c r="A2570" i="1"/>
  <c r="H2569" i="1"/>
  <c r="C2569" i="1"/>
  <c r="A2569" i="1"/>
  <c r="H2568" i="1"/>
  <c r="C2568" i="1"/>
  <c r="A2568" i="1"/>
  <c r="H2567" i="1"/>
  <c r="C2567" i="1"/>
  <c r="A2567" i="1"/>
  <c r="H2566" i="1"/>
  <c r="C2566" i="1"/>
  <c r="A2566" i="1"/>
  <c r="H2565" i="1"/>
  <c r="C2565" i="1"/>
  <c r="A2565" i="1"/>
  <c r="H2564" i="1"/>
  <c r="C2564" i="1"/>
  <c r="A2564" i="1"/>
  <c r="H2563" i="1"/>
  <c r="C2563" i="1"/>
  <c r="A2563" i="1"/>
  <c r="H2562" i="1"/>
  <c r="C2562" i="1"/>
  <c r="A2562" i="1"/>
  <c r="H2561" i="1"/>
  <c r="C2561" i="1"/>
  <c r="A2561" i="1"/>
  <c r="H2560" i="1"/>
  <c r="C2560" i="1"/>
  <c r="A2560" i="1"/>
  <c r="H2559" i="1"/>
  <c r="C2559" i="1"/>
  <c r="A2559" i="1"/>
  <c r="H2558" i="1"/>
  <c r="C2558" i="1"/>
  <c r="A2558" i="1"/>
  <c r="H2557" i="1"/>
  <c r="C2557" i="1"/>
  <c r="A2557" i="1"/>
  <c r="H2556" i="1"/>
  <c r="C2556" i="1"/>
  <c r="A2556" i="1"/>
  <c r="H2555" i="1"/>
  <c r="C2555" i="1"/>
  <c r="A2555" i="1"/>
  <c r="H2554" i="1"/>
  <c r="C2554" i="1"/>
  <c r="A2554" i="1"/>
  <c r="H2553" i="1"/>
  <c r="C2553" i="1"/>
  <c r="A2553" i="1"/>
  <c r="H2552" i="1"/>
  <c r="C2552" i="1"/>
  <c r="A2552" i="1"/>
  <c r="H2551" i="1"/>
  <c r="C2551" i="1"/>
  <c r="A2551" i="1"/>
  <c r="H2550" i="1"/>
  <c r="C2550" i="1"/>
  <c r="A2550" i="1"/>
  <c r="H2549" i="1"/>
  <c r="C2549" i="1"/>
  <c r="A2549" i="1"/>
  <c r="H2548" i="1"/>
  <c r="C2548" i="1"/>
  <c r="A2548" i="1"/>
  <c r="H2547" i="1"/>
  <c r="C2547" i="1"/>
  <c r="A2547" i="1"/>
  <c r="H2546" i="1"/>
  <c r="C2546" i="1"/>
  <c r="A2546" i="1"/>
  <c r="H2545" i="1"/>
  <c r="C2545" i="1"/>
  <c r="A2545" i="1"/>
  <c r="H2544" i="1"/>
  <c r="C2544" i="1"/>
  <c r="A2544" i="1"/>
  <c r="H2543" i="1"/>
  <c r="C2543" i="1"/>
  <c r="A2543" i="1"/>
  <c r="H2542" i="1"/>
  <c r="C2542" i="1"/>
  <c r="A2542" i="1"/>
  <c r="H2541" i="1"/>
  <c r="C2541" i="1"/>
  <c r="A2541" i="1"/>
  <c r="H2540" i="1"/>
  <c r="C2540" i="1"/>
  <c r="A2540" i="1"/>
  <c r="H2539" i="1"/>
  <c r="C2539" i="1"/>
  <c r="A2539" i="1"/>
  <c r="H2538" i="1"/>
  <c r="C2538" i="1"/>
  <c r="A2538" i="1"/>
  <c r="H2537" i="1"/>
  <c r="C2537" i="1"/>
  <c r="A2537" i="1"/>
  <c r="H2536" i="1"/>
  <c r="C2536" i="1"/>
  <c r="A2536" i="1"/>
  <c r="H2535" i="1"/>
  <c r="C2535" i="1"/>
  <c r="A2535" i="1"/>
  <c r="H2534" i="1"/>
  <c r="C2534" i="1"/>
  <c r="A2534" i="1"/>
  <c r="H2533" i="1"/>
  <c r="C2533" i="1"/>
  <c r="A2533" i="1"/>
  <c r="H2532" i="1"/>
  <c r="C2532" i="1"/>
  <c r="A2532" i="1"/>
  <c r="H2531" i="1"/>
  <c r="C2531" i="1"/>
  <c r="A2531" i="1"/>
  <c r="H2530" i="1"/>
  <c r="C2530" i="1"/>
  <c r="A2530" i="1"/>
  <c r="H2529" i="1"/>
  <c r="C2529" i="1"/>
  <c r="A2529" i="1"/>
  <c r="H2528" i="1"/>
  <c r="C2528" i="1"/>
  <c r="A2528" i="1"/>
  <c r="H2527" i="1"/>
  <c r="C2527" i="1"/>
  <c r="A2527" i="1"/>
  <c r="H2526" i="1"/>
  <c r="C2526" i="1"/>
  <c r="A2526" i="1"/>
  <c r="H2525" i="1"/>
  <c r="C2525" i="1"/>
  <c r="A2525" i="1"/>
  <c r="H2524" i="1"/>
  <c r="C2524" i="1"/>
  <c r="A2524" i="1"/>
  <c r="H2523" i="1"/>
  <c r="C2523" i="1"/>
  <c r="A2523" i="1"/>
  <c r="H2522" i="1"/>
  <c r="C2522" i="1"/>
  <c r="A2522" i="1"/>
  <c r="H2521" i="1"/>
  <c r="C2521" i="1"/>
  <c r="A2521" i="1"/>
  <c r="H2520" i="1"/>
  <c r="C2520" i="1"/>
  <c r="A2520" i="1"/>
  <c r="H2519" i="1"/>
  <c r="C2519" i="1"/>
  <c r="A2519" i="1"/>
  <c r="H2518" i="1"/>
  <c r="C2518" i="1"/>
  <c r="A2518" i="1"/>
  <c r="H2517" i="1"/>
  <c r="C2517" i="1"/>
  <c r="A2517" i="1"/>
  <c r="H2516" i="1"/>
  <c r="C2516" i="1"/>
  <c r="A2516" i="1"/>
  <c r="H2515" i="1"/>
  <c r="C2515" i="1"/>
  <c r="A2515" i="1"/>
  <c r="H2514" i="1"/>
  <c r="C2514" i="1"/>
  <c r="A2514" i="1"/>
  <c r="H2513" i="1"/>
  <c r="C2513" i="1"/>
  <c r="A2513" i="1"/>
  <c r="H2512" i="1"/>
  <c r="C2512" i="1"/>
  <c r="A2512" i="1"/>
  <c r="H2511" i="1"/>
  <c r="C2511" i="1"/>
  <c r="A2511" i="1"/>
  <c r="H2510" i="1"/>
  <c r="C2510" i="1"/>
  <c r="A2510" i="1"/>
  <c r="H2509" i="1"/>
  <c r="C2509" i="1"/>
  <c r="A2509" i="1"/>
  <c r="H2508" i="1"/>
  <c r="C2508" i="1"/>
  <c r="A2508" i="1"/>
  <c r="H2507" i="1"/>
  <c r="C2507" i="1"/>
  <c r="A2507" i="1"/>
  <c r="H2506" i="1"/>
  <c r="C2506" i="1"/>
  <c r="A2506" i="1"/>
  <c r="H2505" i="1"/>
  <c r="C2505" i="1"/>
  <c r="A2505" i="1"/>
  <c r="H2504" i="1"/>
  <c r="C2504" i="1"/>
  <c r="A2504" i="1"/>
  <c r="H2503" i="1"/>
  <c r="C2503" i="1"/>
  <c r="A2503" i="1"/>
  <c r="H2502" i="1"/>
  <c r="C2502" i="1"/>
  <c r="A2502" i="1"/>
  <c r="H2501" i="1"/>
  <c r="C2501" i="1"/>
  <c r="A2501" i="1"/>
  <c r="H2500" i="1"/>
  <c r="C2500" i="1"/>
  <c r="A2500" i="1"/>
  <c r="H2499" i="1"/>
  <c r="C2499" i="1"/>
  <c r="A2499" i="1"/>
  <c r="H2498" i="1"/>
  <c r="C2498" i="1"/>
  <c r="A2498" i="1"/>
  <c r="H2497" i="1"/>
  <c r="C2497" i="1"/>
  <c r="A2497" i="1"/>
  <c r="H2496" i="1"/>
  <c r="C2496" i="1"/>
  <c r="A2496" i="1"/>
  <c r="H2495" i="1"/>
  <c r="C2495" i="1"/>
  <c r="A2495" i="1"/>
  <c r="H2494" i="1"/>
  <c r="C2494" i="1"/>
  <c r="A2494" i="1"/>
  <c r="H2493" i="1"/>
  <c r="C2493" i="1"/>
  <c r="A2493" i="1"/>
  <c r="H2492" i="1"/>
  <c r="C2492" i="1"/>
  <c r="A2492" i="1"/>
  <c r="H2491" i="1"/>
  <c r="C2491" i="1"/>
  <c r="A2491" i="1"/>
  <c r="H2490" i="1"/>
  <c r="C2490" i="1"/>
  <c r="A2490" i="1"/>
  <c r="H2489" i="1"/>
  <c r="C2489" i="1"/>
  <c r="A2489" i="1"/>
  <c r="H2488" i="1"/>
  <c r="C2488" i="1"/>
  <c r="A2488" i="1"/>
  <c r="H2487" i="1"/>
  <c r="C2487" i="1"/>
  <c r="A2487" i="1"/>
  <c r="H2486" i="1"/>
  <c r="C2486" i="1"/>
  <c r="A2486" i="1"/>
  <c r="H2485" i="1"/>
  <c r="C2485" i="1"/>
  <c r="A2485" i="1"/>
  <c r="H2484" i="1"/>
  <c r="C2484" i="1"/>
  <c r="A2484" i="1"/>
  <c r="H2483" i="1"/>
  <c r="C2483" i="1"/>
  <c r="A2483" i="1"/>
  <c r="H2482" i="1"/>
  <c r="C2482" i="1"/>
  <c r="A2482" i="1"/>
  <c r="H2481" i="1"/>
  <c r="C2481" i="1"/>
  <c r="A2481" i="1"/>
  <c r="H2480" i="1"/>
  <c r="C2480" i="1"/>
  <c r="A2480" i="1"/>
  <c r="H2479" i="1"/>
  <c r="C2479" i="1"/>
  <c r="A2479" i="1"/>
  <c r="H2478" i="1"/>
  <c r="C2478" i="1"/>
  <c r="A2478" i="1"/>
  <c r="H2477" i="1"/>
  <c r="C2477" i="1"/>
  <c r="A2477" i="1"/>
  <c r="H2476" i="1"/>
  <c r="C2476" i="1"/>
  <c r="A2476" i="1"/>
  <c r="H2475" i="1"/>
  <c r="C2475" i="1"/>
  <c r="A2475" i="1"/>
  <c r="H2474" i="1"/>
  <c r="C2474" i="1"/>
  <c r="A2474" i="1"/>
  <c r="H2473" i="1"/>
  <c r="C2473" i="1"/>
  <c r="A2473" i="1"/>
  <c r="H2472" i="1"/>
  <c r="C2472" i="1"/>
  <c r="A2472" i="1"/>
  <c r="H2471" i="1"/>
  <c r="C2471" i="1"/>
  <c r="A2471" i="1"/>
  <c r="H2470" i="1"/>
  <c r="C2470" i="1"/>
  <c r="A2470" i="1"/>
  <c r="H2469" i="1"/>
  <c r="C2469" i="1"/>
  <c r="A2469" i="1"/>
  <c r="H2468" i="1"/>
  <c r="C2468" i="1"/>
  <c r="A2468" i="1"/>
  <c r="H2467" i="1"/>
  <c r="C2467" i="1"/>
  <c r="A2467" i="1"/>
  <c r="H2466" i="1"/>
  <c r="C2466" i="1"/>
  <c r="A2466" i="1"/>
  <c r="H2465" i="1"/>
  <c r="C2465" i="1"/>
  <c r="A2465" i="1"/>
  <c r="H2464" i="1"/>
  <c r="C2464" i="1"/>
  <c r="A2464" i="1"/>
  <c r="H2463" i="1"/>
  <c r="C2463" i="1"/>
  <c r="A2463" i="1"/>
  <c r="H2462" i="1"/>
  <c r="C2462" i="1"/>
  <c r="A2462" i="1"/>
  <c r="H2461" i="1"/>
  <c r="C2461" i="1"/>
  <c r="A2461" i="1"/>
  <c r="H2460" i="1"/>
  <c r="C2460" i="1"/>
  <c r="A2460" i="1"/>
  <c r="H2459" i="1"/>
  <c r="C2459" i="1"/>
  <c r="A2459" i="1"/>
  <c r="H2458" i="1"/>
  <c r="C2458" i="1"/>
  <c r="A2458" i="1"/>
  <c r="H2457" i="1"/>
  <c r="C2457" i="1"/>
  <c r="A2457" i="1"/>
  <c r="H2456" i="1"/>
  <c r="C2456" i="1"/>
  <c r="A2456" i="1"/>
  <c r="H2455" i="1"/>
  <c r="C2455" i="1"/>
  <c r="A2455" i="1"/>
  <c r="H2454" i="1"/>
  <c r="C2454" i="1"/>
  <c r="A2454" i="1"/>
  <c r="H2453" i="1"/>
  <c r="C2453" i="1"/>
  <c r="A2453" i="1"/>
  <c r="H2452" i="1"/>
  <c r="C2452" i="1"/>
  <c r="A2452" i="1"/>
  <c r="H2451" i="1"/>
  <c r="C2451" i="1"/>
  <c r="A2451" i="1"/>
  <c r="H2450" i="1"/>
  <c r="C2450" i="1"/>
  <c r="A2450" i="1"/>
  <c r="H2449" i="1"/>
  <c r="C2449" i="1"/>
  <c r="A2449" i="1"/>
  <c r="H2448" i="1"/>
  <c r="C2448" i="1"/>
  <c r="A2448" i="1"/>
  <c r="H2447" i="1"/>
  <c r="C2447" i="1"/>
  <c r="A2447" i="1"/>
  <c r="H2446" i="1"/>
  <c r="C2446" i="1"/>
  <c r="A2446" i="1"/>
  <c r="H2445" i="1"/>
  <c r="C2445" i="1"/>
  <c r="A2445" i="1"/>
  <c r="H2444" i="1"/>
  <c r="C2444" i="1"/>
  <c r="A2444" i="1"/>
  <c r="H2443" i="1"/>
  <c r="C2443" i="1"/>
  <c r="A2443" i="1"/>
  <c r="H2442" i="1"/>
  <c r="C2442" i="1"/>
  <c r="A2442" i="1"/>
  <c r="H2441" i="1"/>
  <c r="C2441" i="1"/>
  <c r="A2441" i="1"/>
  <c r="H2440" i="1"/>
  <c r="C2440" i="1"/>
  <c r="A2440" i="1"/>
  <c r="H2439" i="1"/>
  <c r="C2439" i="1"/>
  <c r="A2439" i="1"/>
  <c r="H2438" i="1"/>
  <c r="C2438" i="1"/>
  <c r="A2438" i="1"/>
  <c r="H2437" i="1"/>
  <c r="C2437" i="1"/>
  <c r="A2437" i="1"/>
  <c r="H2436" i="1"/>
  <c r="C2436" i="1"/>
  <c r="A2436" i="1"/>
  <c r="H2435" i="1"/>
  <c r="C2435" i="1"/>
  <c r="A2435" i="1"/>
  <c r="H2434" i="1"/>
  <c r="C2434" i="1"/>
  <c r="A2434" i="1"/>
  <c r="H2433" i="1"/>
  <c r="C2433" i="1"/>
  <c r="A2433" i="1"/>
  <c r="H2432" i="1"/>
  <c r="C2432" i="1"/>
  <c r="A2432" i="1"/>
  <c r="H2431" i="1"/>
  <c r="C2431" i="1"/>
  <c r="A2431" i="1"/>
  <c r="H2430" i="1"/>
  <c r="C2430" i="1"/>
  <c r="A2430" i="1"/>
  <c r="H2429" i="1"/>
  <c r="C2429" i="1"/>
  <c r="A2429" i="1"/>
  <c r="H2428" i="1"/>
  <c r="C2428" i="1"/>
  <c r="A2428" i="1"/>
  <c r="H2427" i="1"/>
  <c r="C2427" i="1"/>
  <c r="A2427" i="1"/>
  <c r="H2426" i="1"/>
  <c r="C2426" i="1"/>
  <c r="A2426" i="1"/>
  <c r="H2425" i="1"/>
  <c r="C2425" i="1"/>
  <c r="A2425" i="1"/>
  <c r="H2424" i="1"/>
  <c r="C2424" i="1"/>
  <c r="A2424" i="1"/>
  <c r="H2423" i="1"/>
  <c r="C2423" i="1"/>
  <c r="A2423" i="1"/>
  <c r="H2422" i="1"/>
  <c r="C2422" i="1"/>
  <c r="A2422" i="1"/>
  <c r="H2421" i="1"/>
  <c r="C2421" i="1"/>
  <c r="A2421" i="1"/>
  <c r="H2420" i="1"/>
  <c r="C2420" i="1"/>
  <c r="A2420" i="1"/>
  <c r="H2419" i="1"/>
  <c r="C2419" i="1"/>
  <c r="A2419" i="1"/>
  <c r="H2418" i="1"/>
  <c r="C2418" i="1"/>
  <c r="A2418" i="1"/>
  <c r="H2417" i="1"/>
  <c r="C2417" i="1"/>
  <c r="A2417" i="1"/>
  <c r="H2416" i="1"/>
  <c r="C2416" i="1"/>
  <c r="A2416" i="1"/>
  <c r="H2415" i="1"/>
  <c r="C2415" i="1"/>
  <c r="A2415" i="1"/>
  <c r="H2414" i="1"/>
  <c r="C2414" i="1"/>
  <c r="A2414" i="1"/>
  <c r="H2413" i="1"/>
  <c r="C2413" i="1"/>
  <c r="A2413" i="1"/>
  <c r="H2412" i="1"/>
  <c r="C2412" i="1"/>
  <c r="A2412" i="1"/>
  <c r="H2411" i="1"/>
  <c r="C2411" i="1"/>
  <c r="A2411" i="1"/>
  <c r="H2410" i="1"/>
  <c r="C2410" i="1"/>
  <c r="A2410" i="1"/>
  <c r="H2409" i="1"/>
  <c r="C2409" i="1"/>
  <c r="A2409" i="1"/>
  <c r="H2408" i="1"/>
  <c r="C2408" i="1"/>
  <c r="A2408" i="1"/>
  <c r="H2407" i="1"/>
  <c r="C2407" i="1"/>
  <c r="A2407" i="1"/>
  <c r="H2406" i="1"/>
  <c r="C2406" i="1"/>
  <c r="A2406" i="1"/>
  <c r="H2405" i="1"/>
  <c r="C2405" i="1"/>
  <c r="A2405" i="1"/>
  <c r="H2404" i="1"/>
  <c r="C2404" i="1"/>
  <c r="A2404" i="1"/>
  <c r="H2403" i="1"/>
  <c r="C2403" i="1"/>
  <c r="A2403" i="1"/>
  <c r="H2402" i="1"/>
  <c r="C2402" i="1"/>
  <c r="A2402" i="1"/>
  <c r="H2401" i="1"/>
  <c r="C2401" i="1"/>
  <c r="A2401" i="1"/>
  <c r="H2400" i="1"/>
  <c r="C2400" i="1"/>
  <c r="A2400" i="1"/>
  <c r="H2399" i="1"/>
  <c r="C2399" i="1"/>
  <c r="A2399" i="1"/>
  <c r="H2398" i="1"/>
  <c r="C2398" i="1"/>
  <c r="A2398" i="1"/>
  <c r="H2397" i="1"/>
  <c r="C2397" i="1"/>
  <c r="A2397" i="1"/>
  <c r="H2396" i="1"/>
  <c r="C2396" i="1"/>
  <c r="A2396" i="1"/>
  <c r="H2395" i="1"/>
  <c r="C2395" i="1"/>
  <c r="A2395" i="1"/>
  <c r="H2394" i="1"/>
  <c r="C2394" i="1"/>
  <c r="A2394" i="1"/>
  <c r="H2393" i="1"/>
  <c r="C2393" i="1"/>
  <c r="A2393" i="1"/>
  <c r="H2392" i="1"/>
  <c r="C2392" i="1"/>
  <c r="A2392" i="1"/>
  <c r="H2391" i="1"/>
  <c r="C2391" i="1"/>
  <c r="A2391" i="1"/>
  <c r="H2390" i="1"/>
  <c r="C2390" i="1"/>
  <c r="A2390" i="1"/>
  <c r="H2389" i="1"/>
  <c r="C2389" i="1"/>
  <c r="A2389" i="1"/>
  <c r="H2388" i="1"/>
  <c r="C2388" i="1"/>
  <c r="A2388" i="1"/>
  <c r="H2387" i="1"/>
  <c r="C2387" i="1"/>
  <c r="A2387" i="1"/>
  <c r="H2386" i="1"/>
  <c r="C2386" i="1"/>
  <c r="A2386" i="1"/>
  <c r="H2385" i="1"/>
  <c r="C2385" i="1"/>
  <c r="A2385" i="1"/>
  <c r="H2384" i="1"/>
  <c r="C2384" i="1"/>
  <c r="A2384" i="1"/>
  <c r="H2383" i="1"/>
  <c r="C2383" i="1"/>
  <c r="A2383" i="1"/>
  <c r="H2382" i="1"/>
  <c r="C2382" i="1"/>
  <c r="A2382" i="1"/>
  <c r="H2381" i="1"/>
  <c r="C2381" i="1"/>
  <c r="A2381" i="1"/>
  <c r="H2380" i="1"/>
  <c r="C2380" i="1"/>
  <c r="A2380" i="1"/>
  <c r="H2379" i="1"/>
  <c r="C2379" i="1"/>
  <c r="A2379" i="1"/>
  <c r="H2378" i="1"/>
  <c r="C2378" i="1"/>
  <c r="A2378" i="1"/>
  <c r="H2377" i="1"/>
  <c r="C2377" i="1"/>
  <c r="A2377" i="1"/>
  <c r="H2376" i="1"/>
  <c r="C2376" i="1"/>
  <c r="A2376" i="1"/>
  <c r="H2375" i="1"/>
  <c r="C2375" i="1"/>
  <c r="A2375" i="1"/>
  <c r="H2374" i="1"/>
  <c r="C2374" i="1"/>
  <c r="A2374" i="1"/>
  <c r="H2373" i="1"/>
  <c r="C2373" i="1"/>
  <c r="A2373" i="1"/>
  <c r="H2372" i="1"/>
  <c r="C2372" i="1"/>
  <c r="A2372" i="1"/>
  <c r="H2371" i="1"/>
  <c r="C2371" i="1"/>
  <c r="A2371" i="1"/>
  <c r="H2370" i="1"/>
  <c r="C2370" i="1"/>
  <c r="A2370" i="1"/>
  <c r="H2369" i="1"/>
  <c r="C2369" i="1"/>
  <c r="A2369" i="1"/>
  <c r="H2368" i="1"/>
  <c r="C2368" i="1"/>
  <c r="A2368" i="1"/>
  <c r="H2367" i="1"/>
  <c r="C2367" i="1"/>
  <c r="A2367" i="1"/>
  <c r="H2366" i="1"/>
  <c r="C2366" i="1"/>
  <c r="A2366" i="1"/>
  <c r="H2365" i="1"/>
  <c r="C2365" i="1"/>
  <c r="A2365" i="1"/>
  <c r="H2364" i="1"/>
  <c r="C2364" i="1"/>
  <c r="A2364" i="1"/>
  <c r="H2363" i="1"/>
  <c r="C2363" i="1"/>
  <c r="A2363" i="1"/>
  <c r="H2362" i="1"/>
  <c r="C2362" i="1"/>
  <c r="A2362" i="1"/>
  <c r="H2361" i="1"/>
  <c r="C2361" i="1"/>
  <c r="A2361" i="1"/>
  <c r="H2360" i="1"/>
  <c r="C2360" i="1"/>
  <c r="A2360" i="1"/>
  <c r="H2359" i="1"/>
  <c r="C2359" i="1"/>
  <c r="A2359" i="1"/>
  <c r="H2358" i="1"/>
  <c r="C2358" i="1"/>
  <c r="A2358" i="1"/>
  <c r="H2357" i="1"/>
  <c r="C2357" i="1"/>
  <c r="A2357" i="1"/>
  <c r="H2356" i="1"/>
  <c r="C2356" i="1"/>
  <c r="A2356" i="1"/>
  <c r="H2355" i="1"/>
  <c r="C2355" i="1"/>
  <c r="A2355" i="1"/>
  <c r="H2354" i="1"/>
  <c r="C2354" i="1"/>
  <c r="A2354" i="1"/>
  <c r="H2353" i="1"/>
  <c r="C2353" i="1"/>
  <c r="A2353" i="1"/>
  <c r="H2352" i="1"/>
  <c r="C2352" i="1"/>
  <c r="A2352" i="1"/>
  <c r="H2351" i="1"/>
  <c r="C2351" i="1"/>
  <c r="A2351" i="1"/>
  <c r="H2350" i="1"/>
  <c r="C2350" i="1"/>
  <c r="A2350" i="1"/>
  <c r="H2349" i="1"/>
  <c r="C2349" i="1"/>
  <c r="A2349" i="1"/>
  <c r="H2348" i="1"/>
  <c r="C2348" i="1"/>
  <c r="A2348" i="1"/>
  <c r="H2347" i="1"/>
  <c r="C2347" i="1"/>
  <c r="A2347" i="1"/>
  <c r="H2346" i="1"/>
  <c r="C2346" i="1"/>
  <c r="A2346" i="1"/>
  <c r="H2345" i="1"/>
  <c r="C2345" i="1"/>
  <c r="A2345" i="1"/>
  <c r="H2344" i="1"/>
  <c r="C2344" i="1"/>
  <c r="A2344" i="1"/>
  <c r="H2343" i="1"/>
  <c r="C2343" i="1"/>
  <c r="A2343" i="1"/>
  <c r="H2342" i="1"/>
  <c r="C2342" i="1"/>
  <c r="A2342" i="1"/>
  <c r="H2341" i="1"/>
  <c r="C2341" i="1"/>
  <c r="A2341" i="1"/>
  <c r="H2340" i="1"/>
  <c r="C2340" i="1"/>
  <c r="A2340" i="1"/>
  <c r="H2339" i="1"/>
  <c r="C2339" i="1"/>
  <c r="A2339" i="1"/>
  <c r="H2338" i="1"/>
  <c r="C2338" i="1"/>
  <c r="A2338" i="1"/>
  <c r="H2337" i="1"/>
  <c r="C2337" i="1"/>
  <c r="A2337" i="1"/>
  <c r="H2336" i="1"/>
  <c r="C2336" i="1"/>
  <c r="A2336" i="1"/>
  <c r="H2335" i="1"/>
  <c r="C2335" i="1"/>
  <c r="A2335" i="1"/>
  <c r="H2334" i="1"/>
  <c r="C2334" i="1"/>
  <c r="A2334" i="1"/>
  <c r="H2333" i="1"/>
  <c r="C2333" i="1"/>
  <c r="A2333" i="1"/>
  <c r="H2332" i="1"/>
  <c r="C2332" i="1"/>
  <c r="A2332" i="1"/>
  <c r="H2331" i="1"/>
  <c r="C2331" i="1"/>
  <c r="A2331" i="1"/>
  <c r="H2330" i="1"/>
  <c r="C2330" i="1"/>
  <c r="A2330" i="1"/>
  <c r="H2329" i="1"/>
  <c r="C2329" i="1"/>
  <c r="A2329" i="1"/>
  <c r="H2328" i="1"/>
  <c r="C2328" i="1"/>
  <c r="A2328" i="1"/>
  <c r="H2327" i="1"/>
  <c r="C2327" i="1"/>
  <c r="A2327" i="1"/>
  <c r="H2326" i="1"/>
  <c r="C2326" i="1"/>
  <c r="A2326" i="1"/>
  <c r="H2325" i="1"/>
  <c r="C2325" i="1"/>
  <c r="A2325" i="1"/>
  <c r="H2324" i="1"/>
  <c r="C2324" i="1"/>
  <c r="A2324" i="1"/>
  <c r="H2323" i="1"/>
  <c r="C2323" i="1"/>
  <c r="A2323" i="1"/>
  <c r="H2322" i="1"/>
  <c r="C2322" i="1"/>
  <c r="A2322" i="1"/>
  <c r="H2321" i="1"/>
  <c r="C2321" i="1"/>
  <c r="A2321" i="1"/>
  <c r="H2320" i="1"/>
  <c r="C2320" i="1"/>
  <c r="A2320" i="1"/>
  <c r="H2319" i="1"/>
  <c r="C2319" i="1"/>
  <c r="A2319" i="1"/>
  <c r="H2318" i="1"/>
  <c r="C2318" i="1"/>
  <c r="A2318" i="1"/>
  <c r="H2317" i="1"/>
  <c r="C2317" i="1"/>
  <c r="A2317" i="1"/>
  <c r="H2316" i="1"/>
  <c r="C2316" i="1"/>
  <c r="A2316" i="1"/>
  <c r="H2315" i="1"/>
  <c r="C2315" i="1"/>
  <c r="A2315" i="1"/>
  <c r="H2314" i="1"/>
  <c r="C2314" i="1"/>
  <c r="A2314" i="1"/>
  <c r="H2313" i="1"/>
  <c r="C2313" i="1"/>
  <c r="A2313" i="1"/>
  <c r="H2312" i="1"/>
  <c r="C2312" i="1"/>
  <c r="A2312" i="1"/>
  <c r="H2311" i="1"/>
  <c r="C2311" i="1"/>
  <c r="A2311" i="1"/>
  <c r="H2310" i="1"/>
  <c r="C2310" i="1"/>
  <c r="A2310" i="1"/>
  <c r="H2309" i="1"/>
  <c r="C2309" i="1"/>
  <c r="A2309" i="1"/>
  <c r="H2308" i="1"/>
  <c r="C2308" i="1"/>
  <c r="A2308" i="1"/>
  <c r="H2307" i="1"/>
  <c r="C2307" i="1"/>
  <c r="A2307" i="1"/>
  <c r="H2306" i="1"/>
  <c r="C2306" i="1"/>
  <c r="A2306" i="1"/>
  <c r="H2305" i="1"/>
  <c r="C2305" i="1"/>
  <c r="A2305" i="1"/>
  <c r="H2304" i="1"/>
  <c r="C2304" i="1"/>
  <c r="A2304" i="1"/>
  <c r="H2303" i="1"/>
  <c r="C2303" i="1"/>
  <c r="A2303" i="1"/>
  <c r="H2302" i="1"/>
  <c r="C2302" i="1"/>
  <c r="A2302" i="1"/>
  <c r="H2301" i="1"/>
  <c r="C2301" i="1"/>
  <c r="A2301" i="1"/>
  <c r="H2300" i="1"/>
  <c r="C2300" i="1"/>
  <c r="A2300" i="1"/>
  <c r="H2299" i="1"/>
  <c r="C2299" i="1"/>
  <c r="A2299" i="1"/>
  <c r="H2298" i="1"/>
  <c r="C2298" i="1"/>
  <c r="A2298" i="1"/>
  <c r="H2297" i="1"/>
  <c r="C2297" i="1"/>
  <c r="A2297" i="1"/>
  <c r="H2296" i="1"/>
  <c r="C2296" i="1"/>
  <c r="A2296" i="1"/>
  <c r="H2295" i="1"/>
  <c r="C2295" i="1"/>
  <c r="A2295" i="1"/>
  <c r="H2294" i="1"/>
  <c r="C2294" i="1"/>
  <c r="A2294" i="1"/>
  <c r="H2293" i="1"/>
  <c r="C2293" i="1"/>
  <c r="A2293" i="1"/>
  <c r="H2292" i="1"/>
  <c r="C2292" i="1"/>
  <c r="A2292" i="1"/>
  <c r="H2291" i="1"/>
  <c r="C2291" i="1"/>
  <c r="A2291" i="1"/>
  <c r="H2290" i="1"/>
  <c r="C2290" i="1"/>
  <c r="A2290" i="1"/>
  <c r="H2289" i="1"/>
  <c r="C2289" i="1"/>
  <c r="A2289" i="1"/>
  <c r="H2288" i="1"/>
  <c r="C2288" i="1"/>
  <c r="A2288" i="1"/>
  <c r="H2287" i="1"/>
  <c r="C2287" i="1"/>
  <c r="A2287" i="1"/>
  <c r="H2286" i="1"/>
  <c r="C2286" i="1"/>
  <c r="A2286" i="1"/>
  <c r="H2285" i="1"/>
  <c r="C2285" i="1"/>
  <c r="A2285" i="1"/>
  <c r="H2284" i="1"/>
  <c r="C2284" i="1"/>
  <c r="A2284" i="1"/>
  <c r="H2283" i="1"/>
  <c r="C2283" i="1"/>
  <c r="A2283" i="1"/>
  <c r="H2282" i="1"/>
  <c r="C2282" i="1"/>
  <c r="A2282" i="1"/>
  <c r="H2281" i="1"/>
  <c r="C2281" i="1"/>
  <c r="A2281" i="1"/>
  <c r="H2280" i="1"/>
  <c r="C2280" i="1"/>
  <c r="A2280" i="1"/>
  <c r="H2279" i="1"/>
  <c r="C2279" i="1"/>
  <c r="A2279" i="1"/>
  <c r="H2278" i="1"/>
  <c r="C2278" i="1"/>
  <c r="A2278" i="1"/>
  <c r="H2277" i="1"/>
  <c r="C2277" i="1"/>
  <c r="A2277" i="1"/>
  <c r="H2276" i="1"/>
  <c r="C2276" i="1"/>
  <c r="A2276" i="1"/>
  <c r="H2275" i="1"/>
  <c r="C2275" i="1"/>
  <c r="A2275" i="1"/>
  <c r="H2274" i="1"/>
  <c r="C2274" i="1"/>
  <c r="A2274" i="1"/>
  <c r="H2273" i="1"/>
  <c r="C2273" i="1"/>
  <c r="A2273" i="1"/>
  <c r="H2272" i="1"/>
  <c r="C2272" i="1"/>
  <c r="A2272" i="1"/>
  <c r="H2271" i="1"/>
  <c r="C2271" i="1"/>
  <c r="A2271" i="1"/>
  <c r="H2270" i="1"/>
  <c r="C2270" i="1"/>
  <c r="A2270" i="1"/>
  <c r="H2269" i="1"/>
  <c r="C2269" i="1"/>
  <c r="A2269" i="1"/>
  <c r="H2268" i="1"/>
  <c r="C2268" i="1"/>
  <c r="A2268" i="1"/>
  <c r="H2267" i="1"/>
  <c r="C2267" i="1"/>
  <c r="A2267" i="1"/>
  <c r="H2266" i="1"/>
  <c r="C2266" i="1"/>
  <c r="A2266" i="1"/>
  <c r="H2265" i="1"/>
  <c r="C2265" i="1"/>
  <c r="A2265" i="1"/>
  <c r="H2264" i="1"/>
  <c r="C2264" i="1"/>
  <c r="A2264" i="1"/>
  <c r="H2263" i="1"/>
  <c r="C2263" i="1"/>
  <c r="A2263" i="1"/>
  <c r="H2262" i="1"/>
  <c r="C2262" i="1"/>
  <c r="A2262" i="1"/>
  <c r="H2261" i="1"/>
  <c r="C2261" i="1"/>
  <c r="A2261" i="1"/>
  <c r="H2260" i="1"/>
  <c r="C2260" i="1"/>
  <c r="A2260" i="1"/>
  <c r="H2259" i="1"/>
  <c r="C2259" i="1"/>
  <c r="A2259" i="1"/>
  <c r="H2258" i="1"/>
  <c r="C2258" i="1"/>
  <c r="A2258" i="1"/>
  <c r="H2257" i="1"/>
  <c r="C2257" i="1"/>
  <c r="A2257" i="1"/>
  <c r="H2256" i="1"/>
  <c r="C2256" i="1"/>
  <c r="A2256" i="1"/>
  <c r="H2255" i="1"/>
  <c r="C2255" i="1"/>
  <c r="A2255" i="1"/>
  <c r="H2254" i="1"/>
  <c r="C2254" i="1"/>
  <c r="A2254" i="1"/>
  <c r="H2253" i="1"/>
  <c r="C2253" i="1"/>
  <c r="A2253" i="1"/>
  <c r="H2252" i="1"/>
  <c r="C2252" i="1"/>
  <c r="A2252" i="1"/>
  <c r="H2251" i="1"/>
  <c r="C2251" i="1"/>
  <c r="A2251" i="1"/>
  <c r="H2250" i="1"/>
  <c r="C2250" i="1"/>
  <c r="A2250" i="1"/>
  <c r="H2249" i="1"/>
  <c r="C2249" i="1"/>
  <c r="A2249" i="1"/>
  <c r="H2248" i="1"/>
  <c r="C2248" i="1"/>
  <c r="A2248" i="1"/>
  <c r="H2247" i="1"/>
  <c r="C2247" i="1"/>
  <c r="A2247" i="1"/>
  <c r="H2246" i="1"/>
  <c r="C2246" i="1"/>
  <c r="A2246" i="1"/>
  <c r="H2245" i="1"/>
  <c r="C2245" i="1"/>
  <c r="A2245" i="1"/>
  <c r="H2244" i="1"/>
  <c r="C2244" i="1"/>
  <c r="A2244" i="1"/>
  <c r="H2243" i="1"/>
  <c r="C2243" i="1"/>
  <c r="A2243" i="1"/>
  <c r="H2242" i="1"/>
  <c r="C2242" i="1"/>
  <c r="A2242" i="1"/>
  <c r="H2241" i="1"/>
  <c r="C2241" i="1"/>
  <c r="A2241" i="1"/>
  <c r="H2240" i="1"/>
  <c r="C2240" i="1"/>
  <c r="A2240" i="1"/>
  <c r="H2239" i="1"/>
  <c r="C2239" i="1"/>
  <c r="A2239" i="1"/>
  <c r="H2238" i="1"/>
  <c r="C2238" i="1"/>
  <c r="A2238" i="1"/>
  <c r="H2237" i="1"/>
  <c r="C2237" i="1"/>
  <c r="A2237" i="1"/>
  <c r="H2236" i="1"/>
  <c r="C2236" i="1"/>
  <c r="A2236" i="1"/>
  <c r="H2235" i="1"/>
  <c r="C2235" i="1"/>
  <c r="A2235" i="1"/>
  <c r="H2234" i="1"/>
  <c r="C2234" i="1"/>
  <c r="A2234" i="1"/>
  <c r="H2233" i="1"/>
  <c r="C2233" i="1"/>
  <c r="A2233" i="1"/>
  <c r="H2232" i="1"/>
  <c r="C2232" i="1"/>
  <c r="A2232" i="1"/>
  <c r="H2231" i="1"/>
  <c r="C2231" i="1"/>
  <c r="A2231" i="1"/>
  <c r="H2230" i="1"/>
  <c r="C2230" i="1"/>
  <c r="A2230" i="1"/>
  <c r="H2229" i="1"/>
  <c r="C2229" i="1"/>
  <c r="A2229" i="1"/>
  <c r="H2228" i="1"/>
  <c r="C2228" i="1"/>
  <c r="A2228" i="1"/>
  <c r="H2227" i="1"/>
  <c r="C2227" i="1"/>
  <c r="A2227" i="1"/>
  <c r="H2226" i="1"/>
  <c r="C2226" i="1"/>
  <c r="A2226" i="1"/>
  <c r="H2225" i="1"/>
  <c r="C2225" i="1"/>
  <c r="A2225" i="1"/>
  <c r="H2224" i="1"/>
  <c r="C2224" i="1"/>
  <c r="A2224" i="1"/>
  <c r="H2223" i="1"/>
  <c r="C2223" i="1"/>
  <c r="A2223" i="1"/>
  <c r="H2222" i="1"/>
  <c r="C2222" i="1"/>
  <c r="A2222" i="1"/>
  <c r="H2221" i="1"/>
  <c r="C2221" i="1"/>
  <c r="A2221" i="1"/>
  <c r="H2220" i="1"/>
  <c r="C2220" i="1"/>
  <c r="A2220" i="1"/>
  <c r="H2219" i="1"/>
  <c r="C2219" i="1"/>
  <c r="A2219" i="1"/>
  <c r="H2218" i="1"/>
  <c r="C2218" i="1"/>
  <c r="A2218" i="1"/>
  <c r="H2217" i="1"/>
  <c r="C2217" i="1"/>
  <c r="A2217" i="1"/>
  <c r="H2216" i="1"/>
  <c r="C2216" i="1"/>
  <c r="A2216" i="1"/>
  <c r="H2215" i="1"/>
  <c r="C2215" i="1"/>
  <c r="A2215" i="1"/>
  <c r="H2214" i="1"/>
  <c r="C2214" i="1"/>
  <c r="A2214" i="1"/>
  <c r="H2213" i="1"/>
  <c r="C2213" i="1"/>
  <c r="A2213" i="1"/>
  <c r="H2212" i="1"/>
  <c r="C2212" i="1"/>
  <c r="A2212" i="1"/>
  <c r="H2211" i="1"/>
  <c r="C2211" i="1"/>
  <c r="A2211" i="1"/>
  <c r="H2210" i="1"/>
  <c r="C2210" i="1"/>
  <c r="A2210" i="1"/>
  <c r="H2209" i="1"/>
  <c r="C2209" i="1"/>
  <c r="A2209" i="1"/>
  <c r="H2208" i="1"/>
  <c r="C2208" i="1"/>
  <c r="A2208" i="1"/>
  <c r="H2207" i="1"/>
  <c r="C2207" i="1"/>
  <c r="A2207" i="1"/>
  <c r="H2206" i="1"/>
  <c r="C2206" i="1"/>
  <c r="A2206" i="1"/>
  <c r="H2205" i="1"/>
  <c r="C2205" i="1"/>
  <c r="A2205" i="1"/>
  <c r="H2204" i="1"/>
  <c r="C2204" i="1"/>
  <c r="A2204" i="1"/>
  <c r="H2203" i="1"/>
  <c r="C2203" i="1"/>
  <c r="A2203" i="1"/>
  <c r="H2202" i="1"/>
  <c r="C2202" i="1"/>
  <c r="A2202" i="1"/>
  <c r="H2201" i="1"/>
  <c r="C2201" i="1"/>
  <c r="A2201" i="1"/>
  <c r="H2200" i="1"/>
  <c r="C2200" i="1"/>
  <c r="A2200" i="1"/>
  <c r="H2199" i="1"/>
  <c r="C2199" i="1"/>
  <c r="A2199" i="1"/>
  <c r="H2198" i="1"/>
  <c r="C2198" i="1"/>
  <c r="A2198" i="1"/>
  <c r="H2197" i="1"/>
  <c r="C2197" i="1"/>
  <c r="A2197" i="1"/>
  <c r="H2196" i="1"/>
  <c r="C2196" i="1"/>
  <c r="A2196" i="1"/>
  <c r="H2195" i="1"/>
  <c r="C2195" i="1"/>
  <c r="A2195" i="1"/>
  <c r="H2194" i="1"/>
  <c r="C2194" i="1"/>
  <c r="A2194" i="1"/>
  <c r="H2193" i="1"/>
  <c r="C2193" i="1"/>
  <c r="A2193" i="1"/>
  <c r="H2192" i="1"/>
  <c r="C2192" i="1"/>
  <c r="A2192" i="1"/>
  <c r="H2191" i="1"/>
  <c r="C2191" i="1"/>
  <c r="A2191" i="1"/>
  <c r="H2190" i="1"/>
  <c r="C2190" i="1"/>
  <c r="A2190" i="1"/>
  <c r="H2189" i="1"/>
  <c r="C2189" i="1"/>
  <c r="A2189" i="1"/>
  <c r="H2188" i="1"/>
  <c r="C2188" i="1"/>
  <c r="A2188" i="1"/>
  <c r="H2187" i="1"/>
  <c r="C2187" i="1"/>
  <c r="A2187" i="1"/>
  <c r="H2186" i="1"/>
  <c r="C2186" i="1"/>
  <c r="A2186" i="1"/>
  <c r="H2185" i="1"/>
  <c r="C2185" i="1"/>
  <c r="A2185" i="1"/>
  <c r="H2184" i="1"/>
  <c r="C2184" i="1"/>
  <c r="A2184" i="1"/>
  <c r="H2183" i="1"/>
  <c r="C2183" i="1"/>
  <c r="A2183" i="1"/>
  <c r="H2182" i="1"/>
  <c r="C2182" i="1"/>
  <c r="A2182" i="1"/>
  <c r="H2181" i="1"/>
  <c r="C2181" i="1"/>
  <c r="A2181" i="1"/>
  <c r="H2180" i="1"/>
  <c r="C2180" i="1"/>
  <c r="A2180" i="1"/>
  <c r="H2179" i="1"/>
  <c r="C2179" i="1"/>
  <c r="A2179" i="1"/>
  <c r="H2178" i="1"/>
  <c r="C2178" i="1"/>
  <c r="A2178" i="1"/>
  <c r="H2177" i="1"/>
  <c r="C2177" i="1"/>
  <c r="A2177" i="1"/>
  <c r="H2176" i="1"/>
  <c r="C2176" i="1"/>
  <c r="A2176" i="1"/>
  <c r="H2175" i="1"/>
  <c r="C2175" i="1"/>
  <c r="A2175" i="1"/>
  <c r="H2174" i="1"/>
  <c r="C2174" i="1"/>
  <c r="A2174" i="1"/>
  <c r="H2173" i="1"/>
  <c r="C2173" i="1"/>
  <c r="A2173" i="1"/>
  <c r="H2172" i="1"/>
  <c r="C2172" i="1"/>
  <c r="A2172" i="1"/>
  <c r="H2171" i="1"/>
  <c r="C2171" i="1"/>
  <c r="A2171" i="1"/>
  <c r="H2170" i="1"/>
  <c r="C2170" i="1"/>
  <c r="A2170" i="1"/>
  <c r="H2169" i="1"/>
  <c r="C2169" i="1"/>
  <c r="A2169" i="1"/>
  <c r="H2168" i="1"/>
  <c r="C2168" i="1"/>
  <c r="A2168" i="1"/>
  <c r="H2167" i="1"/>
  <c r="C2167" i="1"/>
  <c r="A2167" i="1"/>
  <c r="H2166" i="1"/>
  <c r="C2166" i="1"/>
  <c r="A2166" i="1"/>
  <c r="H2165" i="1"/>
  <c r="C2165" i="1"/>
  <c r="A2165" i="1"/>
  <c r="H2164" i="1"/>
  <c r="C2164" i="1"/>
  <c r="A2164" i="1"/>
  <c r="H2163" i="1"/>
  <c r="C2163" i="1"/>
  <c r="A2163" i="1"/>
  <c r="H2162" i="1"/>
  <c r="C2162" i="1"/>
  <c r="A2162" i="1"/>
  <c r="H2161" i="1"/>
  <c r="C2161" i="1"/>
  <c r="A2161" i="1"/>
  <c r="H2160" i="1"/>
  <c r="C2160" i="1"/>
  <c r="A2160" i="1"/>
  <c r="H2159" i="1"/>
  <c r="C2159" i="1"/>
  <c r="A2159" i="1"/>
  <c r="H2158" i="1"/>
  <c r="C2158" i="1"/>
  <c r="A2158" i="1"/>
  <c r="H2157" i="1"/>
  <c r="C2157" i="1"/>
  <c r="A2157" i="1"/>
  <c r="H2156" i="1"/>
  <c r="C2156" i="1"/>
  <c r="A2156" i="1"/>
  <c r="H2155" i="1"/>
  <c r="C2155" i="1"/>
  <c r="A2155" i="1"/>
  <c r="H2154" i="1"/>
  <c r="C2154" i="1"/>
  <c r="A2154" i="1"/>
  <c r="H2153" i="1"/>
  <c r="C2153" i="1"/>
  <c r="A2153" i="1"/>
  <c r="H2152" i="1"/>
  <c r="C2152" i="1"/>
  <c r="A2152" i="1"/>
  <c r="H2151" i="1"/>
  <c r="C2151" i="1"/>
  <c r="A2151" i="1"/>
  <c r="H2150" i="1"/>
  <c r="C2150" i="1"/>
  <c r="A2150" i="1"/>
  <c r="H2149" i="1"/>
  <c r="C2149" i="1"/>
  <c r="A2149" i="1"/>
  <c r="H2148" i="1"/>
  <c r="C2148" i="1"/>
  <c r="A2148" i="1"/>
  <c r="H2147" i="1"/>
  <c r="C2147" i="1"/>
  <c r="A2147" i="1"/>
  <c r="H2146" i="1"/>
  <c r="C2146" i="1"/>
  <c r="A2146" i="1"/>
  <c r="H2145" i="1"/>
  <c r="C2145" i="1"/>
  <c r="A2145" i="1"/>
  <c r="H2144" i="1"/>
  <c r="C2144" i="1"/>
  <c r="A2144" i="1"/>
  <c r="H2143" i="1"/>
  <c r="C2143" i="1"/>
  <c r="A2143" i="1"/>
  <c r="H2142" i="1"/>
  <c r="C2142" i="1"/>
  <c r="A2142" i="1"/>
  <c r="H2141" i="1"/>
  <c r="C2141" i="1"/>
  <c r="A2141" i="1"/>
  <c r="H2140" i="1"/>
  <c r="C2140" i="1"/>
  <c r="A2140" i="1"/>
  <c r="H2139" i="1"/>
  <c r="C2139" i="1"/>
  <c r="A2139" i="1"/>
  <c r="H2138" i="1"/>
  <c r="C2138" i="1"/>
  <c r="A2138" i="1"/>
  <c r="H2137" i="1"/>
  <c r="C2137" i="1"/>
  <c r="A2137" i="1"/>
  <c r="H2136" i="1"/>
  <c r="C2136" i="1"/>
  <c r="A2136" i="1"/>
  <c r="H2135" i="1"/>
  <c r="C2135" i="1"/>
  <c r="A2135" i="1"/>
  <c r="H2134" i="1"/>
  <c r="C2134" i="1"/>
  <c r="A2134" i="1"/>
  <c r="H2133" i="1"/>
  <c r="C2133" i="1"/>
  <c r="A2133" i="1"/>
  <c r="H2132" i="1"/>
  <c r="C2132" i="1"/>
  <c r="A2132" i="1"/>
  <c r="H2131" i="1"/>
  <c r="C2131" i="1"/>
  <c r="A2131" i="1"/>
  <c r="H2130" i="1"/>
  <c r="C2130" i="1"/>
  <c r="A2130" i="1"/>
  <c r="H2129" i="1"/>
  <c r="C2129" i="1"/>
  <c r="A2129" i="1"/>
  <c r="H2128" i="1"/>
  <c r="C2128" i="1"/>
  <c r="A2128" i="1"/>
  <c r="H2127" i="1"/>
  <c r="C2127" i="1"/>
  <c r="A2127" i="1"/>
  <c r="H2126" i="1"/>
  <c r="C2126" i="1"/>
  <c r="A2126" i="1"/>
  <c r="H2125" i="1"/>
  <c r="C2125" i="1"/>
  <c r="A2125" i="1"/>
  <c r="H2124" i="1"/>
  <c r="C2124" i="1"/>
  <c r="A2124" i="1"/>
  <c r="H2123" i="1"/>
  <c r="C2123" i="1"/>
  <c r="A2123" i="1"/>
  <c r="H2122" i="1"/>
  <c r="C2122" i="1"/>
  <c r="A2122" i="1"/>
  <c r="H2121" i="1"/>
  <c r="C2121" i="1"/>
  <c r="A2121" i="1"/>
  <c r="H2120" i="1"/>
  <c r="C2120" i="1"/>
  <c r="A2120" i="1"/>
  <c r="H2119" i="1"/>
  <c r="C2119" i="1"/>
  <c r="A2119" i="1"/>
  <c r="H2118" i="1"/>
  <c r="C2118" i="1"/>
  <c r="A2118" i="1"/>
  <c r="H2117" i="1"/>
  <c r="C2117" i="1"/>
  <c r="A2117" i="1"/>
  <c r="H2116" i="1"/>
  <c r="C2116" i="1"/>
  <c r="A2116" i="1"/>
  <c r="H2115" i="1"/>
  <c r="C2115" i="1"/>
  <c r="A2115" i="1"/>
  <c r="H2114" i="1"/>
  <c r="C2114" i="1"/>
  <c r="A2114" i="1"/>
  <c r="H2113" i="1"/>
  <c r="C2113" i="1"/>
  <c r="A2113" i="1"/>
  <c r="H2112" i="1"/>
  <c r="C2112" i="1"/>
  <c r="A2112" i="1"/>
  <c r="H2111" i="1"/>
  <c r="C2111" i="1"/>
  <c r="A2111" i="1"/>
  <c r="H2110" i="1"/>
  <c r="C2110" i="1"/>
  <c r="A2110" i="1"/>
  <c r="H2109" i="1"/>
  <c r="C2109" i="1"/>
  <c r="A2109" i="1"/>
  <c r="H2108" i="1"/>
  <c r="C2108" i="1"/>
  <c r="A2108" i="1"/>
  <c r="H2107" i="1"/>
  <c r="C2107" i="1"/>
  <c r="A2107" i="1"/>
  <c r="H2106" i="1"/>
  <c r="C2106" i="1"/>
  <c r="A2106" i="1"/>
  <c r="H2105" i="1"/>
  <c r="C2105" i="1"/>
  <c r="A2105" i="1"/>
  <c r="H2104" i="1"/>
  <c r="C2104" i="1"/>
  <c r="A2104" i="1"/>
  <c r="H2103" i="1"/>
  <c r="C2103" i="1"/>
  <c r="A2103" i="1"/>
  <c r="H2102" i="1"/>
  <c r="C2102" i="1"/>
  <c r="A2102" i="1"/>
  <c r="H2101" i="1"/>
  <c r="C2101" i="1"/>
  <c r="A2101" i="1"/>
  <c r="H2100" i="1"/>
  <c r="C2100" i="1"/>
  <c r="A2100" i="1"/>
  <c r="H2099" i="1"/>
  <c r="C2099" i="1"/>
  <c r="A2099" i="1"/>
  <c r="H2098" i="1"/>
  <c r="C2098" i="1"/>
  <c r="A2098" i="1"/>
  <c r="H2097" i="1"/>
  <c r="C2097" i="1"/>
  <c r="A2097" i="1"/>
  <c r="H2096" i="1"/>
  <c r="C2096" i="1"/>
  <c r="A2096" i="1"/>
  <c r="H2095" i="1"/>
  <c r="C2095" i="1"/>
  <c r="A2095" i="1"/>
  <c r="H2094" i="1"/>
  <c r="C2094" i="1"/>
  <c r="A2094" i="1"/>
  <c r="H2093" i="1"/>
  <c r="C2093" i="1"/>
  <c r="A2093" i="1"/>
  <c r="H2092" i="1"/>
  <c r="C2092" i="1"/>
  <c r="A2092" i="1"/>
  <c r="H2091" i="1"/>
  <c r="C2091" i="1"/>
  <c r="A2091" i="1"/>
  <c r="H2090" i="1"/>
  <c r="C2090" i="1"/>
  <c r="A2090" i="1"/>
  <c r="H2089" i="1"/>
  <c r="C2089" i="1"/>
  <c r="A2089" i="1"/>
  <c r="H2088" i="1"/>
  <c r="C2088" i="1"/>
  <c r="A2088" i="1"/>
  <c r="H2087" i="1"/>
  <c r="C2087" i="1"/>
  <c r="A2087" i="1"/>
  <c r="H2086" i="1"/>
  <c r="C2086" i="1"/>
  <c r="A2086" i="1"/>
  <c r="H2085" i="1"/>
  <c r="C2085" i="1"/>
  <c r="A2085" i="1"/>
  <c r="H2084" i="1"/>
  <c r="C2084" i="1"/>
  <c r="A2084" i="1"/>
  <c r="H2083" i="1"/>
  <c r="C2083" i="1"/>
  <c r="A2083" i="1"/>
  <c r="H2082" i="1"/>
  <c r="C2082" i="1"/>
  <c r="A2082" i="1"/>
  <c r="H2081" i="1"/>
  <c r="C2081" i="1"/>
  <c r="A2081" i="1"/>
  <c r="H2080" i="1"/>
  <c r="C2080" i="1"/>
  <c r="A2080" i="1"/>
  <c r="H2079" i="1"/>
  <c r="C2079" i="1"/>
  <c r="A2079" i="1"/>
  <c r="H2078" i="1"/>
  <c r="C2078" i="1"/>
  <c r="A2078" i="1"/>
  <c r="H2077" i="1"/>
  <c r="C2077" i="1"/>
  <c r="A2077" i="1"/>
  <c r="H2076" i="1"/>
  <c r="C2076" i="1"/>
  <c r="A2076" i="1"/>
  <c r="H2075" i="1"/>
  <c r="C2075" i="1"/>
  <c r="A2075" i="1"/>
  <c r="H2074" i="1"/>
  <c r="C2074" i="1"/>
  <c r="A2074" i="1"/>
  <c r="H2073" i="1"/>
  <c r="C2073" i="1"/>
  <c r="A2073" i="1"/>
  <c r="H2072" i="1"/>
  <c r="C2072" i="1"/>
  <c r="A2072" i="1"/>
  <c r="H2071" i="1"/>
  <c r="C2071" i="1"/>
  <c r="A2071" i="1"/>
  <c r="H2070" i="1"/>
  <c r="C2070" i="1"/>
  <c r="A2070" i="1"/>
  <c r="H2069" i="1"/>
  <c r="C2069" i="1"/>
  <c r="A2069" i="1"/>
  <c r="H2068" i="1"/>
  <c r="C2068" i="1"/>
  <c r="A2068" i="1"/>
  <c r="H2067" i="1"/>
  <c r="C2067" i="1"/>
  <c r="A2067" i="1"/>
  <c r="H2066" i="1"/>
  <c r="C2066" i="1"/>
  <c r="A2066" i="1"/>
  <c r="H2065" i="1"/>
  <c r="C2065" i="1"/>
  <c r="A2065" i="1"/>
  <c r="H2064" i="1"/>
  <c r="C2064" i="1"/>
  <c r="A2064" i="1"/>
  <c r="H2063" i="1"/>
  <c r="C2063" i="1"/>
  <c r="A2063" i="1"/>
  <c r="H2062" i="1"/>
  <c r="C2062" i="1"/>
  <c r="A2062" i="1"/>
  <c r="H2061" i="1"/>
  <c r="C2061" i="1"/>
  <c r="A2061" i="1"/>
  <c r="H2060" i="1"/>
  <c r="C2060" i="1"/>
  <c r="A2060" i="1"/>
  <c r="H2059" i="1"/>
  <c r="C2059" i="1"/>
  <c r="A2059" i="1"/>
  <c r="H2058" i="1"/>
  <c r="C2058" i="1"/>
  <c r="A2058" i="1"/>
  <c r="H2057" i="1"/>
  <c r="C2057" i="1"/>
  <c r="A2057" i="1"/>
  <c r="H2056" i="1"/>
  <c r="C2056" i="1"/>
  <c r="A2056" i="1"/>
  <c r="H2055" i="1"/>
  <c r="C2055" i="1"/>
  <c r="A2055" i="1"/>
  <c r="H2054" i="1"/>
  <c r="C2054" i="1"/>
  <c r="A2054" i="1"/>
  <c r="H2053" i="1"/>
  <c r="C2053" i="1"/>
  <c r="A2053" i="1"/>
  <c r="H2052" i="1"/>
  <c r="C2052" i="1"/>
  <c r="A2052" i="1"/>
  <c r="H2051" i="1"/>
  <c r="C2051" i="1"/>
  <c r="A2051" i="1"/>
  <c r="H2050" i="1"/>
  <c r="C2050" i="1"/>
  <c r="A2050" i="1"/>
  <c r="H2049" i="1"/>
  <c r="C2049" i="1"/>
  <c r="A2049" i="1"/>
  <c r="H2048" i="1"/>
  <c r="C2048" i="1"/>
  <c r="A2048" i="1"/>
  <c r="H2047" i="1"/>
  <c r="C2047" i="1"/>
  <c r="A2047" i="1"/>
  <c r="H2046" i="1"/>
  <c r="C2046" i="1"/>
  <c r="A2046" i="1"/>
  <c r="H2045" i="1"/>
  <c r="C2045" i="1"/>
  <c r="A2045" i="1"/>
  <c r="H2044" i="1"/>
  <c r="C2044" i="1"/>
  <c r="A2044" i="1"/>
  <c r="H2043" i="1"/>
  <c r="C2043" i="1"/>
  <c r="A2043" i="1"/>
  <c r="H2042" i="1"/>
  <c r="C2042" i="1"/>
  <c r="A2042" i="1"/>
  <c r="H2041" i="1"/>
  <c r="C2041" i="1"/>
  <c r="A2041" i="1"/>
  <c r="H2040" i="1"/>
  <c r="C2040" i="1"/>
  <c r="A2040" i="1"/>
  <c r="H2039" i="1"/>
  <c r="C2039" i="1"/>
  <c r="A2039" i="1"/>
  <c r="H2038" i="1"/>
  <c r="C2038" i="1"/>
  <c r="A2038" i="1"/>
  <c r="H2037" i="1"/>
  <c r="C2037" i="1"/>
  <c r="A2037" i="1"/>
  <c r="H2036" i="1"/>
  <c r="C2036" i="1"/>
  <c r="A2036" i="1"/>
  <c r="H2035" i="1"/>
  <c r="C2035" i="1"/>
  <c r="A2035" i="1"/>
  <c r="H2034" i="1"/>
  <c r="C2034" i="1"/>
  <c r="A2034" i="1"/>
  <c r="H2033" i="1"/>
  <c r="C2033" i="1"/>
  <c r="A2033" i="1"/>
  <c r="H2032" i="1"/>
  <c r="C2032" i="1"/>
  <c r="A2032" i="1"/>
  <c r="H2031" i="1"/>
  <c r="C2031" i="1"/>
  <c r="A2031" i="1"/>
  <c r="H2030" i="1"/>
  <c r="C2030" i="1"/>
  <c r="A2030" i="1"/>
  <c r="H2029" i="1"/>
  <c r="C2029" i="1"/>
  <c r="A2029" i="1"/>
  <c r="H2028" i="1"/>
  <c r="C2028" i="1"/>
  <c r="A2028" i="1"/>
  <c r="H2027" i="1"/>
  <c r="C2027" i="1"/>
  <c r="A2027" i="1"/>
  <c r="H2026" i="1"/>
  <c r="C2026" i="1"/>
  <c r="A2026" i="1"/>
  <c r="H2025" i="1"/>
  <c r="C2025" i="1"/>
  <c r="A2025" i="1"/>
  <c r="H2024" i="1"/>
  <c r="C2024" i="1"/>
  <c r="A2024" i="1"/>
  <c r="H2023" i="1"/>
  <c r="C2023" i="1"/>
  <c r="A2023" i="1"/>
  <c r="H2022" i="1"/>
  <c r="C2022" i="1"/>
  <c r="A2022" i="1"/>
  <c r="H2021" i="1"/>
  <c r="C2021" i="1"/>
  <c r="A2021" i="1"/>
  <c r="H2020" i="1"/>
  <c r="C2020" i="1"/>
  <c r="A2020" i="1"/>
  <c r="H2019" i="1"/>
  <c r="C2019" i="1"/>
  <c r="A2019" i="1"/>
  <c r="H2018" i="1"/>
  <c r="C2018" i="1"/>
  <c r="A2018" i="1"/>
  <c r="H2017" i="1"/>
  <c r="C2017" i="1"/>
  <c r="A2017" i="1"/>
  <c r="H2016" i="1"/>
  <c r="C2016" i="1"/>
  <c r="A2016" i="1"/>
  <c r="H2015" i="1"/>
  <c r="C2015" i="1"/>
  <c r="A2015" i="1"/>
  <c r="H2014" i="1"/>
  <c r="C2014" i="1"/>
  <c r="A2014" i="1"/>
  <c r="H2013" i="1"/>
  <c r="C2013" i="1"/>
  <c r="A2013" i="1"/>
  <c r="H2012" i="1"/>
  <c r="C2012" i="1"/>
  <c r="A2012" i="1"/>
  <c r="H2011" i="1"/>
  <c r="C2011" i="1"/>
  <c r="A2011" i="1"/>
  <c r="H2010" i="1"/>
  <c r="C2010" i="1"/>
  <c r="A2010" i="1"/>
  <c r="H2009" i="1"/>
  <c r="C2009" i="1"/>
  <c r="A2009" i="1"/>
  <c r="H2008" i="1"/>
  <c r="C2008" i="1"/>
  <c r="A2008" i="1"/>
  <c r="H2007" i="1"/>
  <c r="C2007" i="1"/>
  <c r="A2007" i="1"/>
  <c r="H2006" i="1"/>
  <c r="C2006" i="1"/>
  <c r="A2006" i="1"/>
  <c r="H2005" i="1"/>
  <c r="C2005" i="1"/>
  <c r="A2005" i="1"/>
  <c r="H2004" i="1"/>
  <c r="C2004" i="1"/>
  <c r="A2004" i="1"/>
  <c r="H2003" i="1"/>
  <c r="C2003" i="1"/>
  <c r="A2003" i="1"/>
  <c r="H2002" i="1"/>
  <c r="C2002" i="1"/>
  <c r="A2002" i="1"/>
  <c r="H2001" i="1"/>
  <c r="C2001" i="1"/>
  <c r="A2001" i="1"/>
  <c r="H2000" i="1"/>
  <c r="C2000" i="1"/>
  <c r="A2000" i="1"/>
  <c r="H1999" i="1"/>
  <c r="C1999" i="1"/>
  <c r="A1999" i="1"/>
  <c r="H1998" i="1"/>
  <c r="C1998" i="1"/>
  <c r="A1998" i="1"/>
  <c r="H1997" i="1"/>
  <c r="C1997" i="1"/>
  <c r="A1997" i="1"/>
  <c r="H1996" i="1"/>
  <c r="C1996" i="1"/>
  <c r="A1996" i="1"/>
  <c r="H1995" i="1"/>
  <c r="C1995" i="1"/>
  <c r="A1995" i="1"/>
  <c r="H1994" i="1"/>
  <c r="C1994" i="1"/>
  <c r="A1994" i="1"/>
  <c r="H1993" i="1"/>
  <c r="C1993" i="1"/>
  <c r="A1993" i="1"/>
  <c r="H1992" i="1"/>
  <c r="C1992" i="1"/>
  <c r="A1992" i="1"/>
  <c r="H1991" i="1"/>
  <c r="C1991" i="1"/>
  <c r="A1991" i="1"/>
  <c r="H1990" i="1"/>
  <c r="C1990" i="1"/>
  <c r="A1990" i="1"/>
  <c r="H1989" i="1"/>
  <c r="C1989" i="1"/>
  <c r="A1989" i="1"/>
  <c r="H1988" i="1"/>
  <c r="C1988" i="1"/>
  <c r="A1988" i="1"/>
  <c r="H1987" i="1"/>
  <c r="C1987" i="1"/>
  <c r="A1987" i="1"/>
  <c r="H1986" i="1"/>
  <c r="C1986" i="1"/>
  <c r="A1986" i="1"/>
  <c r="H1985" i="1"/>
  <c r="C1985" i="1"/>
  <c r="A1985" i="1"/>
  <c r="H1984" i="1"/>
  <c r="C1984" i="1"/>
  <c r="A1984" i="1"/>
  <c r="H1983" i="1"/>
  <c r="C1983" i="1"/>
  <c r="A1983" i="1"/>
  <c r="H1982" i="1"/>
  <c r="C1982" i="1"/>
  <c r="A1982" i="1"/>
  <c r="H1981" i="1"/>
  <c r="C1981" i="1"/>
  <c r="A1981" i="1"/>
  <c r="H1980" i="1"/>
  <c r="C1980" i="1"/>
  <c r="A1980" i="1"/>
  <c r="H1979" i="1"/>
  <c r="C1979" i="1"/>
  <c r="A1979" i="1"/>
  <c r="H1978" i="1"/>
  <c r="C1978" i="1"/>
  <c r="A1978" i="1"/>
  <c r="H1977" i="1"/>
  <c r="C1977" i="1"/>
  <c r="A1977" i="1"/>
  <c r="H1976" i="1"/>
  <c r="C1976" i="1"/>
  <c r="A1976" i="1"/>
  <c r="H1975" i="1"/>
  <c r="C1975" i="1"/>
  <c r="A1975" i="1"/>
  <c r="H1974" i="1"/>
  <c r="C1974" i="1"/>
  <c r="A1974" i="1"/>
  <c r="H1973" i="1"/>
  <c r="C1973" i="1"/>
  <c r="A1973" i="1"/>
  <c r="H1972" i="1"/>
  <c r="C1972" i="1"/>
  <c r="A1972" i="1"/>
  <c r="H1971" i="1"/>
  <c r="C1971" i="1"/>
  <c r="A1971" i="1"/>
  <c r="H1970" i="1"/>
  <c r="C1970" i="1"/>
  <c r="A1970" i="1"/>
  <c r="H1969" i="1"/>
  <c r="C1969" i="1"/>
  <c r="A1969" i="1"/>
  <c r="H1968" i="1"/>
  <c r="C1968" i="1"/>
  <c r="A1968" i="1"/>
  <c r="H1967" i="1"/>
  <c r="C1967" i="1"/>
  <c r="A1967" i="1"/>
  <c r="H1966" i="1"/>
  <c r="C1966" i="1"/>
  <c r="A1966" i="1"/>
  <c r="H1965" i="1"/>
  <c r="C1965" i="1"/>
  <c r="A1965" i="1"/>
  <c r="H1964" i="1"/>
  <c r="C1964" i="1"/>
  <c r="A1964" i="1"/>
  <c r="H1963" i="1"/>
  <c r="C1963" i="1"/>
  <c r="A1963" i="1"/>
  <c r="H1962" i="1"/>
  <c r="C1962" i="1"/>
  <c r="A1962" i="1"/>
  <c r="H1961" i="1"/>
  <c r="C1961" i="1"/>
  <c r="A1961" i="1"/>
  <c r="H1960" i="1"/>
  <c r="C1960" i="1"/>
  <c r="A1960" i="1"/>
  <c r="H1959" i="1"/>
  <c r="C1959" i="1"/>
  <c r="A1959" i="1"/>
  <c r="H1958" i="1"/>
  <c r="C1958" i="1"/>
  <c r="A1958" i="1"/>
  <c r="H1957" i="1"/>
  <c r="C1957" i="1"/>
  <c r="A1957" i="1"/>
  <c r="H1956" i="1"/>
  <c r="C1956" i="1"/>
  <c r="A1956" i="1"/>
  <c r="H1955" i="1"/>
  <c r="C1955" i="1"/>
  <c r="A1955" i="1"/>
  <c r="H1954" i="1"/>
  <c r="C1954" i="1"/>
  <c r="A1954" i="1"/>
  <c r="H1953" i="1"/>
  <c r="C1953" i="1"/>
  <c r="A1953" i="1"/>
  <c r="H1952" i="1"/>
  <c r="C1952" i="1"/>
  <c r="A1952" i="1"/>
  <c r="H1951" i="1"/>
  <c r="C1951" i="1"/>
  <c r="A1951" i="1"/>
  <c r="H1950" i="1"/>
  <c r="C1950" i="1"/>
  <c r="A1950" i="1"/>
  <c r="H1949" i="1"/>
  <c r="C1949" i="1"/>
  <c r="A1949" i="1"/>
  <c r="H1948" i="1"/>
  <c r="C1948" i="1"/>
  <c r="A1948" i="1"/>
  <c r="H1947" i="1"/>
  <c r="C1947" i="1"/>
  <c r="A1947" i="1"/>
  <c r="H1946" i="1"/>
  <c r="C1946" i="1"/>
  <c r="A1946" i="1"/>
  <c r="H1945" i="1"/>
  <c r="C1945" i="1"/>
  <c r="A1945" i="1"/>
  <c r="H1944" i="1"/>
  <c r="C1944" i="1"/>
  <c r="A1944" i="1"/>
  <c r="H1943" i="1"/>
  <c r="C1943" i="1"/>
  <c r="A1943" i="1"/>
  <c r="H1942" i="1"/>
  <c r="C1942" i="1"/>
  <c r="A1942" i="1"/>
  <c r="H1941" i="1"/>
  <c r="C1941" i="1"/>
  <c r="A1941" i="1"/>
  <c r="H1940" i="1"/>
  <c r="C1940" i="1"/>
  <c r="A1940" i="1"/>
  <c r="H1939" i="1"/>
  <c r="C1939" i="1"/>
  <c r="A1939" i="1"/>
  <c r="H1938" i="1"/>
  <c r="C1938" i="1"/>
  <c r="A1938" i="1"/>
  <c r="H1937" i="1"/>
  <c r="C1937" i="1"/>
  <c r="A1937" i="1"/>
  <c r="H1936" i="1"/>
  <c r="C1936" i="1"/>
  <c r="A1936" i="1"/>
  <c r="H1935" i="1"/>
  <c r="C1935" i="1"/>
  <c r="A1935" i="1"/>
  <c r="H1934" i="1"/>
  <c r="C1934" i="1"/>
  <c r="A1934" i="1"/>
  <c r="H1933" i="1"/>
  <c r="C1933" i="1"/>
  <c r="A1933" i="1"/>
  <c r="H1932" i="1"/>
  <c r="C1932" i="1"/>
  <c r="A1932" i="1"/>
  <c r="H1931" i="1"/>
  <c r="C1931" i="1"/>
  <c r="A1931" i="1"/>
  <c r="H1930" i="1"/>
  <c r="C1930" i="1"/>
  <c r="A1930" i="1"/>
  <c r="H1929" i="1"/>
  <c r="C1929" i="1"/>
  <c r="A1929" i="1"/>
  <c r="H1928" i="1"/>
  <c r="C1928" i="1"/>
  <c r="A1928" i="1"/>
  <c r="H1927" i="1"/>
  <c r="C1927" i="1"/>
  <c r="A1927" i="1"/>
  <c r="H1926" i="1"/>
  <c r="C1926" i="1"/>
  <c r="A1926" i="1"/>
  <c r="H1925" i="1"/>
  <c r="C1925" i="1"/>
  <c r="A1925" i="1"/>
  <c r="H1924" i="1"/>
  <c r="C1924" i="1"/>
  <c r="A1924" i="1"/>
  <c r="H1923" i="1"/>
  <c r="C1923" i="1"/>
  <c r="A1923" i="1"/>
  <c r="H1922" i="1"/>
  <c r="C1922" i="1"/>
  <c r="A1922" i="1"/>
  <c r="H1921" i="1"/>
  <c r="C1921" i="1"/>
  <c r="A1921" i="1"/>
  <c r="H1920" i="1"/>
  <c r="C1920" i="1"/>
  <c r="A1920" i="1"/>
  <c r="H1919" i="1"/>
  <c r="C1919" i="1"/>
  <c r="A1919" i="1"/>
  <c r="H1918" i="1"/>
  <c r="C1918" i="1"/>
  <c r="A1918" i="1"/>
  <c r="H1917" i="1"/>
  <c r="C1917" i="1"/>
  <c r="A1917" i="1"/>
  <c r="H1916" i="1"/>
  <c r="C1916" i="1"/>
  <c r="A1916" i="1"/>
  <c r="H1915" i="1"/>
  <c r="C1915" i="1"/>
  <c r="A1915" i="1"/>
  <c r="H1914" i="1"/>
  <c r="C1914" i="1"/>
  <c r="A1914" i="1"/>
  <c r="H1913" i="1"/>
  <c r="C1913" i="1"/>
  <c r="A1913" i="1"/>
  <c r="H1912" i="1"/>
  <c r="C1912" i="1"/>
  <c r="A1912" i="1"/>
  <c r="H1911" i="1"/>
  <c r="C1911" i="1"/>
  <c r="A1911" i="1"/>
  <c r="H1910" i="1"/>
  <c r="C1910" i="1"/>
  <c r="A1910" i="1"/>
  <c r="H1909" i="1"/>
  <c r="C1909" i="1"/>
  <c r="A1909" i="1"/>
  <c r="H1908" i="1"/>
  <c r="C1908" i="1"/>
  <c r="A1908" i="1"/>
  <c r="H1907" i="1"/>
  <c r="C1907" i="1"/>
  <c r="A1907" i="1"/>
  <c r="H1906" i="1"/>
  <c r="C1906" i="1"/>
  <c r="A1906" i="1"/>
  <c r="H1905" i="1"/>
  <c r="C1905" i="1"/>
  <c r="A1905" i="1"/>
  <c r="H1904" i="1"/>
  <c r="C1904" i="1"/>
  <c r="A1904" i="1"/>
  <c r="H1903" i="1"/>
  <c r="C1903" i="1"/>
  <c r="A1903" i="1"/>
  <c r="H1902" i="1"/>
  <c r="C1902" i="1"/>
  <c r="A1902" i="1"/>
  <c r="H1901" i="1"/>
  <c r="C1901" i="1"/>
  <c r="A1901" i="1"/>
  <c r="H1900" i="1"/>
  <c r="C1900" i="1"/>
  <c r="A1900" i="1"/>
  <c r="H1899" i="1"/>
  <c r="C1899" i="1"/>
  <c r="A1899" i="1"/>
  <c r="H1898" i="1"/>
  <c r="C1898" i="1"/>
  <c r="A1898" i="1"/>
  <c r="H1897" i="1"/>
  <c r="C1897" i="1"/>
  <c r="A1897" i="1"/>
  <c r="H1896" i="1"/>
  <c r="C1896" i="1"/>
  <c r="A1896" i="1"/>
  <c r="H1895" i="1"/>
  <c r="C1895" i="1"/>
  <c r="A1895" i="1"/>
  <c r="H1894" i="1"/>
  <c r="C1894" i="1"/>
  <c r="A1894" i="1"/>
  <c r="H1893" i="1"/>
  <c r="C1893" i="1"/>
  <c r="A1893" i="1"/>
  <c r="H1892" i="1"/>
  <c r="C1892" i="1"/>
  <c r="A1892" i="1"/>
  <c r="H1891" i="1"/>
  <c r="C1891" i="1"/>
  <c r="A1891" i="1"/>
  <c r="H1890" i="1"/>
  <c r="C1890" i="1"/>
  <c r="A1890" i="1"/>
  <c r="H1889" i="1"/>
  <c r="C1889" i="1"/>
  <c r="A1889" i="1"/>
  <c r="H1888" i="1"/>
  <c r="C1888" i="1"/>
  <c r="A1888" i="1"/>
  <c r="H1887" i="1"/>
  <c r="C1887" i="1"/>
  <c r="A1887" i="1"/>
  <c r="H1886" i="1"/>
  <c r="C1886" i="1"/>
  <c r="A1886" i="1"/>
  <c r="H1885" i="1"/>
  <c r="C1885" i="1"/>
  <c r="A1885" i="1"/>
  <c r="H1884" i="1"/>
  <c r="C1884" i="1"/>
  <c r="A1884" i="1"/>
  <c r="H1883" i="1"/>
  <c r="C1883" i="1"/>
  <c r="A1883" i="1"/>
  <c r="H1882" i="1"/>
  <c r="C1882" i="1"/>
  <c r="A1882" i="1"/>
  <c r="H1881" i="1"/>
  <c r="C1881" i="1"/>
  <c r="A1881" i="1"/>
  <c r="H1880" i="1"/>
  <c r="C1880" i="1"/>
  <c r="A1880" i="1"/>
  <c r="H1879" i="1"/>
  <c r="C1879" i="1"/>
  <c r="A1879" i="1"/>
  <c r="H1878" i="1"/>
  <c r="C1878" i="1"/>
  <c r="A1878" i="1"/>
  <c r="H1877" i="1"/>
  <c r="C1877" i="1"/>
  <c r="A1877" i="1"/>
  <c r="H1876" i="1"/>
  <c r="C1876" i="1"/>
  <c r="A1876" i="1"/>
  <c r="H1875" i="1"/>
  <c r="C1875" i="1"/>
  <c r="A1875" i="1"/>
  <c r="H1874" i="1"/>
  <c r="C1874" i="1"/>
  <c r="A1874" i="1"/>
  <c r="H1873" i="1"/>
  <c r="C1873" i="1"/>
  <c r="A1873" i="1"/>
  <c r="H1872" i="1"/>
  <c r="C1872" i="1"/>
  <c r="A1872" i="1"/>
  <c r="H1871" i="1"/>
  <c r="C1871" i="1"/>
  <c r="A1871" i="1"/>
  <c r="H1870" i="1"/>
  <c r="C1870" i="1"/>
  <c r="A1870" i="1"/>
  <c r="H1869" i="1"/>
  <c r="C1869" i="1"/>
  <c r="A1869" i="1"/>
  <c r="H1868" i="1"/>
  <c r="C1868" i="1"/>
  <c r="A1868" i="1"/>
  <c r="H1867" i="1"/>
  <c r="C1867" i="1"/>
  <c r="A1867" i="1"/>
  <c r="H1866" i="1"/>
  <c r="C1866" i="1"/>
  <c r="A1866" i="1"/>
  <c r="H1865" i="1"/>
  <c r="C1865" i="1"/>
  <c r="A1865" i="1"/>
  <c r="H1864" i="1"/>
  <c r="C1864" i="1"/>
  <c r="A1864" i="1"/>
  <c r="H1863" i="1"/>
  <c r="C1863" i="1"/>
  <c r="A1863" i="1"/>
  <c r="H1862" i="1"/>
  <c r="C1862" i="1"/>
  <c r="A1862" i="1"/>
  <c r="H1861" i="1"/>
  <c r="C1861" i="1"/>
  <c r="A1861" i="1"/>
  <c r="H1860" i="1"/>
  <c r="C1860" i="1"/>
  <c r="A1860" i="1"/>
  <c r="H1859" i="1"/>
  <c r="C1859" i="1"/>
  <c r="A1859" i="1"/>
  <c r="H1858" i="1"/>
  <c r="C1858" i="1"/>
  <c r="A1858" i="1"/>
  <c r="H1857" i="1"/>
  <c r="C1857" i="1"/>
  <c r="A1857" i="1"/>
  <c r="H1856" i="1"/>
  <c r="C1856" i="1"/>
  <c r="A1856" i="1"/>
  <c r="H1855" i="1"/>
  <c r="C1855" i="1"/>
  <c r="A1855" i="1"/>
  <c r="H1854" i="1"/>
  <c r="C1854" i="1"/>
  <c r="A1854" i="1"/>
  <c r="H1853" i="1"/>
  <c r="C1853" i="1"/>
  <c r="A1853" i="1"/>
  <c r="H1852" i="1"/>
  <c r="C1852" i="1"/>
  <c r="A1852" i="1"/>
  <c r="H1851" i="1"/>
  <c r="C1851" i="1"/>
  <c r="A1851" i="1"/>
  <c r="H1850" i="1"/>
  <c r="C1850" i="1"/>
  <c r="A1850" i="1"/>
  <c r="H1849" i="1"/>
  <c r="C1849" i="1"/>
  <c r="A1849" i="1"/>
  <c r="H1848" i="1"/>
  <c r="C1848" i="1"/>
  <c r="A1848" i="1"/>
  <c r="H1847" i="1"/>
  <c r="C1847" i="1"/>
  <c r="A1847" i="1"/>
  <c r="H1846" i="1"/>
  <c r="C1846" i="1"/>
  <c r="A1846" i="1"/>
  <c r="H1845" i="1"/>
  <c r="C1845" i="1"/>
  <c r="A1845" i="1"/>
  <c r="H1844" i="1"/>
  <c r="C1844" i="1"/>
  <c r="A1844" i="1"/>
  <c r="H1843" i="1"/>
  <c r="C1843" i="1"/>
  <c r="A1843" i="1"/>
  <c r="H1842" i="1"/>
  <c r="C1842" i="1"/>
  <c r="A1842" i="1"/>
  <c r="H1841" i="1"/>
  <c r="C1841" i="1"/>
  <c r="A1841" i="1"/>
  <c r="H1840" i="1"/>
  <c r="C1840" i="1"/>
  <c r="A1840" i="1"/>
  <c r="H1839" i="1"/>
  <c r="C1839" i="1"/>
  <c r="A1839" i="1"/>
  <c r="H1838" i="1"/>
  <c r="C1838" i="1"/>
  <c r="A1838" i="1"/>
  <c r="H1837" i="1"/>
  <c r="C1837" i="1"/>
  <c r="A1837" i="1"/>
  <c r="H1836" i="1"/>
  <c r="C1836" i="1"/>
  <c r="A1836" i="1"/>
  <c r="H1835" i="1"/>
  <c r="C1835" i="1"/>
  <c r="A1835" i="1"/>
  <c r="H1834" i="1"/>
  <c r="C1834" i="1"/>
  <c r="A1834" i="1"/>
  <c r="H1833" i="1"/>
  <c r="C1833" i="1"/>
  <c r="A1833" i="1"/>
  <c r="H1832" i="1"/>
  <c r="C1832" i="1"/>
  <c r="A1832" i="1"/>
  <c r="H1831" i="1"/>
  <c r="C1831" i="1"/>
  <c r="A1831" i="1"/>
  <c r="H1830" i="1"/>
  <c r="C1830" i="1"/>
  <c r="A1830" i="1"/>
  <c r="H1829" i="1"/>
  <c r="C1829" i="1"/>
  <c r="A1829" i="1"/>
  <c r="H1828" i="1"/>
  <c r="C1828" i="1"/>
  <c r="A1828" i="1"/>
  <c r="H1827" i="1"/>
  <c r="C1827" i="1"/>
  <c r="A1827" i="1"/>
  <c r="H1826" i="1"/>
  <c r="C1826" i="1"/>
  <c r="A1826" i="1"/>
  <c r="H1825" i="1"/>
  <c r="C1825" i="1"/>
  <c r="A1825" i="1"/>
  <c r="H1824" i="1"/>
  <c r="C1824" i="1"/>
  <c r="A1824" i="1"/>
  <c r="H1823" i="1"/>
  <c r="C1823" i="1"/>
  <c r="A1823" i="1"/>
  <c r="H1822" i="1"/>
  <c r="C1822" i="1"/>
  <c r="A1822" i="1"/>
  <c r="H1821" i="1"/>
  <c r="C1821" i="1"/>
  <c r="A1821" i="1"/>
  <c r="H1820" i="1"/>
  <c r="C1820" i="1"/>
  <c r="A1820" i="1"/>
  <c r="H1819" i="1"/>
  <c r="C1819" i="1"/>
  <c r="A1819" i="1"/>
  <c r="H1818" i="1"/>
  <c r="C1818" i="1"/>
  <c r="A1818" i="1"/>
  <c r="H1817" i="1"/>
  <c r="C1817" i="1"/>
  <c r="A1817" i="1"/>
  <c r="H1816" i="1"/>
  <c r="C1816" i="1"/>
  <c r="A1816" i="1"/>
  <c r="H1815" i="1"/>
  <c r="C1815" i="1"/>
  <c r="A1815" i="1"/>
  <c r="H1814" i="1"/>
  <c r="C1814" i="1"/>
  <c r="A1814" i="1"/>
  <c r="H1813" i="1"/>
  <c r="C1813" i="1"/>
  <c r="A1813" i="1"/>
  <c r="H1812" i="1"/>
  <c r="C1812" i="1"/>
  <c r="A1812" i="1"/>
  <c r="H1811" i="1"/>
  <c r="C1811" i="1"/>
  <c r="A1811" i="1"/>
  <c r="H1810" i="1"/>
  <c r="C1810" i="1"/>
  <c r="A1810" i="1"/>
  <c r="H1809" i="1"/>
  <c r="C1809" i="1"/>
  <c r="A1809" i="1"/>
  <c r="H1808" i="1"/>
  <c r="C1808" i="1"/>
  <c r="A1808" i="1"/>
  <c r="H1807" i="1"/>
  <c r="C1807" i="1"/>
  <c r="A1807" i="1"/>
  <c r="H1806" i="1"/>
  <c r="C1806" i="1"/>
  <c r="A1806" i="1"/>
  <c r="H1805" i="1"/>
  <c r="C1805" i="1"/>
  <c r="A1805" i="1"/>
  <c r="H1804" i="1"/>
  <c r="C1804" i="1"/>
  <c r="A1804" i="1"/>
  <c r="H1803" i="1"/>
  <c r="C1803" i="1"/>
  <c r="A1803" i="1"/>
  <c r="H1802" i="1"/>
  <c r="C1802" i="1"/>
  <c r="A1802" i="1"/>
  <c r="H1801" i="1"/>
  <c r="C1801" i="1"/>
  <c r="A1801" i="1"/>
  <c r="H1800" i="1"/>
  <c r="C1800" i="1"/>
  <c r="A1800" i="1"/>
  <c r="H1799" i="1"/>
  <c r="C1799" i="1"/>
  <c r="A1799" i="1"/>
  <c r="H1798" i="1"/>
  <c r="C1798" i="1"/>
  <c r="A1798" i="1"/>
  <c r="H1797" i="1"/>
  <c r="C1797" i="1"/>
  <c r="A1797" i="1"/>
  <c r="H1796" i="1"/>
  <c r="C1796" i="1"/>
  <c r="A1796" i="1"/>
  <c r="H1795" i="1"/>
  <c r="C1795" i="1"/>
  <c r="A1795" i="1"/>
  <c r="H1794" i="1"/>
  <c r="C1794" i="1"/>
  <c r="A1794" i="1"/>
  <c r="H1793" i="1"/>
  <c r="C1793" i="1"/>
  <c r="A1793" i="1"/>
  <c r="H1792" i="1"/>
  <c r="C1792" i="1"/>
  <c r="A1792" i="1"/>
  <c r="H1791" i="1"/>
  <c r="C1791" i="1"/>
  <c r="A1791" i="1"/>
  <c r="H1790" i="1"/>
  <c r="C1790" i="1"/>
  <c r="A1790" i="1"/>
  <c r="H1789" i="1"/>
  <c r="C1789" i="1"/>
  <c r="A1789" i="1"/>
  <c r="H1788" i="1"/>
  <c r="C1788" i="1"/>
  <c r="A1788" i="1"/>
  <c r="H1787" i="1"/>
  <c r="C1787" i="1"/>
  <c r="A1787" i="1"/>
  <c r="H1786" i="1"/>
  <c r="C1786" i="1"/>
  <c r="A1786" i="1"/>
  <c r="H1785" i="1"/>
  <c r="C1785" i="1"/>
  <c r="A1785" i="1"/>
  <c r="H1784" i="1"/>
  <c r="C1784" i="1"/>
  <c r="A1784" i="1"/>
  <c r="H1783" i="1"/>
  <c r="C1783" i="1"/>
  <c r="A1783" i="1"/>
  <c r="H1782" i="1"/>
  <c r="C1782" i="1"/>
  <c r="A1782" i="1"/>
  <c r="H1781" i="1"/>
  <c r="C1781" i="1"/>
  <c r="A1781" i="1"/>
  <c r="H1780" i="1"/>
  <c r="C1780" i="1"/>
  <c r="A1780" i="1"/>
  <c r="H1779" i="1"/>
  <c r="C1779" i="1"/>
  <c r="A1779" i="1"/>
  <c r="H1778" i="1"/>
  <c r="C1778" i="1"/>
  <c r="A1778" i="1"/>
  <c r="H1777" i="1"/>
  <c r="C1777" i="1"/>
  <c r="A1777" i="1"/>
  <c r="H1776" i="1"/>
  <c r="C1776" i="1"/>
  <c r="A1776" i="1"/>
  <c r="H1775" i="1"/>
  <c r="C1775" i="1"/>
  <c r="A1775" i="1"/>
  <c r="H1774" i="1"/>
  <c r="C1774" i="1"/>
  <c r="A1774" i="1"/>
  <c r="H1773" i="1"/>
  <c r="C1773" i="1"/>
  <c r="A1773" i="1"/>
  <c r="H1772" i="1"/>
  <c r="C1772" i="1"/>
  <c r="A1772" i="1"/>
  <c r="H1771" i="1"/>
  <c r="C1771" i="1"/>
  <c r="A1771" i="1"/>
  <c r="H1770" i="1"/>
  <c r="C1770" i="1"/>
  <c r="A1770" i="1"/>
  <c r="H1769" i="1"/>
  <c r="C1769" i="1"/>
  <c r="A1769" i="1"/>
  <c r="H1768" i="1"/>
  <c r="C1768" i="1"/>
  <c r="A1768" i="1"/>
  <c r="H1767" i="1"/>
  <c r="C1767" i="1"/>
  <c r="A1767" i="1"/>
  <c r="H1766" i="1"/>
  <c r="C1766" i="1"/>
  <c r="A1766" i="1"/>
  <c r="H1765" i="1"/>
  <c r="C1765" i="1"/>
  <c r="A1765" i="1"/>
  <c r="H1764" i="1"/>
  <c r="C1764" i="1"/>
  <c r="A1764" i="1"/>
  <c r="H1763" i="1"/>
  <c r="C1763" i="1"/>
  <c r="A1763" i="1"/>
  <c r="H1762" i="1"/>
  <c r="C1762" i="1"/>
  <c r="A1762" i="1"/>
  <c r="H1761" i="1"/>
  <c r="C1761" i="1"/>
  <c r="A1761" i="1"/>
  <c r="H1760" i="1"/>
  <c r="C1760" i="1"/>
  <c r="A1760" i="1"/>
  <c r="H1759" i="1"/>
  <c r="C1759" i="1"/>
  <c r="A1759" i="1"/>
  <c r="H1758" i="1"/>
  <c r="C1758" i="1"/>
  <c r="A1758" i="1"/>
  <c r="H1757" i="1"/>
  <c r="C1757" i="1"/>
  <c r="A1757" i="1"/>
  <c r="H1756" i="1"/>
  <c r="C1756" i="1"/>
  <c r="A1756" i="1"/>
  <c r="H1755" i="1"/>
  <c r="C1755" i="1"/>
  <c r="A1755" i="1"/>
  <c r="H1754" i="1"/>
  <c r="C1754" i="1"/>
  <c r="A1754" i="1"/>
  <c r="H1753" i="1"/>
  <c r="C1753" i="1"/>
  <c r="A1753" i="1"/>
  <c r="H1752" i="1"/>
  <c r="C1752" i="1"/>
  <c r="A1752" i="1"/>
  <c r="H1751" i="1"/>
  <c r="C1751" i="1"/>
  <c r="A1751" i="1"/>
  <c r="H1750" i="1"/>
  <c r="C1750" i="1"/>
  <c r="A1750" i="1"/>
  <c r="H1749" i="1"/>
  <c r="C1749" i="1"/>
  <c r="A1749" i="1"/>
  <c r="H1748" i="1"/>
  <c r="C1748" i="1"/>
  <c r="A1748" i="1"/>
  <c r="H1747" i="1"/>
  <c r="C1747" i="1"/>
  <c r="A1747" i="1"/>
  <c r="H1746" i="1"/>
  <c r="C1746" i="1"/>
  <c r="A1746" i="1"/>
  <c r="H1745" i="1"/>
  <c r="C1745" i="1"/>
  <c r="A1745" i="1"/>
  <c r="H1744" i="1"/>
  <c r="C1744" i="1"/>
  <c r="A1744" i="1"/>
  <c r="H1743" i="1"/>
  <c r="C1743" i="1"/>
  <c r="A1743" i="1"/>
  <c r="H1742" i="1"/>
  <c r="C1742" i="1"/>
  <c r="A1742" i="1"/>
  <c r="H1741" i="1"/>
  <c r="C1741" i="1"/>
  <c r="A1741" i="1"/>
  <c r="H1740" i="1"/>
  <c r="C1740" i="1"/>
  <c r="A1740" i="1"/>
  <c r="H1739" i="1"/>
  <c r="C1739" i="1"/>
  <c r="A1739" i="1"/>
  <c r="H1738" i="1"/>
  <c r="C1738" i="1"/>
  <c r="A1738" i="1"/>
  <c r="H1737" i="1"/>
  <c r="C1737" i="1"/>
  <c r="A1737" i="1"/>
  <c r="H1736" i="1"/>
  <c r="C1736" i="1"/>
  <c r="A1736" i="1"/>
  <c r="H1735" i="1"/>
  <c r="C1735" i="1"/>
  <c r="A1735" i="1"/>
  <c r="H1734" i="1"/>
  <c r="C1734" i="1"/>
  <c r="A1734" i="1"/>
  <c r="H1733" i="1"/>
  <c r="C1733" i="1"/>
  <c r="A1733" i="1"/>
  <c r="H1732" i="1"/>
  <c r="C1732" i="1"/>
  <c r="A1732" i="1"/>
  <c r="H1731" i="1"/>
  <c r="C1731" i="1"/>
  <c r="A1731" i="1"/>
  <c r="H1730" i="1"/>
  <c r="C1730" i="1"/>
  <c r="A1730" i="1"/>
  <c r="H1729" i="1"/>
  <c r="C1729" i="1"/>
  <c r="A1729" i="1"/>
  <c r="H1728" i="1"/>
  <c r="C1728" i="1"/>
  <c r="A1728" i="1"/>
  <c r="H1727" i="1"/>
  <c r="C1727" i="1"/>
  <c r="A1727" i="1"/>
  <c r="H1726" i="1"/>
  <c r="C1726" i="1"/>
  <c r="A1726" i="1"/>
  <c r="H1725" i="1"/>
  <c r="C1725" i="1"/>
  <c r="A1725" i="1"/>
  <c r="H1724" i="1"/>
  <c r="C1724" i="1"/>
  <c r="A1724" i="1"/>
  <c r="H1723" i="1"/>
  <c r="C1723" i="1"/>
  <c r="A1723" i="1"/>
  <c r="H1722" i="1"/>
  <c r="C1722" i="1"/>
  <c r="A1722" i="1"/>
  <c r="H1721" i="1"/>
  <c r="C1721" i="1"/>
  <c r="A1721" i="1"/>
  <c r="H1720" i="1"/>
  <c r="C1720" i="1"/>
  <c r="A1720" i="1"/>
  <c r="H1719" i="1"/>
  <c r="C1719" i="1"/>
  <c r="A1719" i="1"/>
  <c r="H1718" i="1"/>
  <c r="C1718" i="1"/>
  <c r="A1718" i="1"/>
  <c r="H1717" i="1"/>
  <c r="C1717" i="1"/>
  <c r="A1717" i="1"/>
  <c r="H1716" i="1"/>
  <c r="C1716" i="1"/>
  <c r="A1716" i="1"/>
  <c r="H1715" i="1"/>
  <c r="C1715" i="1"/>
  <c r="A1715" i="1"/>
  <c r="H1714" i="1"/>
  <c r="C1714" i="1"/>
  <c r="A1714" i="1"/>
  <c r="H1713" i="1"/>
  <c r="C1713" i="1"/>
  <c r="A1713" i="1"/>
  <c r="H1712" i="1"/>
  <c r="C1712" i="1"/>
  <c r="A1712" i="1"/>
  <c r="H1711" i="1"/>
  <c r="C1711" i="1"/>
  <c r="A1711" i="1"/>
  <c r="H1710" i="1"/>
  <c r="C1710" i="1"/>
  <c r="A1710" i="1"/>
  <c r="H1709" i="1"/>
  <c r="C1709" i="1"/>
  <c r="A1709" i="1"/>
  <c r="H1708" i="1"/>
  <c r="C1708" i="1"/>
  <c r="A1708" i="1"/>
  <c r="H1707" i="1"/>
  <c r="C1707" i="1"/>
  <c r="A1707" i="1"/>
  <c r="H1706" i="1"/>
  <c r="C1706" i="1"/>
  <c r="A1706" i="1"/>
  <c r="H1705" i="1"/>
  <c r="C1705" i="1"/>
  <c r="A1705" i="1"/>
  <c r="H1704" i="1"/>
  <c r="C1704" i="1"/>
  <c r="A1704" i="1"/>
  <c r="H1703" i="1"/>
  <c r="C1703" i="1"/>
  <c r="A1703" i="1"/>
  <c r="H1702" i="1"/>
  <c r="C1702" i="1"/>
  <c r="A1702" i="1"/>
  <c r="H1701" i="1"/>
  <c r="C1701" i="1"/>
  <c r="A1701" i="1"/>
  <c r="H1700" i="1"/>
  <c r="C1700" i="1"/>
  <c r="A1700" i="1"/>
  <c r="H1699" i="1"/>
  <c r="C1699" i="1"/>
  <c r="A1699" i="1"/>
  <c r="H1698" i="1"/>
  <c r="C1698" i="1"/>
  <c r="A1698" i="1"/>
  <c r="H1697" i="1"/>
  <c r="C1697" i="1"/>
  <c r="A1697" i="1"/>
  <c r="H1696" i="1"/>
  <c r="C1696" i="1"/>
  <c r="A1696" i="1"/>
  <c r="H1695" i="1"/>
  <c r="C1695" i="1"/>
  <c r="A1695" i="1"/>
  <c r="H1694" i="1"/>
  <c r="C1694" i="1"/>
  <c r="A1694" i="1"/>
  <c r="H1693" i="1"/>
  <c r="C1693" i="1"/>
  <c r="A1693" i="1"/>
  <c r="H1692" i="1"/>
  <c r="C1692" i="1"/>
  <c r="A1692" i="1"/>
  <c r="H1691" i="1"/>
  <c r="C1691" i="1"/>
  <c r="A1691" i="1"/>
  <c r="H1690" i="1"/>
  <c r="C1690" i="1"/>
  <c r="A1690" i="1"/>
  <c r="H1689" i="1"/>
  <c r="C1689" i="1"/>
  <c r="A1689" i="1"/>
  <c r="H1688" i="1"/>
  <c r="C1688" i="1"/>
  <c r="A1688" i="1"/>
  <c r="H1687" i="1"/>
  <c r="C1687" i="1"/>
  <c r="A1687" i="1"/>
  <c r="H1686" i="1"/>
  <c r="C1686" i="1"/>
  <c r="A1686" i="1"/>
  <c r="H1685" i="1"/>
  <c r="C1685" i="1"/>
  <c r="A1685" i="1"/>
  <c r="H1684" i="1"/>
  <c r="C1684" i="1"/>
  <c r="A1684" i="1"/>
  <c r="H1683" i="1"/>
  <c r="C1683" i="1"/>
  <c r="A1683" i="1"/>
  <c r="H1682" i="1"/>
  <c r="C1682" i="1"/>
  <c r="A1682" i="1"/>
  <c r="H1681" i="1"/>
  <c r="C1681" i="1"/>
  <c r="A1681" i="1"/>
  <c r="H1680" i="1"/>
  <c r="C1680" i="1"/>
  <c r="A1680" i="1"/>
  <c r="H1679" i="1"/>
  <c r="C1679" i="1"/>
  <c r="A1679" i="1"/>
  <c r="H1678" i="1"/>
  <c r="C1678" i="1"/>
  <c r="A1678" i="1"/>
  <c r="H1677" i="1"/>
  <c r="C1677" i="1"/>
  <c r="A1677" i="1"/>
  <c r="H1676" i="1"/>
  <c r="C1676" i="1"/>
  <c r="A1676" i="1"/>
  <c r="H1675" i="1"/>
  <c r="C1675" i="1"/>
  <c r="A1675" i="1"/>
  <c r="H1674" i="1"/>
  <c r="C1674" i="1"/>
  <c r="A1674" i="1"/>
  <c r="H1673" i="1"/>
  <c r="C1673" i="1"/>
  <c r="A1673" i="1"/>
  <c r="H1672" i="1"/>
  <c r="C1672" i="1"/>
  <c r="A1672" i="1"/>
  <c r="H1671" i="1"/>
  <c r="C1671" i="1"/>
  <c r="A1671" i="1"/>
  <c r="H1670" i="1"/>
  <c r="C1670" i="1"/>
  <c r="A1670" i="1"/>
  <c r="H1669" i="1"/>
  <c r="C1669" i="1"/>
  <c r="A1669" i="1"/>
  <c r="H1668" i="1"/>
  <c r="C1668" i="1"/>
  <c r="A1668" i="1"/>
  <c r="H1667" i="1"/>
  <c r="C1667" i="1"/>
  <c r="A1667" i="1"/>
  <c r="H1666" i="1"/>
  <c r="C1666" i="1"/>
  <c r="A1666" i="1"/>
  <c r="H1665" i="1"/>
  <c r="C1665" i="1"/>
  <c r="A1665" i="1"/>
  <c r="H1664" i="1"/>
  <c r="C1664" i="1"/>
  <c r="A1664" i="1"/>
  <c r="H1663" i="1"/>
  <c r="C1663" i="1"/>
  <c r="A1663" i="1"/>
  <c r="H1662" i="1"/>
  <c r="C1662" i="1"/>
  <c r="A1662" i="1"/>
  <c r="H1661" i="1"/>
  <c r="C1661" i="1"/>
  <c r="A1661" i="1"/>
  <c r="H1660" i="1"/>
  <c r="C1660" i="1"/>
  <c r="A1660" i="1"/>
  <c r="H1659" i="1"/>
  <c r="C1659" i="1"/>
  <c r="A1659" i="1"/>
  <c r="H1658" i="1"/>
  <c r="C1658" i="1"/>
  <c r="A1658" i="1"/>
  <c r="H1657" i="1"/>
  <c r="C1657" i="1"/>
  <c r="A1657" i="1"/>
  <c r="H1656" i="1"/>
  <c r="C1656" i="1"/>
  <c r="A1656" i="1"/>
  <c r="H1655" i="1"/>
  <c r="C1655" i="1"/>
  <c r="A1655" i="1"/>
  <c r="H1654" i="1"/>
  <c r="C1654" i="1"/>
  <c r="A1654" i="1"/>
  <c r="H1653" i="1"/>
  <c r="C1653" i="1"/>
  <c r="A1653" i="1"/>
  <c r="H1652" i="1"/>
  <c r="C1652" i="1"/>
  <c r="A1652" i="1"/>
  <c r="H1651" i="1"/>
  <c r="C1651" i="1"/>
  <c r="A1651" i="1"/>
  <c r="H1650" i="1"/>
  <c r="C1650" i="1"/>
  <c r="A1650" i="1"/>
  <c r="H1649" i="1"/>
  <c r="C1649" i="1"/>
  <c r="A1649" i="1"/>
  <c r="H1648" i="1"/>
  <c r="C1648" i="1"/>
  <c r="A1648" i="1"/>
  <c r="H1647" i="1"/>
  <c r="C1647" i="1"/>
  <c r="A1647" i="1"/>
  <c r="H1646" i="1"/>
  <c r="C1646" i="1"/>
  <c r="A1646" i="1"/>
  <c r="H1645" i="1"/>
  <c r="C1645" i="1"/>
  <c r="A1645" i="1"/>
  <c r="H1644" i="1"/>
  <c r="C1644" i="1"/>
  <c r="A1644" i="1"/>
  <c r="H1643" i="1"/>
  <c r="C1643" i="1"/>
  <c r="A1643" i="1"/>
  <c r="H1642" i="1"/>
  <c r="C1642" i="1"/>
  <c r="A1642" i="1"/>
  <c r="H1641" i="1"/>
  <c r="C1641" i="1"/>
  <c r="A1641" i="1"/>
  <c r="H1640" i="1"/>
  <c r="C1640" i="1"/>
  <c r="A1640" i="1"/>
  <c r="H1639" i="1"/>
  <c r="C1639" i="1"/>
  <c r="A1639" i="1"/>
  <c r="H1638" i="1"/>
  <c r="C1638" i="1"/>
  <c r="A1638" i="1"/>
  <c r="H1637" i="1"/>
  <c r="C1637" i="1"/>
  <c r="A1637" i="1"/>
  <c r="H1636" i="1"/>
  <c r="C1636" i="1"/>
  <c r="A1636" i="1"/>
  <c r="H1635" i="1"/>
  <c r="C1635" i="1"/>
  <c r="A1635" i="1"/>
  <c r="H1634" i="1"/>
  <c r="C1634" i="1"/>
  <c r="A1634" i="1"/>
  <c r="H1633" i="1"/>
  <c r="C1633" i="1"/>
  <c r="A1633" i="1"/>
  <c r="H1632" i="1"/>
  <c r="C1632" i="1"/>
  <c r="A1632" i="1"/>
  <c r="H1631" i="1"/>
  <c r="C1631" i="1"/>
  <c r="A1631" i="1"/>
  <c r="H1630" i="1"/>
  <c r="C1630" i="1"/>
  <c r="A1630" i="1"/>
  <c r="H1629" i="1"/>
  <c r="C1629" i="1"/>
  <c r="A1629" i="1"/>
  <c r="H1628" i="1"/>
  <c r="C1628" i="1"/>
  <c r="A1628" i="1"/>
  <c r="H1627" i="1"/>
  <c r="C1627" i="1"/>
  <c r="A1627" i="1"/>
  <c r="H1626" i="1"/>
  <c r="C1626" i="1"/>
  <c r="A1626" i="1"/>
  <c r="H1625" i="1"/>
  <c r="C1625" i="1"/>
  <c r="A1625" i="1"/>
  <c r="H1624" i="1"/>
  <c r="C1624" i="1"/>
  <c r="A1624" i="1"/>
  <c r="H1623" i="1"/>
  <c r="C1623" i="1"/>
  <c r="A1623" i="1"/>
  <c r="H1622" i="1"/>
  <c r="C1622" i="1"/>
  <c r="A1622" i="1"/>
  <c r="H1621" i="1"/>
  <c r="C1621" i="1"/>
  <c r="A1621" i="1"/>
  <c r="H1620" i="1"/>
  <c r="C1620" i="1"/>
  <c r="A1620" i="1"/>
  <c r="H1619" i="1"/>
  <c r="C1619" i="1"/>
  <c r="A1619" i="1"/>
  <c r="H1618" i="1"/>
  <c r="C1618" i="1"/>
  <c r="A1618" i="1"/>
  <c r="H1617" i="1"/>
  <c r="C1617" i="1"/>
  <c r="A1617" i="1"/>
  <c r="H1616" i="1"/>
  <c r="C1616" i="1"/>
  <c r="A1616" i="1"/>
  <c r="H1615" i="1"/>
  <c r="C1615" i="1"/>
  <c r="A1615" i="1"/>
  <c r="H1614" i="1"/>
  <c r="C1614" i="1"/>
  <c r="A1614" i="1"/>
  <c r="H1613" i="1"/>
  <c r="C1613" i="1"/>
  <c r="A1613" i="1"/>
  <c r="H1612" i="1"/>
  <c r="C1612" i="1"/>
  <c r="A1612" i="1"/>
  <c r="H1611" i="1"/>
  <c r="C1611" i="1"/>
  <c r="A1611" i="1"/>
  <c r="H1610" i="1"/>
  <c r="C1610" i="1"/>
  <c r="A1610" i="1"/>
  <c r="H1609" i="1"/>
  <c r="C1609" i="1"/>
  <c r="A1609" i="1"/>
  <c r="H1608" i="1"/>
  <c r="C1608" i="1"/>
  <c r="A1608" i="1"/>
  <c r="H1607" i="1"/>
  <c r="C1607" i="1"/>
  <c r="A1607" i="1"/>
  <c r="H1606" i="1"/>
  <c r="C1606" i="1"/>
  <c r="A1606" i="1"/>
  <c r="H1605" i="1"/>
  <c r="C1605" i="1"/>
  <c r="A1605" i="1"/>
  <c r="H1604" i="1"/>
  <c r="C1604" i="1"/>
  <c r="A1604" i="1"/>
  <c r="H1603" i="1"/>
  <c r="C1603" i="1"/>
  <c r="A1603" i="1"/>
  <c r="H1602" i="1"/>
  <c r="C1602" i="1"/>
  <c r="A1602" i="1"/>
  <c r="H1601" i="1"/>
  <c r="C1601" i="1"/>
  <c r="A1601" i="1"/>
  <c r="H1600" i="1"/>
  <c r="C1600" i="1"/>
  <c r="A1600" i="1"/>
  <c r="H1599" i="1"/>
  <c r="C1599" i="1"/>
  <c r="A1599" i="1"/>
  <c r="H1598" i="1"/>
  <c r="C1598" i="1"/>
  <c r="A1598" i="1"/>
  <c r="H1597" i="1"/>
  <c r="C1597" i="1"/>
  <c r="A1597" i="1"/>
  <c r="H1596" i="1"/>
  <c r="C1596" i="1"/>
  <c r="A1596" i="1"/>
  <c r="H1595" i="1"/>
  <c r="C1595" i="1"/>
  <c r="A1595" i="1"/>
  <c r="H1594" i="1"/>
  <c r="C1594" i="1"/>
  <c r="A1594" i="1"/>
  <c r="H1593" i="1"/>
  <c r="C1593" i="1"/>
  <c r="A1593" i="1"/>
  <c r="H1592" i="1"/>
  <c r="C1592" i="1"/>
  <c r="A1592" i="1"/>
  <c r="H1591" i="1"/>
  <c r="C1591" i="1"/>
  <c r="A1591" i="1"/>
  <c r="H1590" i="1"/>
  <c r="C1590" i="1"/>
  <c r="A1590" i="1"/>
  <c r="H1589" i="1"/>
  <c r="C1589" i="1"/>
  <c r="A1589" i="1"/>
  <c r="H1588" i="1"/>
  <c r="C1588" i="1"/>
  <c r="A1588" i="1"/>
  <c r="H1587" i="1"/>
  <c r="C1587" i="1"/>
  <c r="A1587" i="1"/>
  <c r="H1586" i="1"/>
  <c r="C1586" i="1"/>
  <c r="A1586" i="1"/>
  <c r="H1585" i="1"/>
  <c r="C1585" i="1"/>
  <c r="A1585" i="1"/>
  <c r="H1584" i="1"/>
  <c r="C1584" i="1"/>
  <c r="A1584" i="1"/>
  <c r="H1583" i="1"/>
  <c r="C1583" i="1"/>
  <c r="A1583" i="1"/>
  <c r="H1582" i="1"/>
  <c r="C1582" i="1"/>
  <c r="A1582" i="1"/>
  <c r="H1581" i="1"/>
  <c r="C1581" i="1"/>
  <c r="A1581" i="1"/>
  <c r="H1580" i="1"/>
  <c r="C1580" i="1"/>
  <c r="A1580" i="1"/>
  <c r="H1579" i="1"/>
  <c r="C1579" i="1"/>
  <c r="A1579" i="1"/>
  <c r="H1578" i="1"/>
  <c r="C1578" i="1"/>
  <c r="A1578" i="1"/>
  <c r="H1577" i="1"/>
  <c r="C1577" i="1"/>
  <c r="A1577" i="1"/>
  <c r="H1576" i="1"/>
  <c r="C1576" i="1"/>
  <c r="A1576" i="1"/>
  <c r="H1575" i="1"/>
  <c r="C1575" i="1"/>
  <c r="A1575" i="1"/>
  <c r="H1574" i="1"/>
  <c r="C1574" i="1"/>
  <c r="A1574" i="1"/>
  <c r="H1573" i="1"/>
  <c r="C1573" i="1"/>
  <c r="A1573" i="1"/>
  <c r="H1572" i="1"/>
  <c r="C1572" i="1"/>
  <c r="A1572" i="1"/>
  <c r="H1571" i="1"/>
  <c r="C1571" i="1"/>
  <c r="A1571" i="1"/>
  <c r="H1570" i="1"/>
  <c r="C1570" i="1"/>
  <c r="A1570" i="1"/>
  <c r="H1569" i="1"/>
  <c r="C1569" i="1"/>
  <c r="A1569" i="1"/>
  <c r="H1568" i="1"/>
  <c r="C1568" i="1"/>
  <c r="A1568" i="1"/>
  <c r="H1567" i="1"/>
  <c r="C1567" i="1"/>
  <c r="A1567" i="1"/>
  <c r="H1566" i="1"/>
  <c r="C1566" i="1"/>
  <c r="A1566" i="1"/>
  <c r="H1565" i="1"/>
  <c r="C1565" i="1"/>
  <c r="A1565" i="1"/>
  <c r="H1564" i="1"/>
  <c r="C1564" i="1"/>
  <c r="A1564" i="1"/>
  <c r="H1563" i="1"/>
  <c r="C1563" i="1"/>
  <c r="A1563" i="1"/>
  <c r="H1562" i="1"/>
  <c r="C1562" i="1"/>
  <c r="A1562" i="1"/>
  <c r="H1561" i="1"/>
  <c r="C1561" i="1"/>
  <c r="A1561" i="1"/>
  <c r="H1560" i="1"/>
  <c r="C1560" i="1"/>
  <c r="A1560" i="1"/>
  <c r="H1559" i="1"/>
  <c r="C1559" i="1"/>
  <c r="A1559" i="1"/>
  <c r="H1558" i="1"/>
  <c r="C1558" i="1"/>
  <c r="A1558" i="1"/>
  <c r="H1557" i="1"/>
  <c r="C1557" i="1"/>
  <c r="A1557" i="1"/>
  <c r="H1556" i="1"/>
  <c r="C1556" i="1"/>
  <c r="A1556" i="1"/>
  <c r="H1555" i="1"/>
  <c r="C1555" i="1"/>
  <c r="A1555" i="1"/>
  <c r="H1554" i="1"/>
  <c r="C1554" i="1"/>
  <c r="A1554" i="1"/>
  <c r="H1553" i="1"/>
  <c r="C1553" i="1"/>
  <c r="A1553" i="1"/>
  <c r="H1552" i="1"/>
  <c r="C1552" i="1"/>
  <c r="A1552" i="1"/>
  <c r="H1551" i="1"/>
  <c r="C1551" i="1"/>
  <c r="A1551" i="1"/>
  <c r="H1550" i="1"/>
  <c r="C1550" i="1"/>
  <c r="A1550" i="1"/>
  <c r="H1549" i="1"/>
  <c r="C1549" i="1"/>
  <c r="A1549" i="1"/>
  <c r="H1548" i="1"/>
  <c r="C1548" i="1"/>
  <c r="A1548" i="1"/>
  <c r="H1547" i="1"/>
  <c r="C1547" i="1"/>
  <c r="A1547" i="1"/>
  <c r="H1546" i="1"/>
  <c r="C1546" i="1"/>
  <c r="A1546" i="1"/>
  <c r="H1545" i="1"/>
  <c r="C1545" i="1"/>
  <c r="A1545" i="1"/>
  <c r="H1544" i="1"/>
  <c r="C1544" i="1"/>
  <c r="A1544" i="1"/>
  <c r="H1543" i="1"/>
  <c r="C1543" i="1"/>
  <c r="A1543" i="1"/>
  <c r="H1542" i="1"/>
  <c r="C1542" i="1"/>
  <c r="A1542" i="1"/>
  <c r="H1541" i="1"/>
  <c r="C1541" i="1"/>
  <c r="A1541" i="1"/>
  <c r="H1540" i="1"/>
  <c r="C1540" i="1"/>
  <c r="A1540" i="1"/>
  <c r="H1539" i="1"/>
  <c r="C1539" i="1"/>
  <c r="A1539" i="1"/>
  <c r="H1538" i="1"/>
  <c r="C1538" i="1"/>
  <c r="A1538" i="1"/>
  <c r="H1537" i="1"/>
  <c r="C1537" i="1"/>
  <c r="A1537" i="1"/>
  <c r="H1536" i="1"/>
  <c r="C1536" i="1"/>
  <c r="A1536" i="1"/>
  <c r="H1535" i="1"/>
  <c r="C1535" i="1"/>
  <c r="A1535" i="1"/>
  <c r="H1534" i="1"/>
  <c r="C1534" i="1"/>
  <c r="A1534" i="1"/>
  <c r="H1533" i="1"/>
  <c r="C1533" i="1"/>
  <c r="A1533" i="1"/>
  <c r="H1532" i="1"/>
  <c r="C1532" i="1"/>
  <c r="A1532" i="1"/>
  <c r="H1531" i="1"/>
  <c r="C1531" i="1"/>
  <c r="A1531" i="1"/>
  <c r="H1530" i="1"/>
  <c r="C1530" i="1"/>
  <c r="A1530" i="1"/>
  <c r="H1529" i="1"/>
  <c r="C1529" i="1"/>
  <c r="A1529" i="1"/>
  <c r="H1528" i="1"/>
  <c r="C1528" i="1"/>
  <c r="A1528" i="1"/>
  <c r="H1527" i="1"/>
  <c r="C1527" i="1"/>
  <c r="A1527" i="1"/>
  <c r="H1526" i="1"/>
  <c r="C1526" i="1"/>
  <c r="A1526" i="1"/>
  <c r="H1525" i="1"/>
  <c r="C1525" i="1"/>
  <c r="A1525" i="1"/>
  <c r="H1524" i="1"/>
  <c r="C1524" i="1"/>
  <c r="A1524" i="1"/>
  <c r="H1523" i="1"/>
  <c r="C1523" i="1"/>
  <c r="A1523" i="1"/>
  <c r="H1522" i="1"/>
  <c r="C1522" i="1"/>
  <c r="A1522" i="1"/>
  <c r="H1521" i="1"/>
  <c r="C1521" i="1"/>
  <c r="A1521" i="1"/>
  <c r="H1520" i="1"/>
  <c r="C1520" i="1"/>
  <c r="A1520" i="1"/>
  <c r="H1519" i="1"/>
  <c r="C1519" i="1"/>
  <c r="A1519" i="1"/>
  <c r="H1518" i="1"/>
  <c r="C1518" i="1"/>
  <c r="A1518" i="1"/>
  <c r="H1517" i="1"/>
  <c r="C1517" i="1"/>
  <c r="A1517" i="1"/>
  <c r="H1516" i="1"/>
  <c r="C1516" i="1"/>
  <c r="A1516" i="1"/>
  <c r="H1515" i="1"/>
  <c r="C1515" i="1"/>
  <c r="A1515" i="1"/>
  <c r="H1514" i="1"/>
  <c r="C1514" i="1"/>
  <c r="A1514" i="1"/>
  <c r="H1513" i="1"/>
  <c r="C1513" i="1"/>
  <c r="A1513" i="1"/>
  <c r="H1512" i="1"/>
  <c r="C1512" i="1"/>
  <c r="A1512" i="1"/>
  <c r="H1511" i="1"/>
  <c r="C1511" i="1"/>
  <c r="A1511" i="1"/>
  <c r="H1510" i="1"/>
  <c r="C1510" i="1"/>
  <c r="A1510" i="1"/>
  <c r="H1509" i="1"/>
  <c r="C1509" i="1"/>
  <c r="A1509" i="1"/>
  <c r="H1508" i="1"/>
  <c r="C1508" i="1"/>
  <c r="A1508" i="1"/>
  <c r="H1507" i="1"/>
  <c r="C1507" i="1"/>
  <c r="A1507" i="1"/>
  <c r="H1506" i="1"/>
  <c r="C1506" i="1"/>
  <c r="A1506" i="1"/>
  <c r="H1505" i="1"/>
  <c r="C1505" i="1"/>
  <c r="A1505" i="1"/>
  <c r="H1504" i="1"/>
  <c r="C1504" i="1"/>
  <c r="A1504" i="1"/>
  <c r="H1503" i="1"/>
  <c r="C1503" i="1"/>
  <c r="A1503" i="1"/>
  <c r="H1502" i="1"/>
  <c r="C1502" i="1"/>
  <c r="A1502" i="1"/>
  <c r="H1501" i="1"/>
  <c r="C1501" i="1"/>
  <c r="A1501" i="1"/>
  <c r="H1500" i="1"/>
  <c r="C1500" i="1"/>
  <c r="A1500" i="1"/>
  <c r="H1499" i="1"/>
  <c r="C1499" i="1"/>
  <c r="A1499" i="1"/>
  <c r="H1498" i="1"/>
  <c r="C1498" i="1"/>
  <c r="A1498" i="1"/>
  <c r="H1497" i="1"/>
  <c r="C1497" i="1"/>
  <c r="A1497" i="1"/>
  <c r="H1496" i="1"/>
  <c r="C1496" i="1"/>
  <c r="A1496" i="1"/>
  <c r="H1495" i="1"/>
  <c r="C1495" i="1"/>
  <c r="A1495" i="1"/>
  <c r="H1494" i="1"/>
  <c r="C1494" i="1"/>
  <c r="A1494" i="1"/>
  <c r="H1493" i="1"/>
  <c r="C1493" i="1"/>
  <c r="A1493" i="1"/>
  <c r="H1492" i="1"/>
  <c r="C1492" i="1"/>
  <c r="A1492" i="1"/>
  <c r="H1491" i="1"/>
  <c r="C1491" i="1"/>
  <c r="A1491" i="1"/>
  <c r="H1490" i="1"/>
  <c r="C1490" i="1"/>
  <c r="A1490" i="1"/>
  <c r="H1489" i="1"/>
  <c r="C1489" i="1"/>
  <c r="A1489" i="1"/>
  <c r="H1488" i="1"/>
  <c r="C1488" i="1"/>
  <c r="A1488" i="1"/>
  <c r="H1487" i="1"/>
  <c r="C1487" i="1"/>
  <c r="A1487" i="1"/>
  <c r="H1486" i="1"/>
  <c r="C1486" i="1"/>
  <c r="A1486" i="1"/>
  <c r="H1485" i="1"/>
  <c r="C1485" i="1"/>
  <c r="A1485" i="1"/>
  <c r="H1484" i="1"/>
  <c r="C1484" i="1"/>
  <c r="A1484" i="1"/>
  <c r="H1483" i="1"/>
  <c r="C1483" i="1"/>
  <c r="A1483" i="1"/>
  <c r="H1482" i="1"/>
  <c r="C1482" i="1"/>
  <c r="A1482" i="1"/>
  <c r="H1481" i="1"/>
  <c r="C1481" i="1"/>
  <c r="A1481" i="1"/>
  <c r="H1480" i="1"/>
  <c r="C1480" i="1"/>
  <c r="A1480" i="1"/>
  <c r="H1479" i="1"/>
  <c r="C1479" i="1"/>
  <c r="A1479" i="1"/>
  <c r="H1478" i="1"/>
  <c r="C1478" i="1"/>
  <c r="A1478" i="1"/>
  <c r="H1477" i="1"/>
  <c r="C1477" i="1"/>
  <c r="A1477" i="1"/>
  <c r="H1476" i="1"/>
  <c r="C1476" i="1"/>
  <c r="A1476" i="1"/>
  <c r="H1475" i="1"/>
  <c r="C1475" i="1"/>
  <c r="A1475" i="1"/>
  <c r="H1474" i="1"/>
  <c r="C1474" i="1"/>
  <c r="A1474" i="1"/>
  <c r="H1473" i="1"/>
  <c r="C1473" i="1"/>
  <c r="A1473" i="1"/>
  <c r="H1472" i="1"/>
  <c r="C1472" i="1"/>
  <c r="A1472" i="1"/>
  <c r="H1471" i="1"/>
  <c r="C1471" i="1"/>
  <c r="A1471" i="1"/>
  <c r="H1470" i="1"/>
  <c r="C1470" i="1"/>
  <c r="A1470" i="1"/>
  <c r="H1469" i="1"/>
  <c r="C1469" i="1"/>
  <c r="A1469" i="1"/>
  <c r="H1468" i="1"/>
  <c r="C1468" i="1"/>
  <c r="A1468" i="1"/>
  <c r="H1467" i="1"/>
  <c r="C1467" i="1"/>
  <c r="A1467" i="1"/>
  <c r="H1466" i="1"/>
  <c r="C1466" i="1"/>
  <c r="A1466" i="1"/>
  <c r="H1465" i="1"/>
  <c r="C1465" i="1"/>
  <c r="A1465" i="1"/>
  <c r="H1464" i="1"/>
  <c r="C1464" i="1"/>
  <c r="A1464" i="1"/>
  <c r="H1463" i="1"/>
  <c r="C1463" i="1"/>
  <c r="A1463" i="1"/>
  <c r="H1462" i="1"/>
  <c r="C1462" i="1"/>
  <c r="A1462" i="1"/>
  <c r="H1461" i="1"/>
  <c r="C1461" i="1"/>
  <c r="A1461" i="1"/>
  <c r="H1460" i="1"/>
  <c r="C1460" i="1"/>
  <c r="A1460" i="1"/>
  <c r="H1459" i="1"/>
  <c r="C1459" i="1"/>
  <c r="A1459" i="1"/>
  <c r="H1458" i="1"/>
  <c r="C1458" i="1"/>
  <c r="A1458" i="1"/>
  <c r="H1457" i="1"/>
  <c r="C1457" i="1"/>
  <c r="A1457" i="1"/>
  <c r="H1456" i="1"/>
  <c r="C1456" i="1"/>
  <c r="A1456" i="1"/>
  <c r="H1455" i="1"/>
  <c r="C1455" i="1"/>
  <c r="A1455" i="1"/>
  <c r="H1454" i="1"/>
  <c r="C1454" i="1"/>
  <c r="A1454" i="1"/>
  <c r="H1453" i="1"/>
  <c r="C1453" i="1"/>
  <c r="A1453" i="1"/>
  <c r="H1452" i="1"/>
  <c r="C1452" i="1"/>
  <c r="A1452" i="1"/>
  <c r="H1451" i="1"/>
  <c r="C1451" i="1"/>
  <c r="A1451" i="1"/>
  <c r="H1450" i="1"/>
  <c r="C1450" i="1"/>
  <c r="A1450" i="1"/>
  <c r="H1449" i="1"/>
  <c r="C1449" i="1"/>
  <c r="A1449" i="1"/>
  <c r="H1448" i="1"/>
  <c r="C1448" i="1"/>
  <c r="A1448" i="1"/>
  <c r="H1447" i="1"/>
  <c r="C1447" i="1"/>
  <c r="A1447" i="1"/>
  <c r="H1446" i="1"/>
  <c r="C1446" i="1"/>
  <c r="A1446" i="1"/>
  <c r="H1445" i="1"/>
  <c r="C1445" i="1"/>
  <c r="A1445" i="1"/>
  <c r="H1444" i="1"/>
  <c r="C1444" i="1"/>
  <c r="A1444" i="1"/>
  <c r="H1443" i="1"/>
  <c r="C1443" i="1"/>
  <c r="A1443" i="1"/>
  <c r="H1442" i="1"/>
  <c r="C1442" i="1"/>
  <c r="A1442" i="1"/>
  <c r="H1441" i="1"/>
  <c r="C1441" i="1"/>
  <c r="A1441" i="1"/>
  <c r="H1440" i="1"/>
  <c r="C1440" i="1"/>
  <c r="A1440" i="1"/>
  <c r="H1439" i="1"/>
  <c r="C1439" i="1"/>
  <c r="A1439" i="1"/>
  <c r="H1438" i="1"/>
  <c r="C1438" i="1"/>
  <c r="A1438" i="1"/>
  <c r="H1437" i="1"/>
  <c r="C1437" i="1"/>
  <c r="A1437" i="1"/>
  <c r="H1436" i="1"/>
  <c r="C1436" i="1"/>
  <c r="A1436" i="1"/>
  <c r="H1435" i="1"/>
  <c r="C1435" i="1"/>
  <c r="A1435" i="1"/>
  <c r="H1434" i="1"/>
  <c r="C1434" i="1"/>
  <c r="A1434" i="1"/>
  <c r="H1433" i="1"/>
  <c r="C1433" i="1"/>
  <c r="A1433" i="1"/>
  <c r="H1432" i="1"/>
  <c r="C1432" i="1"/>
  <c r="A1432" i="1"/>
  <c r="H1431" i="1"/>
  <c r="C1431" i="1"/>
  <c r="A1431" i="1"/>
  <c r="H1430" i="1"/>
  <c r="C1430" i="1"/>
  <c r="A1430" i="1"/>
  <c r="H1429" i="1"/>
  <c r="C1429" i="1"/>
  <c r="A1429" i="1"/>
  <c r="H1428" i="1"/>
  <c r="C1428" i="1"/>
  <c r="A1428" i="1"/>
  <c r="H1427" i="1"/>
  <c r="C1427" i="1"/>
  <c r="A1427" i="1"/>
  <c r="H1426" i="1"/>
  <c r="C1426" i="1"/>
  <c r="A1426" i="1"/>
  <c r="H1425" i="1"/>
  <c r="C1425" i="1"/>
  <c r="A1425" i="1"/>
  <c r="H1424" i="1"/>
  <c r="C1424" i="1"/>
  <c r="A1424" i="1"/>
  <c r="H1423" i="1"/>
  <c r="C1423" i="1"/>
  <c r="A1423" i="1"/>
  <c r="H1422" i="1"/>
  <c r="C1422" i="1"/>
  <c r="A1422" i="1"/>
  <c r="H1421" i="1"/>
  <c r="C1421" i="1"/>
  <c r="A1421" i="1"/>
  <c r="H1420" i="1"/>
  <c r="C1420" i="1"/>
  <c r="A1420" i="1"/>
  <c r="H1419" i="1"/>
  <c r="C1419" i="1"/>
  <c r="A1419" i="1"/>
  <c r="H1418" i="1"/>
  <c r="C1418" i="1"/>
  <c r="A1418" i="1"/>
  <c r="H1417" i="1"/>
  <c r="C1417" i="1"/>
  <c r="A1417" i="1"/>
  <c r="H1416" i="1"/>
  <c r="C1416" i="1"/>
  <c r="A1416" i="1"/>
  <c r="H1415" i="1"/>
  <c r="C1415" i="1"/>
  <c r="A1415" i="1"/>
  <c r="H1414" i="1"/>
  <c r="C1414" i="1"/>
  <c r="A1414" i="1"/>
  <c r="H1413" i="1"/>
  <c r="C1413" i="1"/>
  <c r="A1413" i="1"/>
  <c r="H1412" i="1"/>
  <c r="C1412" i="1"/>
  <c r="A1412" i="1"/>
  <c r="H1411" i="1"/>
  <c r="C1411" i="1"/>
  <c r="A1411" i="1"/>
  <c r="H1410" i="1"/>
  <c r="C1410" i="1"/>
  <c r="A1410" i="1"/>
  <c r="H1409" i="1"/>
  <c r="C1409" i="1"/>
  <c r="A1409" i="1"/>
  <c r="H1408" i="1"/>
  <c r="C1408" i="1"/>
  <c r="A1408" i="1"/>
  <c r="H1407" i="1"/>
  <c r="C1407" i="1"/>
  <c r="A1407" i="1"/>
  <c r="H1406" i="1"/>
  <c r="C1406" i="1"/>
  <c r="A1406" i="1"/>
  <c r="H1405" i="1"/>
  <c r="C1405" i="1"/>
  <c r="A1405" i="1"/>
  <c r="H1404" i="1"/>
  <c r="C1404" i="1"/>
  <c r="A1404" i="1"/>
  <c r="H1403" i="1"/>
  <c r="C1403" i="1"/>
  <c r="A1403" i="1"/>
  <c r="H1402" i="1"/>
  <c r="C1402" i="1"/>
  <c r="A1402" i="1"/>
  <c r="H1401" i="1"/>
  <c r="C1401" i="1"/>
  <c r="A1401" i="1"/>
  <c r="H1400" i="1"/>
  <c r="C1400" i="1"/>
  <c r="A1400" i="1"/>
  <c r="H1399" i="1"/>
  <c r="C1399" i="1"/>
  <c r="A1399" i="1"/>
  <c r="H1398" i="1"/>
  <c r="C1398" i="1"/>
  <c r="A1398" i="1"/>
  <c r="H1397" i="1"/>
  <c r="C1397" i="1"/>
  <c r="A1397" i="1"/>
  <c r="H1396" i="1"/>
  <c r="C1396" i="1"/>
  <c r="A1396" i="1"/>
  <c r="H1395" i="1"/>
  <c r="C1395" i="1"/>
  <c r="A1395" i="1"/>
  <c r="H1394" i="1"/>
  <c r="C1394" i="1"/>
  <c r="A1394" i="1"/>
  <c r="H1393" i="1"/>
  <c r="C1393" i="1"/>
  <c r="A1393" i="1"/>
  <c r="H1392" i="1"/>
  <c r="C1392" i="1"/>
  <c r="A1392" i="1"/>
  <c r="H1391" i="1"/>
  <c r="C1391" i="1"/>
  <c r="A1391" i="1"/>
  <c r="H1390" i="1"/>
  <c r="C1390" i="1"/>
  <c r="A1390" i="1"/>
  <c r="H1389" i="1"/>
  <c r="C1389" i="1"/>
  <c r="A1389" i="1"/>
  <c r="H1388" i="1"/>
  <c r="C1388" i="1"/>
  <c r="A1388" i="1"/>
  <c r="H1387" i="1"/>
  <c r="C1387" i="1"/>
  <c r="A1387" i="1"/>
  <c r="H1386" i="1"/>
  <c r="C1386" i="1"/>
  <c r="A1386" i="1"/>
  <c r="H1385" i="1"/>
  <c r="C1385" i="1"/>
  <c r="A1385" i="1"/>
  <c r="H1384" i="1"/>
  <c r="C1384" i="1"/>
  <c r="A1384" i="1"/>
  <c r="H1383" i="1"/>
  <c r="C1383" i="1"/>
  <c r="A1383" i="1"/>
  <c r="H1382" i="1"/>
  <c r="C1382" i="1"/>
  <c r="A1382" i="1"/>
  <c r="H1381" i="1"/>
  <c r="C1381" i="1"/>
  <c r="A1381" i="1"/>
  <c r="H1380" i="1"/>
  <c r="C1380" i="1"/>
  <c r="A1380" i="1"/>
  <c r="H1379" i="1"/>
  <c r="C1379" i="1"/>
  <c r="A1379" i="1"/>
  <c r="H1378" i="1"/>
  <c r="C1378" i="1"/>
  <c r="A1378" i="1"/>
  <c r="H1377" i="1"/>
  <c r="C1377" i="1"/>
  <c r="A1377" i="1"/>
  <c r="H1376" i="1"/>
  <c r="C1376" i="1"/>
  <c r="A1376" i="1"/>
  <c r="H1375" i="1"/>
  <c r="C1375" i="1"/>
  <c r="A1375" i="1"/>
  <c r="H1374" i="1"/>
  <c r="C1374" i="1"/>
  <c r="A1374" i="1"/>
  <c r="H1373" i="1"/>
  <c r="C1373" i="1"/>
  <c r="A1373" i="1"/>
  <c r="H1372" i="1"/>
  <c r="C1372" i="1"/>
  <c r="A1372" i="1"/>
  <c r="H1371" i="1"/>
  <c r="C1371" i="1"/>
  <c r="A1371" i="1"/>
  <c r="H1370" i="1"/>
  <c r="C1370" i="1"/>
  <c r="A1370" i="1"/>
  <c r="H1369" i="1"/>
  <c r="C1369" i="1"/>
  <c r="A1369" i="1"/>
  <c r="H1368" i="1"/>
  <c r="C1368" i="1"/>
  <c r="A1368" i="1"/>
  <c r="H1367" i="1"/>
  <c r="C1367" i="1"/>
  <c r="A1367" i="1"/>
  <c r="H1366" i="1"/>
  <c r="C1366" i="1"/>
  <c r="A1366" i="1"/>
  <c r="H1365" i="1"/>
  <c r="C1365" i="1"/>
  <c r="A1365" i="1"/>
  <c r="H1364" i="1"/>
  <c r="C1364" i="1"/>
  <c r="A1364" i="1"/>
  <c r="H1363" i="1"/>
  <c r="C1363" i="1"/>
  <c r="A1363" i="1"/>
  <c r="H1362" i="1"/>
  <c r="C1362" i="1"/>
  <c r="A1362" i="1"/>
  <c r="H1361" i="1"/>
  <c r="C1361" i="1"/>
  <c r="A1361" i="1"/>
  <c r="H1360" i="1"/>
  <c r="C1360" i="1"/>
  <c r="A1360" i="1"/>
  <c r="H1359" i="1"/>
  <c r="C1359" i="1"/>
  <c r="A1359" i="1"/>
  <c r="H1358" i="1"/>
  <c r="C1358" i="1"/>
  <c r="A1358" i="1"/>
  <c r="H1357" i="1"/>
  <c r="C1357" i="1"/>
  <c r="A1357" i="1"/>
  <c r="H1356" i="1"/>
  <c r="C1356" i="1"/>
  <c r="A1356" i="1"/>
  <c r="H1355" i="1"/>
  <c r="C1355" i="1"/>
  <c r="A1355" i="1"/>
  <c r="H1354" i="1"/>
  <c r="C1354" i="1"/>
  <c r="A1354" i="1"/>
  <c r="H1353" i="1"/>
  <c r="C1353" i="1"/>
  <c r="A1353" i="1"/>
  <c r="H1352" i="1"/>
  <c r="C1352" i="1"/>
  <c r="A1352" i="1"/>
  <c r="H1351" i="1"/>
  <c r="C1351" i="1"/>
  <c r="A1351" i="1"/>
  <c r="H1350" i="1"/>
  <c r="C1350" i="1"/>
  <c r="A1350" i="1"/>
  <c r="H1349" i="1"/>
  <c r="C1349" i="1"/>
  <c r="A1349" i="1"/>
  <c r="H1348" i="1"/>
  <c r="C1348" i="1"/>
  <c r="A1348" i="1"/>
  <c r="H1347" i="1"/>
  <c r="C1347" i="1"/>
  <c r="A1347" i="1"/>
  <c r="H1346" i="1"/>
  <c r="C1346" i="1"/>
  <c r="A1346" i="1"/>
  <c r="H1345" i="1"/>
  <c r="C1345" i="1"/>
  <c r="A1345" i="1"/>
  <c r="H1344" i="1"/>
  <c r="C1344" i="1"/>
  <c r="A1344" i="1"/>
  <c r="H1343" i="1"/>
  <c r="C1343" i="1"/>
  <c r="A1343" i="1"/>
  <c r="H1342" i="1"/>
  <c r="C1342" i="1"/>
  <c r="A1342" i="1"/>
  <c r="H1341" i="1"/>
  <c r="C1341" i="1"/>
  <c r="A1341" i="1"/>
  <c r="H1340" i="1"/>
  <c r="C1340" i="1"/>
  <c r="A1340" i="1"/>
  <c r="H1339" i="1"/>
  <c r="C1339" i="1"/>
  <c r="A1339" i="1"/>
  <c r="H1338" i="1"/>
  <c r="C1338" i="1"/>
  <c r="A1338" i="1"/>
  <c r="H1337" i="1"/>
  <c r="C1337" i="1"/>
  <c r="A1337" i="1"/>
  <c r="H1336" i="1"/>
  <c r="C1336" i="1"/>
  <c r="A1336" i="1"/>
  <c r="H1335" i="1"/>
  <c r="C1335" i="1"/>
  <c r="A1335" i="1"/>
  <c r="H1334" i="1"/>
  <c r="C1334" i="1"/>
  <c r="A1334" i="1"/>
  <c r="H1333" i="1"/>
  <c r="C1333" i="1"/>
  <c r="A1333" i="1"/>
  <c r="H1332" i="1"/>
  <c r="C1332" i="1"/>
  <c r="A1332" i="1"/>
  <c r="H1331" i="1"/>
  <c r="C1331" i="1"/>
  <c r="A1331" i="1"/>
  <c r="H1330" i="1"/>
  <c r="C1330" i="1"/>
  <c r="A1330" i="1"/>
  <c r="H1329" i="1"/>
  <c r="C1329" i="1"/>
  <c r="A1329" i="1"/>
  <c r="H1328" i="1"/>
  <c r="C1328" i="1"/>
  <c r="A1328" i="1"/>
  <c r="H1327" i="1"/>
  <c r="C1327" i="1"/>
  <c r="A1327" i="1"/>
  <c r="H1326" i="1"/>
  <c r="C1326" i="1"/>
  <c r="A1326" i="1"/>
  <c r="H1325" i="1"/>
  <c r="C1325" i="1"/>
  <c r="A1325" i="1"/>
  <c r="H1324" i="1"/>
  <c r="C1324" i="1"/>
  <c r="A1324" i="1"/>
  <c r="H1323" i="1"/>
  <c r="C1323" i="1"/>
  <c r="A1323" i="1"/>
  <c r="H1322" i="1"/>
  <c r="C1322" i="1"/>
  <c r="A1322" i="1"/>
  <c r="H1321" i="1"/>
  <c r="C1321" i="1"/>
  <c r="A1321" i="1"/>
  <c r="H1320" i="1"/>
  <c r="C1320" i="1"/>
  <c r="A1320" i="1"/>
  <c r="H1319" i="1"/>
  <c r="C1319" i="1"/>
  <c r="A1319" i="1"/>
  <c r="H1318" i="1"/>
  <c r="C1318" i="1"/>
  <c r="A1318" i="1"/>
  <c r="H1317" i="1"/>
  <c r="C1317" i="1"/>
  <c r="A1317" i="1"/>
  <c r="H1316" i="1"/>
  <c r="C1316" i="1"/>
  <c r="A1316" i="1"/>
  <c r="H1315" i="1"/>
  <c r="C1315" i="1"/>
  <c r="A1315" i="1"/>
  <c r="H1314" i="1"/>
  <c r="C1314" i="1"/>
  <c r="A1314" i="1"/>
  <c r="H1313" i="1"/>
  <c r="C1313" i="1"/>
  <c r="A1313" i="1"/>
  <c r="H1312" i="1"/>
  <c r="C1312" i="1"/>
  <c r="A1312" i="1"/>
  <c r="H1311" i="1"/>
  <c r="C1311" i="1"/>
  <c r="A1311" i="1"/>
  <c r="H1310" i="1"/>
  <c r="C1310" i="1"/>
  <c r="A1310" i="1"/>
  <c r="H1309" i="1"/>
  <c r="C1309" i="1"/>
  <c r="A1309" i="1"/>
  <c r="H1308" i="1"/>
  <c r="C1308" i="1"/>
  <c r="A1308" i="1"/>
  <c r="H1307" i="1"/>
  <c r="C1307" i="1"/>
  <c r="A1307" i="1"/>
  <c r="H1306" i="1"/>
  <c r="C1306" i="1"/>
  <c r="A1306" i="1"/>
  <c r="H1305" i="1"/>
  <c r="C1305" i="1"/>
  <c r="A1305" i="1"/>
  <c r="H1304" i="1"/>
  <c r="C1304" i="1"/>
  <c r="A1304" i="1"/>
  <c r="H1303" i="1"/>
  <c r="C1303" i="1"/>
  <c r="A1303" i="1"/>
  <c r="H1302" i="1"/>
  <c r="C1302" i="1"/>
  <c r="A1302" i="1"/>
  <c r="H1301" i="1"/>
  <c r="C1301" i="1"/>
  <c r="A1301" i="1"/>
  <c r="H1300" i="1"/>
  <c r="C1300" i="1"/>
  <c r="A1300" i="1"/>
  <c r="H1299" i="1"/>
  <c r="C1299" i="1"/>
  <c r="A1299" i="1"/>
  <c r="H1298" i="1"/>
  <c r="C1298" i="1"/>
  <c r="A1298" i="1"/>
  <c r="H1297" i="1"/>
  <c r="C1297" i="1"/>
  <c r="A1297" i="1"/>
  <c r="H1296" i="1"/>
  <c r="C1296" i="1"/>
  <c r="A1296" i="1"/>
  <c r="H1295" i="1"/>
  <c r="C1295" i="1"/>
  <c r="A1295" i="1"/>
  <c r="H1294" i="1"/>
  <c r="C1294" i="1"/>
  <c r="A1294" i="1"/>
  <c r="H1293" i="1"/>
  <c r="C1293" i="1"/>
  <c r="A1293" i="1"/>
  <c r="H1292" i="1"/>
  <c r="C1292" i="1"/>
  <c r="A1292" i="1"/>
  <c r="H1291" i="1"/>
  <c r="C1291" i="1"/>
  <c r="A1291" i="1"/>
  <c r="H1290" i="1"/>
  <c r="C1290" i="1"/>
  <c r="A1290" i="1"/>
  <c r="H1289" i="1"/>
  <c r="C1289" i="1"/>
  <c r="A1289" i="1"/>
  <c r="H1288" i="1"/>
  <c r="C1288" i="1"/>
  <c r="A1288" i="1"/>
  <c r="H1287" i="1"/>
  <c r="C1287" i="1"/>
  <c r="A1287" i="1"/>
  <c r="H1286" i="1"/>
  <c r="C1286" i="1"/>
  <c r="A1286" i="1"/>
  <c r="H1285" i="1"/>
  <c r="C1285" i="1"/>
  <c r="A1285" i="1"/>
  <c r="H1284" i="1"/>
  <c r="C1284" i="1"/>
  <c r="A1284" i="1"/>
  <c r="H1283" i="1"/>
  <c r="C1283" i="1"/>
  <c r="A1283" i="1"/>
  <c r="H1282" i="1"/>
  <c r="C1282" i="1"/>
  <c r="A1282" i="1"/>
  <c r="H1281" i="1"/>
  <c r="C1281" i="1"/>
  <c r="A1281" i="1"/>
  <c r="H1280" i="1"/>
  <c r="C1280" i="1"/>
  <c r="A1280" i="1"/>
  <c r="H1279" i="1"/>
  <c r="C1279" i="1"/>
  <c r="A1279" i="1"/>
  <c r="H1278" i="1"/>
  <c r="C1278" i="1"/>
  <c r="A1278" i="1"/>
  <c r="H1277" i="1"/>
  <c r="C1277" i="1"/>
  <c r="A1277" i="1"/>
  <c r="H1276" i="1"/>
  <c r="C1276" i="1"/>
  <c r="A1276" i="1"/>
  <c r="H1275" i="1"/>
  <c r="C1275" i="1"/>
  <c r="A1275" i="1"/>
  <c r="H1274" i="1"/>
  <c r="C1274" i="1"/>
  <c r="A1274" i="1"/>
  <c r="H1273" i="1"/>
  <c r="C1273" i="1"/>
  <c r="A1273" i="1"/>
  <c r="H1272" i="1"/>
  <c r="C1272" i="1"/>
  <c r="A1272" i="1"/>
  <c r="H1271" i="1"/>
  <c r="C1271" i="1"/>
  <c r="A1271" i="1"/>
  <c r="H1270" i="1"/>
  <c r="C1270" i="1"/>
  <c r="A1270" i="1"/>
  <c r="H1269" i="1"/>
  <c r="C1269" i="1"/>
  <c r="A1269" i="1"/>
  <c r="H1268" i="1"/>
  <c r="C1268" i="1"/>
  <c r="A1268" i="1"/>
  <c r="H1267" i="1"/>
  <c r="C1267" i="1"/>
  <c r="A1267" i="1"/>
  <c r="H1266" i="1"/>
  <c r="C1266" i="1"/>
  <c r="A1266" i="1"/>
  <c r="H1265" i="1"/>
  <c r="C1265" i="1"/>
  <c r="A1265" i="1"/>
  <c r="H1264" i="1"/>
  <c r="C1264" i="1"/>
  <c r="A1264" i="1"/>
  <c r="H1263" i="1"/>
  <c r="C1263" i="1"/>
  <c r="A1263" i="1"/>
  <c r="H1262" i="1"/>
  <c r="C1262" i="1"/>
  <c r="A1262" i="1"/>
  <c r="H1261" i="1"/>
  <c r="C1261" i="1"/>
  <c r="A1261" i="1"/>
  <c r="H1260" i="1"/>
  <c r="C1260" i="1"/>
  <c r="A1260" i="1"/>
  <c r="H1259" i="1"/>
  <c r="C1259" i="1"/>
  <c r="A1259" i="1"/>
  <c r="H1258" i="1"/>
  <c r="C1258" i="1"/>
  <c r="A1258" i="1"/>
  <c r="H1257" i="1"/>
  <c r="C1257" i="1"/>
  <c r="A1257" i="1"/>
  <c r="H1256" i="1"/>
  <c r="C1256" i="1"/>
  <c r="A1256" i="1"/>
  <c r="H1255" i="1"/>
  <c r="C1255" i="1"/>
  <c r="A1255" i="1"/>
  <c r="H1254" i="1"/>
  <c r="C1254" i="1"/>
  <c r="A1254" i="1"/>
  <c r="H1253" i="1"/>
  <c r="C1253" i="1"/>
  <c r="A1253" i="1"/>
  <c r="H1252" i="1"/>
  <c r="C1252" i="1"/>
  <c r="A1252" i="1"/>
  <c r="H1251" i="1"/>
  <c r="C1251" i="1"/>
  <c r="A1251" i="1"/>
  <c r="H1250" i="1"/>
  <c r="C1250" i="1"/>
  <c r="A1250" i="1"/>
  <c r="H1249" i="1"/>
  <c r="C1249" i="1"/>
  <c r="A1249" i="1"/>
  <c r="H1248" i="1"/>
  <c r="C1248" i="1"/>
  <c r="A1248" i="1"/>
  <c r="H1247" i="1"/>
  <c r="C1247" i="1"/>
  <c r="A1247" i="1"/>
  <c r="H1246" i="1"/>
  <c r="C1246" i="1"/>
  <c r="A1246" i="1"/>
  <c r="H1245" i="1"/>
  <c r="C1245" i="1"/>
  <c r="A1245" i="1"/>
  <c r="H1244" i="1"/>
  <c r="C1244" i="1"/>
  <c r="A1244" i="1"/>
  <c r="H1243" i="1"/>
  <c r="C1243" i="1"/>
  <c r="A1243" i="1"/>
  <c r="H1242" i="1"/>
  <c r="C1242" i="1"/>
  <c r="A1242" i="1"/>
  <c r="H1241" i="1"/>
  <c r="C1241" i="1"/>
  <c r="A1241" i="1"/>
  <c r="H1240" i="1"/>
  <c r="C1240" i="1"/>
  <c r="A1240" i="1"/>
  <c r="H1239" i="1"/>
  <c r="C1239" i="1"/>
  <c r="A1239" i="1"/>
  <c r="H1238" i="1"/>
  <c r="C1238" i="1"/>
  <c r="A1238" i="1"/>
  <c r="H1237" i="1"/>
  <c r="C1237" i="1"/>
  <c r="A1237" i="1"/>
  <c r="H1236" i="1"/>
  <c r="C1236" i="1"/>
  <c r="A1236" i="1"/>
  <c r="H1235" i="1"/>
  <c r="C1235" i="1"/>
  <c r="A1235" i="1"/>
  <c r="H1234" i="1"/>
  <c r="C1234" i="1"/>
  <c r="A1234" i="1"/>
  <c r="H1233" i="1"/>
  <c r="C1233" i="1"/>
  <c r="A1233" i="1"/>
  <c r="H1232" i="1"/>
  <c r="C1232" i="1"/>
  <c r="A1232" i="1"/>
  <c r="H1231" i="1"/>
  <c r="C1231" i="1"/>
  <c r="A1231" i="1"/>
  <c r="H1230" i="1"/>
  <c r="C1230" i="1"/>
  <c r="A1230" i="1"/>
  <c r="H1229" i="1"/>
  <c r="C1229" i="1"/>
  <c r="A1229" i="1"/>
  <c r="H1228" i="1"/>
  <c r="C1228" i="1"/>
  <c r="A1228" i="1"/>
  <c r="H1227" i="1"/>
  <c r="C1227" i="1"/>
  <c r="A1227" i="1"/>
  <c r="H1226" i="1"/>
  <c r="C1226" i="1"/>
  <c r="A1226" i="1"/>
  <c r="H1225" i="1"/>
  <c r="C1225" i="1"/>
  <c r="A1225" i="1"/>
  <c r="H1224" i="1"/>
  <c r="C1224" i="1"/>
  <c r="A1224" i="1"/>
  <c r="H1223" i="1"/>
  <c r="C1223" i="1"/>
  <c r="A1223" i="1"/>
  <c r="H1222" i="1"/>
  <c r="C1222" i="1"/>
  <c r="A1222" i="1"/>
  <c r="H1221" i="1"/>
  <c r="C1221" i="1"/>
  <c r="A1221" i="1"/>
  <c r="H1220" i="1"/>
  <c r="C1220" i="1"/>
  <c r="A1220" i="1"/>
  <c r="H1219" i="1"/>
  <c r="C1219" i="1"/>
  <c r="A1219" i="1"/>
  <c r="H1218" i="1"/>
  <c r="C1218" i="1"/>
  <c r="A1218" i="1"/>
  <c r="H1217" i="1"/>
  <c r="C1217" i="1"/>
  <c r="A1217" i="1"/>
  <c r="H1216" i="1"/>
  <c r="C1216" i="1"/>
  <c r="A1216" i="1"/>
  <c r="H1215" i="1"/>
  <c r="C1215" i="1"/>
  <c r="A1215" i="1"/>
  <c r="H1214" i="1"/>
  <c r="C1214" i="1"/>
  <c r="A1214" i="1"/>
  <c r="H1213" i="1"/>
  <c r="C1213" i="1"/>
  <c r="A1213" i="1"/>
  <c r="H1212" i="1"/>
  <c r="C1212" i="1"/>
  <c r="A1212" i="1"/>
  <c r="H1211" i="1"/>
  <c r="C1211" i="1"/>
  <c r="A1211" i="1"/>
  <c r="H1210" i="1"/>
  <c r="C1210" i="1"/>
  <c r="A1210" i="1"/>
  <c r="H1209" i="1"/>
  <c r="C1209" i="1"/>
  <c r="A1209" i="1"/>
  <c r="H1208" i="1"/>
  <c r="C1208" i="1"/>
  <c r="A1208" i="1"/>
  <c r="H1207" i="1"/>
  <c r="C1207" i="1"/>
  <c r="A1207" i="1"/>
  <c r="H1206" i="1"/>
  <c r="C1206" i="1"/>
  <c r="A1206" i="1"/>
  <c r="H1205" i="1"/>
  <c r="C1205" i="1"/>
  <c r="A1205" i="1"/>
  <c r="H1204" i="1"/>
  <c r="C1204" i="1"/>
  <c r="A1204" i="1"/>
  <c r="H1203" i="1"/>
  <c r="C1203" i="1"/>
  <c r="A1203" i="1"/>
  <c r="H1202" i="1"/>
  <c r="C1202" i="1"/>
  <c r="A1202" i="1"/>
  <c r="H1201" i="1"/>
  <c r="C1201" i="1"/>
  <c r="A1201" i="1"/>
  <c r="H1200" i="1"/>
  <c r="C1200" i="1"/>
  <c r="A1200" i="1"/>
  <c r="H1199" i="1"/>
  <c r="C1199" i="1"/>
  <c r="A1199" i="1"/>
  <c r="H1198" i="1"/>
  <c r="C1198" i="1"/>
  <c r="A1198" i="1"/>
  <c r="H1197" i="1"/>
  <c r="C1197" i="1"/>
  <c r="A1197" i="1"/>
  <c r="H1196" i="1"/>
  <c r="C1196" i="1"/>
  <c r="A1196" i="1"/>
  <c r="H1195" i="1"/>
  <c r="C1195" i="1"/>
  <c r="A1195" i="1"/>
  <c r="H1194" i="1"/>
  <c r="C1194" i="1"/>
  <c r="A1194" i="1"/>
  <c r="H1193" i="1"/>
  <c r="C1193" i="1"/>
  <c r="A1193" i="1"/>
  <c r="H1192" i="1"/>
  <c r="C1192" i="1"/>
  <c r="A1192" i="1"/>
  <c r="H1191" i="1"/>
  <c r="C1191" i="1"/>
  <c r="A1191" i="1"/>
  <c r="H1190" i="1"/>
  <c r="C1190" i="1"/>
  <c r="A1190" i="1"/>
  <c r="H1189" i="1"/>
  <c r="C1189" i="1"/>
  <c r="A1189" i="1"/>
  <c r="H1188" i="1"/>
  <c r="C1188" i="1"/>
  <c r="A1188" i="1"/>
  <c r="H1187" i="1"/>
  <c r="C1187" i="1"/>
  <c r="A1187" i="1"/>
  <c r="H1186" i="1"/>
  <c r="C1186" i="1"/>
  <c r="A1186" i="1"/>
  <c r="H1185" i="1"/>
  <c r="C1185" i="1"/>
  <c r="A1185" i="1"/>
  <c r="H1184" i="1"/>
  <c r="C1184" i="1"/>
  <c r="A1184" i="1"/>
  <c r="H1183" i="1"/>
  <c r="C1183" i="1"/>
  <c r="A1183" i="1"/>
  <c r="H1182" i="1"/>
  <c r="C1182" i="1"/>
  <c r="A1182" i="1"/>
  <c r="H1181" i="1"/>
  <c r="C1181" i="1"/>
  <c r="A1181" i="1"/>
  <c r="H1180" i="1"/>
  <c r="C1180" i="1"/>
  <c r="A1180" i="1"/>
  <c r="H1179" i="1"/>
  <c r="C1179" i="1"/>
  <c r="A1179" i="1"/>
  <c r="H1178" i="1"/>
  <c r="C1178" i="1"/>
  <c r="A1178" i="1"/>
  <c r="H1177" i="1"/>
  <c r="C1177" i="1"/>
  <c r="A1177" i="1"/>
  <c r="H1176" i="1"/>
  <c r="C1176" i="1"/>
  <c r="A1176" i="1"/>
  <c r="H1175" i="1"/>
  <c r="C1175" i="1"/>
  <c r="A1175" i="1"/>
  <c r="H1174" i="1"/>
  <c r="C1174" i="1"/>
  <c r="A1174" i="1"/>
  <c r="H1173" i="1"/>
  <c r="C1173" i="1"/>
  <c r="A1173" i="1"/>
  <c r="H1172" i="1"/>
  <c r="C1172" i="1"/>
  <c r="A1172" i="1"/>
  <c r="H1171" i="1"/>
  <c r="C1171" i="1"/>
  <c r="A1171" i="1"/>
  <c r="H1170" i="1"/>
  <c r="C1170" i="1"/>
  <c r="A1170" i="1"/>
  <c r="H1169" i="1"/>
  <c r="C1169" i="1"/>
  <c r="A1169" i="1"/>
  <c r="H1168" i="1"/>
  <c r="C1168" i="1"/>
  <c r="A1168" i="1"/>
  <c r="H1167" i="1"/>
  <c r="C1167" i="1"/>
  <c r="A1167" i="1"/>
  <c r="H1166" i="1"/>
  <c r="C1166" i="1"/>
  <c r="A1166" i="1"/>
  <c r="H1165" i="1"/>
  <c r="C1165" i="1"/>
  <c r="A1165" i="1"/>
  <c r="H1164" i="1"/>
  <c r="C1164" i="1"/>
  <c r="A1164" i="1"/>
  <c r="H1163" i="1"/>
  <c r="C1163" i="1"/>
  <c r="A1163" i="1"/>
  <c r="H1162" i="1"/>
  <c r="C1162" i="1"/>
  <c r="A1162" i="1"/>
  <c r="H1161" i="1"/>
  <c r="C1161" i="1"/>
  <c r="A1161" i="1"/>
  <c r="H1160" i="1"/>
  <c r="C1160" i="1"/>
  <c r="A1160" i="1"/>
  <c r="H1159" i="1"/>
  <c r="C1159" i="1"/>
  <c r="A1159" i="1"/>
  <c r="H1158" i="1"/>
  <c r="C1158" i="1"/>
  <c r="A1158" i="1"/>
  <c r="H1157" i="1"/>
  <c r="C1157" i="1"/>
  <c r="A1157" i="1"/>
  <c r="H1156" i="1"/>
  <c r="C1156" i="1"/>
  <c r="A1156" i="1"/>
  <c r="H1155" i="1"/>
  <c r="C1155" i="1"/>
  <c r="A1155" i="1"/>
  <c r="H1154" i="1"/>
  <c r="C1154" i="1"/>
  <c r="A1154" i="1"/>
  <c r="H1153" i="1"/>
  <c r="C1153" i="1"/>
  <c r="A1153" i="1"/>
  <c r="H1152" i="1"/>
  <c r="C1152" i="1"/>
  <c r="A1152" i="1"/>
  <c r="H1151" i="1"/>
  <c r="C1151" i="1"/>
  <c r="A1151" i="1"/>
  <c r="H1150" i="1"/>
  <c r="C1150" i="1"/>
  <c r="A1150" i="1"/>
  <c r="H1149" i="1"/>
  <c r="C1149" i="1"/>
  <c r="A1149" i="1"/>
  <c r="H1148" i="1"/>
  <c r="C1148" i="1"/>
  <c r="A1148" i="1"/>
  <c r="H1147" i="1"/>
  <c r="C1147" i="1"/>
  <c r="A1147" i="1"/>
  <c r="H1146" i="1"/>
  <c r="C1146" i="1"/>
  <c r="A1146" i="1"/>
  <c r="H1145" i="1"/>
  <c r="C1145" i="1"/>
  <c r="A1145" i="1"/>
  <c r="H1144" i="1"/>
  <c r="C1144" i="1"/>
  <c r="A1144" i="1"/>
  <c r="H1143" i="1"/>
  <c r="C1143" i="1"/>
  <c r="A1143" i="1"/>
  <c r="H1142" i="1"/>
  <c r="C1142" i="1"/>
  <c r="A1142" i="1"/>
  <c r="H1141" i="1"/>
  <c r="C1141" i="1"/>
  <c r="A1141" i="1"/>
  <c r="H1140" i="1"/>
  <c r="C1140" i="1"/>
  <c r="A1140" i="1"/>
  <c r="H1139" i="1"/>
  <c r="C1139" i="1"/>
  <c r="A1139" i="1"/>
  <c r="H1138" i="1"/>
  <c r="C1138" i="1"/>
  <c r="A1138" i="1"/>
  <c r="H1137" i="1"/>
  <c r="C1137" i="1"/>
  <c r="A1137" i="1"/>
  <c r="H1136" i="1"/>
  <c r="C1136" i="1"/>
  <c r="A1136" i="1"/>
  <c r="H1135" i="1"/>
  <c r="C1135" i="1"/>
  <c r="A1135" i="1"/>
  <c r="H1134" i="1"/>
  <c r="C1134" i="1"/>
  <c r="A1134" i="1"/>
  <c r="H1133" i="1"/>
  <c r="C1133" i="1"/>
  <c r="A1133" i="1"/>
  <c r="H1132" i="1"/>
  <c r="C1132" i="1"/>
  <c r="A1132" i="1"/>
  <c r="H1131" i="1"/>
  <c r="C1131" i="1"/>
  <c r="A1131" i="1"/>
  <c r="H1130" i="1"/>
  <c r="C1130" i="1"/>
  <c r="A1130" i="1"/>
  <c r="H1129" i="1"/>
  <c r="C1129" i="1"/>
  <c r="A1129" i="1"/>
  <c r="H1128" i="1"/>
  <c r="C1128" i="1"/>
  <c r="A1128" i="1"/>
  <c r="H1127" i="1"/>
  <c r="C1127" i="1"/>
  <c r="A1127" i="1"/>
  <c r="H1126" i="1"/>
  <c r="C1126" i="1"/>
  <c r="A1126" i="1"/>
  <c r="H1125" i="1"/>
  <c r="C1125" i="1"/>
  <c r="A1125" i="1"/>
  <c r="H1124" i="1"/>
  <c r="C1124" i="1"/>
  <c r="A1124" i="1"/>
  <c r="H1123" i="1"/>
  <c r="C1123" i="1"/>
  <c r="A1123" i="1"/>
  <c r="H1122" i="1"/>
  <c r="C1122" i="1"/>
  <c r="A1122" i="1"/>
  <c r="H1121" i="1"/>
  <c r="C1121" i="1"/>
  <c r="A1121" i="1"/>
  <c r="H1120" i="1"/>
  <c r="C1120" i="1"/>
  <c r="A1120" i="1"/>
  <c r="H1119" i="1"/>
  <c r="C1119" i="1"/>
  <c r="A1119" i="1"/>
  <c r="H1118" i="1"/>
  <c r="C1118" i="1"/>
  <c r="A1118" i="1"/>
  <c r="H1117" i="1"/>
  <c r="C1117" i="1"/>
  <c r="A1117" i="1"/>
  <c r="H1116" i="1"/>
  <c r="C1116" i="1"/>
  <c r="A1116" i="1"/>
  <c r="H1115" i="1"/>
  <c r="C1115" i="1"/>
  <c r="A1115" i="1"/>
  <c r="H1114" i="1"/>
  <c r="C1114" i="1"/>
  <c r="A1114" i="1"/>
  <c r="H1113" i="1"/>
  <c r="C1113" i="1"/>
  <c r="A1113" i="1"/>
  <c r="H1112" i="1"/>
  <c r="C1112" i="1"/>
  <c r="A1112" i="1"/>
  <c r="H1111" i="1"/>
  <c r="C1111" i="1"/>
  <c r="A1111" i="1"/>
  <c r="H1110" i="1"/>
  <c r="C1110" i="1"/>
  <c r="A1110" i="1"/>
  <c r="H1109" i="1"/>
  <c r="C1109" i="1"/>
  <c r="A1109" i="1"/>
  <c r="H1108" i="1"/>
  <c r="C1108" i="1"/>
  <c r="A1108" i="1"/>
  <c r="H1107" i="1"/>
  <c r="C1107" i="1"/>
  <c r="A1107" i="1"/>
  <c r="H1106" i="1"/>
  <c r="C1106" i="1"/>
  <c r="A1106" i="1"/>
  <c r="H1105" i="1"/>
  <c r="C1105" i="1"/>
  <c r="A1105" i="1"/>
  <c r="H1104" i="1"/>
  <c r="C1104" i="1"/>
  <c r="A1104" i="1"/>
  <c r="H1103" i="1"/>
  <c r="C1103" i="1"/>
  <c r="A1103" i="1"/>
  <c r="H1102" i="1"/>
  <c r="C1102" i="1"/>
  <c r="A1102" i="1"/>
  <c r="H1101" i="1"/>
  <c r="C1101" i="1"/>
  <c r="A1101" i="1"/>
  <c r="H1100" i="1"/>
  <c r="C1100" i="1"/>
  <c r="A1100" i="1"/>
  <c r="H1099" i="1"/>
  <c r="C1099" i="1"/>
  <c r="A1099" i="1"/>
  <c r="H1098" i="1"/>
  <c r="C1098" i="1"/>
  <c r="A1098" i="1"/>
  <c r="H1097" i="1"/>
  <c r="C1097" i="1"/>
  <c r="A1097" i="1"/>
  <c r="H1096" i="1"/>
  <c r="C1096" i="1"/>
  <c r="A1096" i="1"/>
  <c r="H1095" i="1"/>
  <c r="C1095" i="1"/>
  <c r="A1095" i="1"/>
  <c r="H1094" i="1"/>
  <c r="C1094" i="1"/>
  <c r="A1094" i="1"/>
  <c r="H1093" i="1"/>
  <c r="C1093" i="1"/>
  <c r="A1093" i="1"/>
  <c r="H1092" i="1"/>
  <c r="C1092" i="1"/>
  <c r="A1092" i="1"/>
  <c r="H1091" i="1"/>
  <c r="C1091" i="1"/>
  <c r="A1091" i="1"/>
  <c r="H1090" i="1"/>
  <c r="C1090" i="1"/>
  <c r="A1090" i="1"/>
  <c r="H1089" i="1"/>
  <c r="C1089" i="1"/>
  <c r="A1089" i="1"/>
  <c r="H1088" i="1"/>
  <c r="C1088" i="1"/>
  <c r="A1088" i="1"/>
  <c r="H1087" i="1"/>
  <c r="C1087" i="1"/>
  <c r="A1087" i="1"/>
  <c r="H1086" i="1"/>
  <c r="C1086" i="1"/>
  <c r="A1086" i="1"/>
  <c r="H1085" i="1"/>
  <c r="C1085" i="1"/>
  <c r="A1085" i="1"/>
  <c r="H1084" i="1"/>
  <c r="C1084" i="1"/>
  <c r="A1084" i="1"/>
  <c r="H1083" i="1"/>
  <c r="C1083" i="1"/>
  <c r="A1083" i="1"/>
  <c r="H1082" i="1"/>
  <c r="C1082" i="1"/>
  <c r="A1082" i="1"/>
  <c r="H1081" i="1"/>
  <c r="C1081" i="1"/>
  <c r="A1081" i="1"/>
  <c r="H1080" i="1"/>
  <c r="C1080" i="1"/>
  <c r="A1080" i="1"/>
  <c r="H1079" i="1"/>
  <c r="C1079" i="1"/>
  <c r="A1079" i="1"/>
  <c r="H1078" i="1"/>
  <c r="C1078" i="1"/>
  <c r="A1078" i="1"/>
  <c r="H1077" i="1"/>
  <c r="C1077" i="1"/>
  <c r="A1077" i="1"/>
  <c r="H1076" i="1"/>
  <c r="C1076" i="1"/>
  <c r="A1076" i="1"/>
  <c r="H1075" i="1"/>
  <c r="C1075" i="1"/>
  <c r="A1075" i="1"/>
  <c r="H1074" i="1"/>
  <c r="C1074" i="1"/>
  <c r="A1074" i="1"/>
  <c r="H1073" i="1"/>
  <c r="C1073" i="1"/>
  <c r="A1073" i="1"/>
  <c r="H1072" i="1"/>
  <c r="C1072" i="1"/>
  <c r="A1072" i="1"/>
  <c r="H1071" i="1"/>
  <c r="C1071" i="1"/>
  <c r="A1071" i="1"/>
  <c r="H1070" i="1"/>
  <c r="C1070" i="1"/>
  <c r="A1070" i="1"/>
  <c r="H1069" i="1"/>
  <c r="C1069" i="1"/>
  <c r="A1069" i="1"/>
  <c r="H1068" i="1"/>
  <c r="C1068" i="1"/>
  <c r="A1068" i="1"/>
  <c r="H1067" i="1"/>
  <c r="C1067" i="1"/>
  <c r="A1067" i="1"/>
  <c r="H1066" i="1"/>
  <c r="C1066" i="1"/>
  <c r="A1066" i="1"/>
  <c r="H1065" i="1"/>
  <c r="C1065" i="1"/>
  <c r="A1065" i="1"/>
  <c r="H1064" i="1"/>
  <c r="C1064" i="1"/>
  <c r="A1064" i="1"/>
  <c r="H1063" i="1"/>
  <c r="C1063" i="1"/>
  <c r="A1063" i="1"/>
  <c r="H1062" i="1"/>
  <c r="C1062" i="1"/>
  <c r="A1062" i="1"/>
  <c r="H1061" i="1"/>
  <c r="C1061" i="1"/>
  <c r="A1061" i="1"/>
  <c r="H1060" i="1"/>
  <c r="C1060" i="1"/>
  <c r="A1060" i="1"/>
  <c r="H1059" i="1"/>
  <c r="C1059" i="1"/>
  <c r="A1059" i="1"/>
  <c r="H1058" i="1"/>
  <c r="C1058" i="1"/>
  <c r="A1058" i="1"/>
  <c r="H1057" i="1"/>
  <c r="C1057" i="1"/>
  <c r="A1057" i="1"/>
  <c r="H1056" i="1"/>
  <c r="C1056" i="1"/>
  <c r="A1056" i="1"/>
  <c r="H1055" i="1"/>
  <c r="C1055" i="1"/>
  <c r="A1055" i="1"/>
  <c r="H1054" i="1"/>
  <c r="C1054" i="1"/>
  <c r="A1054" i="1"/>
  <c r="H1053" i="1"/>
  <c r="C1053" i="1"/>
  <c r="A1053" i="1"/>
  <c r="H1052" i="1"/>
  <c r="C1052" i="1"/>
  <c r="A1052" i="1"/>
  <c r="H1051" i="1"/>
  <c r="C1051" i="1"/>
  <c r="A1051" i="1"/>
  <c r="H1050" i="1"/>
  <c r="C1050" i="1"/>
  <c r="A1050" i="1"/>
  <c r="H1049" i="1"/>
  <c r="C1049" i="1"/>
  <c r="A1049" i="1"/>
  <c r="H1048" i="1"/>
  <c r="C1048" i="1"/>
  <c r="A1048" i="1"/>
  <c r="H1047" i="1"/>
  <c r="C1047" i="1"/>
  <c r="A1047" i="1"/>
  <c r="W1046" i="1"/>
  <c r="H1046" i="1"/>
  <c r="C1046" i="1"/>
  <c r="A1046" i="1"/>
  <c r="H1045" i="1"/>
  <c r="C1045" i="1"/>
  <c r="A1045" i="1"/>
  <c r="H1044" i="1"/>
  <c r="C1044" i="1"/>
  <c r="A1044" i="1"/>
  <c r="H1043" i="1"/>
  <c r="C1043" i="1"/>
  <c r="A1043" i="1"/>
  <c r="H1042" i="1"/>
  <c r="C1042" i="1"/>
  <c r="A1042" i="1"/>
  <c r="H1041" i="1"/>
  <c r="C1041" i="1"/>
  <c r="A1041" i="1"/>
  <c r="H1040" i="1"/>
  <c r="C1040" i="1"/>
  <c r="A1040" i="1"/>
  <c r="H1039" i="1"/>
  <c r="C1039" i="1"/>
  <c r="A1039" i="1"/>
  <c r="H1038" i="1"/>
  <c r="C1038" i="1"/>
  <c r="A1038" i="1"/>
  <c r="H1037" i="1"/>
  <c r="C1037" i="1"/>
  <c r="A1037" i="1"/>
  <c r="H1036" i="1"/>
  <c r="C1036" i="1"/>
  <c r="A1036" i="1"/>
  <c r="H1035" i="1"/>
  <c r="C1035" i="1"/>
  <c r="A1035" i="1"/>
  <c r="H1034" i="1"/>
  <c r="C1034" i="1"/>
  <c r="A1034" i="1"/>
  <c r="H1033" i="1"/>
  <c r="C1033" i="1"/>
  <c r="A1033" i="1"/>
  <c r="H1032" i="1"/>
  <c r="C1032" i="1"/>
  <c r="A1032" i="1"/>
  <c r="H1031" i="1"/>
  <c r="C1031" i="1"/>
  <c r="A1031" i="1"/>
  <c r="H1030" i="1"/>
  <c r="C1030" i="1"/>
  <c r="A1030" i="1"/>
  <c r="H1029" i="1"/>
  <c r="C1029" i="1"/>
  <c r="A1029" i="1"/>
  <c r="H1028" i="1"/>
  <c r="C1028" i="1"/>
  <c r="A1028" i="1"/>
  <c r="H1027" i="1"/>
  <c r="C1027" i="1"/>
  <c r="A1027" i="1"/>
  <c r="H1026" i="1"/>
  <c r="C1026" i="1"/>
  <c r="A1026" i="1"/>
  <c r="H1025" i="1"/>
  <c r="C1025" i="1"/>
  <c r="A1025" i="1"/>
  <c r="H1024" i="1"/>
  <c r="C1024" i="1"/>
  <c r="A1024" i="1"/>
  <c r="H1023" i="1"/>
  <c r="C1023" i="1"/>
  <c r="A1023" i="1"/>
  <c r="H1022" i="1"/>
  <c r="C1022" i="1"/>
  <c r="A1022" i="1"/>
  <c r="H1021" i="1"/>
  <c r="C1021" i="1"/>
  <c r="A1021" i="1"/>
  <c r="H1020" i="1"/>
  <c r="C1020" i="1"/>
  <c r="A1020" i="1"/>
  <c r="H1019" i="1"/>
  <c r="C1019" i="1"/>
  <c r="A1019" i="1"/>
  <c r="H1018" i="1"/>
  <c r="C1018" i="1"/>
  <c r="A1018" i="1"/>
  <c r="H1017" i="1"/>
  <c r="C1017" i="1"/>
  <c r="A1017" i="1"/>
  <c r="H1016" i="1"/>
  <c r="C1016" i="1"/>
  <c r="A1016" i="1"/>
  <c r="H1015" i="1"/>
  <c r="C1015" i="1"/>
  <c r="A1015" i="1"/>
  <c r="H1014" i="1"/>
  <c r="C1014" i="1"/>
  <c r="A1014" i="1"/>
  <c r="H1013" i="1"/>
  <c r="C1013" i="1"/>
  <c r="A1013" i="1"/>
  <c r="H1012" i="1"/>
  <c r="C1012" i="1"/>
  <c r="A1012" i="1"/>
  <c r="H1011" i="1"/>
  <c r="C1011" i="1"/>
  <c r="A1011" i="1"/>
  <c r="H1010" i="1"/>
  <c r="C1010" i="1"/>
  <c r="A1010" i="1"/>
  <c r="H1009" i="1"/>
  <c r="C1009" i="1"/>
  <c r="A1009" i="1"/>
  <c r="H1008" i="1"/>
  <c r="C1008" i="1"/>
  <c r="A1008" i="1"/>
  <c r="H1007" i="1"/>
  <c r="C1007" i="1"/>
  <c r="A1007" i="1"/>
  <c r="H1006" i="1"/>
  <c r="C1006" i="1"/>
  <c r="A1006" i="1"/>
  <c r="H1005" i="1"/>
  <c r="C1005" i="1"/>
  <c r="A1005" i="1"/>
  <c r="H1004" i="1"/>
  <c r="C1004" i="1"/>
  <c r="A1004" i="1"/>
  <c r="H1003" i="1"/>
  <c r="C1003" i="1"/>
  <c r="A1003" i="1"/>
  <c r="H1002" i="1"/>
  <c r="C1002" i="1"/>
  <c r="A1002" i="1"/>
  <c r="H1001" i="1"/>
  <c r="C1001" i="1"/>
  <c r="A1001" i="1"/>
  <c r="H1000" i="1"/>
  <c r="C1000" i="1"/>
  <c r="A1000" i="1"/>
  <c r="H999" i="1"/>
  <c r="C999" i="1"/>
  <c r="A999" i="1"/>
  <c r="H998" i="1"/>
  <c r="C998" i="1"/>
  <c r="A998" i="1"/>
  <c r="H997" i="1"/>
  <c r="C997" i="1"/>
  <c r="A997" i="1"/>
  <c r="H996" i="1"/>
  <c r="C996" i="1"/>
  <c r="A996" i="1"/>
  <c r="H995" i="1"/>
  <c r="C995" i="1"/>
  <c r="A995" i="1"/>
  <c r="H994" i="1"/>
  <c r="C994" i="1"/>
  <c r="A994" i="1"/>
  <c r="H993" i="1"/>
  <c r="C993" i="1"/>
  <c r="A993" i="1"/>
  <c r="H992" i="1"/>
  <c r="C992" i="1"/>
  <c r="A992" i="1"/>
  <c r="H991" i="1"/>
  <c r="C991" i="1"/>
  <c r="A991" i="1"/>
  <c r="H990" i="1"/>
  <c r="C990" i="1"/>
  <c r="A990" i="1"/>
  <c r="H989" i="1"/>
  <c r="C989" i="1"/>
  <c r="A989" i="1"/>
  <c r="H988" i="1"/>
  <c r="C988" i="1"/>
  <c r="A988" i="1"/>
  <c r="H987" i="1"/>
  <c r="C987" i="1"/>
  <c r="A987" i="1"/>
  <c r="H986" i="1"/>
  <c r="C986" i="1"/>
  <c r="A986" i="1"/>
  <c r="H985" i="1"/>
  <c r="C985" i="1"/>
  <c r="A985" i="1"/>
  <c r="H984" i="1"/>
  <c r="C984" i="1"/>
  <c r="A984" i="1"/>
  <c r="H983" i="1"/>
  <c r="C983" i="1"/>
  <c r="A983" i="1"/>
  <c r="H982" i="1"/>
  <c r="C982" i="1"/>
  <c r="A982" i="1"/>
  <c r="H981" i="1"/>
  <c r="C981" i="1"/>
  <c r="A981" i="1"/>
  <c r="H980" i="1"/>
  <c r="C980" i="1"/>
  <c r="A980" i="1"/>
  <c r="H979" i="1"/>
  <c r="C979" i="1"/>
  <c r="A979" i="1"/>
  <c r="H978" i="1"/>
  <c r="C978" i="1"/>
  <c r="A978" i="1"/>
  <c r="H977" i="1"/>
  <c r="C977" i="1"/>
  <c r="A977" i="1"/>
  <c r="H976" i="1"/>
  <c r="C976" i="1"/>
  <c r="A976" i="1"/>
  <c r="H975" i="1"/>
  <c r="C975" i="1"/>
  <c r="A975" i="1"/>
  <c r="H974" i="1"/>
  <c r="C974" i="1"/>
  <c r="A974" i="1"/>
  <c r="H973" i="1"/>
  <c r="C973" i="1"/>
  <c r="A973" i="1"/>
  <c r="H972" i="1"/>
  <c r="C972" i="1"/>
  <c r="A972" i="1"/>
  <c r="H971" i="1"/>
  <c r="C971" i="1"/>
  <c r="A971" i="1"/>
  <c r="H970" i="1"/>
  <c r="C970" i="1"/>
  <c r="A970" i="1"/>
  <c r="H969" i="1"/>
  <c r="C969" i="1"/>
  <c r="A969" i="1"/>
  <c r="H968" i="1"/>
  <c r="C968" i="1"/>
  <c r="A968" i="1"/>
  <c r="H967" i="1"/>
  <c r="C967" i="1"/>
  <c r="A967" i="1"/>
  <c r="H966" i="1"/>
  <c r="C966" i="1"/>
  <c r="A966" i="1"/>
  <c r="H965" i="1"/>
  <c r="C965" i="1"/>
  <c r="A965" i="1"/>
  <c r="H964" i="1"/>
  <c r="C964" i="1"/>
  <c r="A964" i="1"/>
  <c r="H963" i="1"/>
  <c r="C963" i="1"/>
  <c r="A963" i="1"/>
  <c r="H962" i="1"/>
  <c r="C962" i="1"/>
  <c r="A962" i="1"/>
  <c r="H961" i="1"/>
  <c r="C961" i="1"/>
  <c r="A961" i="1"/>
  <c r="H960" i="1"/>
  <c r="C960" i="1"/>
  <c r="A960" i="1"/>
  <c r="H959" i="1"/>
  <c r="C959" i="1"/>
  <c r="A959" i="1"/>
  <c r="H958" i="1"/>
  <c r="C958" i="1"/>
  <c r="A958" i="1"/>
  <c r="H957" i="1"/>
  <c r="C957" i="1"/>
  <c r="A957" i="1"/>
  <c r="H956" i="1"/>
  <c r="C956" i="1"/>
  <c r="A956" i="1"/>
  <c r="H955" i="1"/>
  <c r="C955" i="1"/>
  <c r="A955" i="1"/>
  <c r="H954" i="1"/>
  <c r="C954" i="1"/>
  <c r="A954" i="1"/>
  <c r="H953" i="1"/>
  <c r="C953" i="1"/>
  <c r="A953" i="1"/>
  <c r="H952" i="1"/>
  <c r="C952" i="1"/>
  <c r="A952" i="1"/>
  <c r="H951" i="1"/>
  <c r="C951" i="1"/>
  <c r="A951" i="1"/>
  <c r="H950" i="1"/>
  <c r="C950" i="1"/>
  <c r="A950" i="1"/>
  <c r="H949" i="1"/>
  <c r="C949" i="1"/>
  <c r="A949" i="1"/>
  <c r="H948" i="1"/>
  <c r="C948" i="1"/>
  <c r="A948" i="1"/>
  <c r="H947" i="1"/>
  <c r="C947" i="1"/>
  <c r="A947" i="1"/>
  <c r="H946" i="1"/>
  <c r="C946" i="1"/>
  <c r="A946" i="1"/>
  <c r="H945" i="1"/>
  <c r="C945" i="1"/>
  <c r="A945" i="1"/>
  <c r="H944" i="1"/>
  <c r="C944" i="1"/>
  <c r="A944" i="1"/>
  <c r="H943" i="1"/>
  <c r="C943" i="1"/>
  <c r="A943" i="1"/>
  <c r="H942" i="1"/>
  <c r="C942" i="1"/>
  <c r="A942" i="1"/>
  <c r="H941" i="1"/>
  <c r="C941" i="1"/>
  <c r="A941" i="1"/>
  <c r="H940" i="1"/>
  <c r="C940" i="1"/>
  <c r="A940" i="1"/>
  <c r="H939" i="1"/>
  <c r="C939" i="1"/>
  <c r="A939" i="1"/>
  <c r="H938" i="1"/>
  <c r="C938" i="1"/>
  <c r="A938" i="1"/>
  <c r="H937" i="1"/>
  <c r="C937" i="1"/>
  <c r="A937" i="1"/>
  <c r="H936" i="1"/>
  <c r="C936" i="1"/>
  <c r="A936" i="1"/>
  <c r="H935" i="1"/>
  <c r="C935" i="1"/>
  <c r="A935" i="1"/>
  <c r="H934" i="1"/>
  <c r="C934" i="1"/>
  <c r="A934" i="1"/>
  <c r="H933" i="1"/>
  <c r="C933" i="1"/>
  <c r="A933" i="1"/>
  <c r="H932" i="1"/>
  <c r="C932" i="1"/>
  <c r="A932" i="1"/>
  <c r="H931" i="1"/>
  <c r="C931" i="1"/>
  <c r="A931" i="1"/>
  <c r="H930" i="1"/>
  <c r="C930" i="1"/>
  <c r="A930" i="1"/>
  <c r="H929" i="1"/>
  <c r="C929" i="1"/>
  <c r="A929" i="1"/>
  <c r="H928" i="1"/>
  <c r="C928" i="1"/>
  <c r="A928" i="1"/>
  <c r="H927" i="1"/>
  <c r="C927" i="1"/>
  <c r="A927" i="1"/>
  <c r="H926" i="1"/>
  <c r="C926" i="1"/>
  <c r="A926" i="1"/>
  <c r="H925" i="1"/>
  <c r="C925" i="1"/>
  <c r="A925" i="1"/>
  <c r="H924" i="1"/>
  <c r="C924" i="1"/>
  <c r="A924" i="1"/>
  <c r="H923" i="1"/>
  <c r="C923" i="1"/>
  <c r="A923" i="1"/>
  <c r="H922" i="1"/>
  <c r="C922" i="1"/>
  <c r="A922" i="1"/>
  <c r="H921" i="1"/>
  <c r="C921" i="1"/>
  <c r="A921" i="1"/>
  <c r="H920" i="1"/>
  <c r="C920" i="1"/>
  <c r="A920" i="1"/>
  <c r="H919" i="1"/>
  <c r="C919" i="1"/>
  <c r="A919" i="1"/>
  <c r="H918" i="1"/>
  <c r="C918" i="1"/>
  <c r="A918" i="1"/>
  <c r="H917" i="1"/>
  <c r="C917" i="1"/>
  <c r="A917" i="1"/>
  <c r="H916" i="1"/>
  <c r="C916" i="1"/>
  <c r="A916" i="1"/>
  <c r="H915" i="1"/>
  <c r="C915" i="1"/>
  <c r="A915" i="1"/>
  <c r="H914" i="1"/>
  <c r="C914" i="1"/>
  <c r="A914" i="1"/>
  <c r="H913" i="1"/>
  <c r="C913" i="1"/>
  <c r="A913" i="1"/>
  <c r="H912" i="1"/>
  <c r="C912" i="1"/>
  <c r="A912" i="1"/>
  <c r="H911" i="1"/>
  <c r="C911" i="1"/>
  <c r="A911" i="1"/>
  <c r="H910" i="1"/>
  <c r="C910" i="1"/>
  <c r="A910" i="1"/>
  <c r="H909" i="1"/>
  <c r="C909" i="1"/>
  <c r="A909" i="1"/>
  <c r="H908" i="1"/>
  <c r="C908" i="1"/>
  <c r="A908" i="1"/>
  <c r="H907" i="1"/>
  <c r="C907" i="1"/>
  <c r="A907" i="1"/>
  <c r="H906" i="1"/>
  <c r="C906" i="1"/>
  <c r="A906" i="1"/>
  <c r="H905" i="1"/>
  <c r="C905" i="1"/>
  <c r="A905" i="1"/>
  <c r="H904" i="1"/>
  <c r="C904" i="1"/>
  <c r="A904" i="1"/>
  <c r="H903" i="1"/>
  <c r="C903" i="1"/>
  <c r="A903" i="1"/>
  <c r="H902" i="1"/>
  <c r="C902" i="1"/>
  <c r="A902" i="1"/>
  <c r="H901" i="1"/>
  <c r="C901" i="1"/>
  <c r="A901" i="1"/>
  <c r="H900" i="1"/>
  <c r="C900" i="1"/>
  <c r="A900" i="1"/>
  <c r="H899" i="1"/>
  <c r="C899" i="1"/>
  <c r="A899" i="1"/>
  <c r="H898" i="1"/>
  <c r="C898" i="1"/>
  <c r="A898" i="1"/>
  <c r="H897" i="1"/>
  <c r="C897" i="1"/>
  <c r="A897" i="1"/>
  <c r="H896" i="1"/>
  <c r="C896" i="1"/>
  <c r="A896" i="1"/>
  <c r="H895" i="1"/>
  <c r="C895" i="1"/>
  <c r="A895" i="1"/>
  <c r="H894" i="1"/>
  <c r="C894" i="1"/>
  <c r="A894" i="1"/>
  <c r="H893" i="1"/>
  <c r="C893" i="1"/>
  <c r="A893" i="1"/>
  <c r="H892" i="1"/>
  <c r="C892" i="1"/>
  <c r="A892" i="1"/>
  <c r="H891" i="1"/>
  <c r="C891" i="1"/>
  <c r="A891" i="1"/>
  <c r="H890" i="1"/>
  <c r="C890" i="1"/>
  <c r="A890" i="1"/>
  <c r="H889" i="1"/>
  <c r="C889" i="1"/>
  <c r="A889" i="1"/>
  <c r="H888" i="1"/>
  <c r="C888" i="1"/>
  <c r="A888" i="1"/>
  <c r="H887" i="1"/>
  <c r="C887" i="1"/>
  <c r="A887" i="1"/>
  <c r="H886" i="1"/>
  <c r="C886" i="1"/>
  <c r="A886" i="1"/>
  <c r="H885" i="1"/>
  <c r="C885" i="1"/>
  <c r="A885" i="1"/>
  <c r="H884" i="1"/>
  <c r="C884" i="1"/>
  <c r="A884" i="1"/>
  <c r="H883" i="1"/>
  <c r="C883" i="1"/>
  <c r="A883" i="1"/>
  <c r="H882" i="1"/>
  <c r="C882" i="1"/>
  <c r="A882" i="1"/>
  <c r="H881" i="1"/>
  <c r="C881" i="1"/>
  <c r="A881" i="1"/>
  <c r="H880" i="1"/>
  <c r="C880" i="1"/>
  <c r="A880" i="1"/>
  <c r="H879" i="1"/>
  <c r="C879" i="1"/>
  <c r="A879" i="1"/>
  <c r="H878" i="1"/>
  <c r="C878" i="1"/>
  <c r="A878" i="1"/>
  <c r="H877" i="1"/>
  <c r="C877" i="1"/>
  <c r="A877" i="1"/>
  <c r="H876" i="1"/>
  <c r="C876" i="1"/>
  <c r="A876" i="1"/>
  <c r="H875" i="1"/>
  <c r="C875" i="1"/>
  <c r="A875" i="1"/>
  <c r="H874" i="1"/>
  <c r="C874" i="1"/>
  <c r="A874" i="1"/>
  <c r="H873" i="1"/>
  <c r="C873" i="1"/>
  <c r="A873" i="1"/>
  <c r="H872" i="1"/>
  <c r="C872" i="1"/>
  <c r="A872" i="1"/>
  <c r="H871" i="1"/>
  <c r="C871" i="1"/>
  <c r="A871" i="1"/>
  <c r="H870" i="1"/>
  <c r="C870" i="1"/>
  <c r="A870" i="1"/>
  <c r="H869" i="1"/>
  <c r="C869" i="1"/>
  <c r="A869" i="1"/>
  <c r="H868" i="1"/>
  <c r="C868" i="1"/>
  <c r="A868" i="1"/>
  <c r="H867" i="1"/>
  <c r="C867" i="1"/>
  <c r="A867" i="1"/>
  <c r="H866" i="1"/>
  <c r="C866" i="1"/>
  <c r="A866" i="1"/>
  <c r="H865" i="1"/>
  <c r="C865" i="1"/>
  <c r="A865" i="1"/>
  <c r="H864" i="1"/>
  <c r="C864" i="1"/>
  <c r="A864" i="1"/>
  <c r="H863" i="1"/>
  <c r="C863" i="1"/>
  <c r="A863" i="1"/>
  <c r="H862" i="1"/>
  <c r="C862" i="1"/>
  <c r="A862" i="1"/>
  <c r="H861" i="1"/>
  <c r="C861" i="1"/>
  <c r="A861" i="1"/>
  <c r="H860" i="1"/>
  <c r="C860" i="1"/>
  <c r="A860" i="1"/>
  <c r="H859" i="1"/>
  <c r="C859" i="1"/>
  <c r="A859" i="1"/>
  <c r="H858" i="1"/>
  <c r="C858" i="1"/>
  <c r="A858" i="1"/>
  <c r="H857" i="1"/>
  <c r="C857" i="1"/>
  <c r="A857" i="1"/>
  <c r="H856" i="1"/>
  <c r="C856" i="1"/>
  <c r="A856" i="1"/>
  <c r="H855" i="1"/>
  <c r="C855" i="1"/>
  <c r="A855" i="1"/>
  <c r="H854" i="1"/>
  <c r="C854" i="1"/>
  <c r="A854" i="1"/>
  <c r="H853" i="1"/>
  <c r="C853" i="1"/>
  <c r="A853" i="1"/>
  <c r="H852" i="1"/>
  <c r="C852" i="1"/>
  <c r="A852" i="1"/>
  <c r="H851" i="1"/>
  <c r="C851" i="1"/>
  <c r="A851" i="1"/>
  <c r="H850" i="1"/>
  <c r="C850" i="1"/>
  <c r="A850" i="1"/>
  <c r="H849" i="1"/>
  <c r="C849" i="1"/>
  <c r="A849" i="1"/>
  <c r="H848" i="1"/>
  <c r="C848" i="1"/>
  <c r="A848" i="1"/>
  <c r="H847" i="1"/>
  <c r="C847" i="1"/>
  <c r="A847" i="1"/>
  <c r="H846" i="1"/>
  <c r="C846" i="1"/>
  <c r="A846" i="1"/>
  <c r="H845" i="1"/>
  <c r="C845" i="1"/>
  <c r="A845" i="1"/>
  <c r="H844" i="1"/>
  <c r="C844" i="1"/>
  <c r="A844" i="1"/>
  <c r="H843" i="1"/>
  <c r="C843" i="1"/>
  <c r="A843" i="1"/>
  <c r="H842" i="1"/>
  <c r="C842" i="1"/>
  <c r="A842" i="1"/>
  <c r="H841" i="1"/>
  <c r="C841" i="1"/>
  <c r="A841" i="1"/>
  <c r="H840" i="1"/>
  <c r="C840" i="1"/>
  <c r="A840" i="1"/>
  <c r="H839" i="1"/>
  <c r="C839" i="1"/>
  <c r="A839" i="1"/>
  <c r="H838" i="1"/>
  <c r="C838" i="1"/>
  <c r="A838" i="1"/>
  <c r="H837" i="1"/>
  <c r="C837" i="1"/>
  <c r="A837" i="1"/>
  <c r="H836" i="1"/>
  <c r="C836" i="1"/>
  <c r="A836" i="1"/>
  <c r="H835" i="1"/>
  <c r="C835" i="1"/>
  <c r="A835" i="1"/>
  <c r="H834" i="1"/>
  <c r="C834" i="1"/>
  <c r="A834" i="1"/>
  <c r="H833" i="1"/>
  <c r="C833" i="1"/>
  <c r="A833" i="1"/>
  <c r="H832" i="1"/>
  <c r="C832" i="1"/>
  <c r="A832" i="1"/>
  <c r="H831" i="1"/>
  <c r="C831" i="1"/>
  <c r="A831" i="1"/>
  <c r="H830" i="1"/>
  <c r="C830" i="1"/>
  <c r="A830" i="1"/>
  <c r="H829" i="1"/>
  <c r="C829" i="1"/>
  <c r="A829" i="1"/>
  <c r="H828" i="1"/>
  <c r="C828" i="1"/>
  <c r="A828" i="1"/>
  <c r="H827" i="1"/>
  <c r="C827" i="1"/>
  <c r="A827" i="1"/>
  <c r="H826" i="1"/>
  <c r="C826" i="1"/>
  <c r="A826" i="1"/>
  <c r="H825" i="1"/>
  <c r="C825" i="1"/>
  <c r="A825" i="1"/>
  <c r="H824" i="1"/>
  <c r="C824" i="1"/>
  <c r="A824" i="1"/>
  <c r="H823" i="1"/>
  <c r="C823" i="1"/>
  <c r="A823" i="1"/>
  <c r="H822" i="1"/>
  <c r="C822" i="1"/>
  <c r="A822" i="1"/>
  <c r="H821" i="1"/>
  <c r="C821" i="1"/>
  <c r="A821" i="1"/>
  <c r="H820" i="1"/>
  <c r="C820" i="1"/>
  <c r="A820" i="1"/>
  <c r="H819" i="1"/>
  <c r="C819" i="1"/>
  <c r="A819" i="1"/>
  <c r="H818" i="1"/>
  <c r="C818" i="1"/>
  <c r="A818" i="1"/>
  <c r="H817" i="1"/>
  <c r="C817" i="1"/>
  <c r="A817" i="1"/>
  <c r="H816" i="1"/>
  <c r="C816" i="1"/>
  <c r="A816" i="1"/>
  <c r="H815" i="1"/>
  <c r="C815" i="1"/>
  <c r="A815" i="1"/>
  <c r="H814" i="1"/>
  <c r="C814" i="1"/>
  <c r="A814" i="1"/>
  <c r="H813" i="1"/>
  <c r="C813" i="1"/>
  <c r="A813" i="1"/>
  <c r="H812" i="1"/>
  <c r="C812" i="1"/>
  <c r="A812" i="1"/>
  <c r="H811" i="1"/>
  <c r="C811" i="1"/>
  <c r="A811" i="1"/>
  <c r="H810" i="1"/>
  <c r="C810" i="1"/>
  <c r="A810" i="1"/>
  <c r="H809" i="1"/>
  <c r="C809" i="1"/>
  <c r="A809" i="1"/>
  <c r="H808" i="1"/>
  <c r="C808" i="1"/>
  <c r="A808" i="1"/>
  <c r="H807" i="1"/>
  <c r="C807" i="1"/>
  <c r="A807" i="1"/>
  <c r="H806" i="1"/>
  <c r="C806" i="1"/>
  <c r="A806" i="1"/>
  <c r="H805" i="1"/>
  <c r="C805" i="1"/>
  <c r="A805" i="1"/>
  <c r="H804" i="1"/>
  <c r="C804" i="1"/>
  <c r="A804" i="1"/>
  <c r="H803" i="1"/>
  <c r="C803" i="1"/>
  <c r="A803" i="1"/>
  <c r="H802" i="1"/>
  <c r="C802" i="1"/>
  <c r="A802" i="1"/>
  <c r="H801" i="1"/>
  <c r="C801" i="1"/>
  <c r="A801" i="1"/>
  <c r="H800" i="1"/>
  <c r="C800" i="1"/>
  <c r="A800" i="1"/>
  <c r="H799" i="1"/>
  <c r="C799" i="1"/>
  <c r="A799" i="1"/>
  <c r="H798" i="1"/>
  <c r="C798" i="1"/>
  <c r="A798" i="1"/>
  <c r="H797" i="1"/>
  <c r="C797" i="1"/>
  <c r="A797" i="1"/>
  <c r="H796" i="1"/>
  <c r="C796" i="1"/>
  <c r="A796" i="1"/>
  <c r="H795" i="1"/>
  <c r="C795" i="1"/>
  <c r="A795" i="1"/>
  <c r="H794" i="1"/>
  <c r="C794" i="1"/>
  <c r="A794" i="1"/>
  <c r="H793" i="1"/>
  <c r="C793" i="1"/>
  <c r="A793" i="1"/>
  <c r="H792" i="1"/>
  <c r="C792" i="1"/>
  <c r="A792" i="1"/>
  <c r="H791" i="1"/>
  <c r="C791" i="1"/>
  <c r="A791" i="1"/>
  <c r="H790" i="1"/>
  <c r="C790" i="1"/>
  <c r="A790" i="1"/>
  <c r="H789" i="1"/>
  <c r="C789" i="1"/>
  <c r="A789" i="1"/>
  <c r="H788" i="1"/>
  <c r="C788" i="1"/>
  <c r="A788" i="1"/>
  <c r="H787" i="1"/>
  <c r="C787" i="1"/>
  <c r="A787" i="1"/>
  <c r="H786" i="1"/>
  <c r="C786" i="1"/>
  <c r="A786" i="1"/>
  <c r="H785" i="1"/>
  <c r="C785" i="1"/>
  <c r="A785" i="1"/>
  <c r="H784" i="1"/>
  <c r="C784" i="1"/>
  <c r="A784" i="1"/>
  <c r="H783" i="1"/>
  <c r="C783" i="1"/>
  <c r="A783" i="1"/>
  <c r="H782" i="1"/>
  <c r="C782" i="1"/>
  <c r="A782" i="1"/>
  <c r="H781" i="1"/>
  <c r="C781" i="1"/>
  <c r="A781" i="1"/>
  <c r="H780" i="1"/>
  <c r="C780" i="1"/>
  <c r="A780" i="1"/>
  <c r="H779" i="1"/>
  <c r="C779" i="1"/>
  <c r="A779" i="1"/>
  <c r="H778" i="1"/>
  <c r="C778" i="1"/>
  <c r="A778" i="1"/>
  <c r="H777" i="1"/>
  <c r="C777" i="1"/>
  <c r="A777" i="1"/>
  <c r="H776" i="1"/>
  <c r="C776" i="1"/>
  <c r="A776" i="1"/>
  <c r="H775" i="1"/>
  <c r="C775" i="1"/>
  <c r="A775" i="1"/>
  <c r="H774" i="1"/>
  <c r="C774" i="1"/>
  <c r="A774" i="1"/>
  <c r="H773" i="1"/>
  <c r="C773" i="1"/>
  <c r="A773" i="1"/>
  <c r="H772" i="1"/>
  <c r="C772" i="1"/>
  <c r="A772" i="1"/>
  <c r="H771" i="1"/>
  <c r="C771" i="1"/>
  <c r="A771" i="1"/>
  <c r="H770" i="1"/>
  <c r="C770" i="1"/>
  <c r="A770" i="1"/>
  <c r="H769" i="1"/>
  <c r="C769" i="1"/>
  <c r="A769" i="1"/>
  <c r="H768" i="1"/>
  <c r="C768" i="1"/>
  <c r="A768" i="1"/>
  <c r="H767" i="1"/>
  <c r="C767" i="1"/>
  <c r="A767" i="1"/>
  <c r="H766" i="1"/>
  <c r="C766" i="1"/>
  <c r="A766" i="1"/>
  <c r="H765" i="1"/>
  <c r="C765" i="1"/>
  <c r="A765" i="1"/>
  <c r="H764" i="1"/>
  <c r="C764" i="1"/>
  <c r="A764" i="1"/>
  <c r="H763" i="1"/>
  <c r="C763" i="1"/>
  <c r="A763" i="1"/>
  <c r="H762" i="1"/>
  <c r="C762" i="1"/>
  <c r="A762" i="1"/>
  <c r="H761" i="1"/>
  <c r="C761" i="1"/>
  <c r="A761" i="1"/>
  <c r="H760" i="1"/>
  <c r="C760" i="1"/>
  <c r="A760" i="1"/>
  <c r="H759" i="1"/>
  <c r="C759" i="1"/>
  <c r="A759" i="1"/>
  <c r="H758" i="1"/>
  <c r="C758" i="1"/>
  <c r="A758" i="1"/>
  <c r="H757" i="1"/>
  <c r="C757" i="1"/>
  <c r="A757" i="1"/>
  <c r="H756" i="1"/>
  <c r="C756" i="1"/>
  <c r="A756" i="1"/>
  <c r="H755" i="1"/>
  <c r="C755" i="1"/>
  <c r="A755" i="1"/>
  <c r="H754" i="1"/>
  <c r="C754" i="1"/>
  <c r="A754" i="1"/>
  <c r="H753" i="1"/>
  <c r="C753" i="1"/>
  <c r="A753" i="1"/>
  <c r="H752" i="1"/>
  <c r="C752" i="1"/>
  <c r="A752" i="1"/>
  <c r="H751" i="1"/>
  <c r="C751" i="1"/>
  <c r="A751" i="1"/>
  <c r="H750" i="1"/>
  <c r="C750" i="1"/>
  <c r="A750" i="1"/>
  <c r="H749" i="1"/>
  <c r="C749" i="1"/>
  <c r="A749" i="1"/>
  <c r="H748" i="1"/>
  <c r="C748" i="1"/>
  <c r="A748" i="1"/>
  <c r="H747" i="1"/>
  <c r="C747" i="1"/>
  <c r="A747" i="1"/>
  <c r="H746" i="1"/>
  <c r="C746" i="1"/>
  <c r="A746" i="1"/>
  <c r="H745" i="1"/>
  <c r="C745" i="1"/>
  <c r="A745" i="1"/>
  <c r="H744" i="1"/>
  <c r="C744" i="1"/>
  <c r="A744" i="1"/>
  <c r="H743" i="1"/>
  <c r="C743" i="1"/>
  <c r="A743" i="1"/>
  <c r="H742" i="1"/>
  <c r="C742" i="1"/>
  <c r="A742" i="1"/>
  <c r="H741" i="1"/>
  <c r="C741" i="1"/>
  <c r="A741" i="1"/>
  <c r="H740" i="1"/>
  <c r="C740" i="1"/>
  <c r="A740" i="1"/>
  <c r="H739" i="1"/>
  <c r="C739" i="1"/>
  <c r="A739" i="1"/>
  <c r="H738" i="1"/>
  <c r="C738" i="1"/>
  <c r="A738" i="1"/>
  <c r="H737" i="1"/>
  <c r="C737" i="1"/>
  <c r="A737" i="1"/>
  <c r="H736" i="1"/>
  <c r="C736" i="1"/>
  <c r="A736" i="1"/>
  <c r="H735" i="1"/>
  <c r="C735" i="1"/>
  <c r="A735" i="1"/>
  <c r="H734" i="1"/>
  <c r="C734" i="1"/>
  <c r="A734" i="1"/>
  <c r="H733" i="1"/>
  <c r="C733" i="1"/>
  <c r="A733" i="1"/>
  <c r="H732" i="1"/>
  <c r="C732" i="1"/>
  <c r="A732" i="1"/>
  <c r="H731" i="1"/>
  <c r="C731" i="1"/>
  <c r="A731" i="1"/>
  <c r="H730" i="1"/>
  <c r="C730" i="1"/>
  <c r="A730" i="1"/>
  <c r="H729" i="1"/>
  <c r="C729" i="1"/>
  <c r="A729" i="1"/>
  <c r="H728" i="1"/>
  <c r="C728" i="1"/>
  <c r="A728" i="1"/>
  <c r="H727" i="1"/>
  <c r="C727" i="1"/>
  <c r="A727" i="1"/>
  <c r="H726" i="1"/>
  <c r="C726" i="1"/>
  <c r="A726" i="1"/>
  <c r="H725" i="1"/>
  <c r="C725" i="1"/>
  <c r="A725" i="1"/>
  <c r="H724" i="1"/>
  <c r="C724" i="1"/>
  <c r="A724" i="1"/>
  <c r="H723" i="1"/>
  <c r="C723" i="1"/>
  <c r="A723" i="1"/>
  <c r="H722" i="1"/>
  <c r="C722" i="1"/>
  <c r="A722" i="1"/>
  <c r="H721" i="1"/>
  <c r="C721" i="1"/>
  <c r="A721" i="1"/>
  <c r="H720" i="1"/>
  <c r="C720" i="1"/>
  <c r="A720" i="1"/>
  <c r="H719" i="1"/>
  <c r="C719" i="1"/>
  <c r="A719" i="1"/>
  <c r="H718" i="1"/>
  <c r="C718" i="1"/>
  <c r="A718" i="1"/>
  <c r="H717" i="1"/>
  <c r="C717" i="1"/>
  <c r="A717" i="1"/>
  <c r="H716" i="1"/>
  <c r="C716" i="1"/>
  <c r="A716" i="1"/>
  <c r="H715" i="1"/>
  <c r="C715" i="1"/>
  <c r="A715" i="1"/>
  <c r="H714" i="1"/>
  <c r="C714" i="1"/>
  <c r="A714" i="1"/>
  <c r="H713" i="1"/>
  <c r="C713" i="1"/>
  <c r="A713" i="1"/>
  <c r="H712" i="1"/>
  <c r="C712" i="1"/>
  <c r="A712" i="1"/>
  <c r="H711" i="1"/>
  <c r="C711" i="1"/>
  <c r="A711" i="1"/>
  <c r="H710" i="1"/>
  <c r="C710" i="1"/>
  <c r="A710" i="1"/>
  <c r="H709" i="1"/>
  <c r="C709" i="1"/>
  <c r="A709" i="1"/>
  <c r="H708" i="1"/>
  <c r="C708" i="1"/>
  <c r="A708" i="1"/>
  <c r="H707" i="1"/>
  <c r="C707" i="1"/>
  <c r="A707" i="1"/>
  <c r="H706" i="1"/>
  <c r="C706" i="1"/>
  <c r="A706" i="1"/>
  <c r="H705" i="1"/>
  <c r="C705" i="1"/>
  <c r="A705" i="1"/>
  <c r="H704" i="1"/>
  <c r="C704" i="1"/>
  <c r="A704" i="1"/>
  <c r="H703" i="1"/>
  <c r="C703" i="1"/>
  <c r="A703" i="1"/>
  <c r="H702" i="1"/>
  <c r="C702" i="1"/>
  <c r="A702" i="1"/>
  <c r="H701" i="1"/>
  <c r="C701" i="1"/>
  <c r="A701" i="1"/>
  <c r="H700" i="1"/>
  <c r="C700" i="1"/>
  <c r="A700" i="1"/>
  <c r="H699" i="1"/>
  <c r="C699" i="1"/>
  <c r="A699" i="1"/>
  <c r="H698" i="1"/>
  <c r="C698" i="1"/>
  <c r="A698" i="1"/>
  <c r="H697" i="1"/>
  <c r="C697" i="1"/>
  <c r="A697" i="1"/>
  <c r="H696" i="1"/>
  <c r="C696" i="1"/>
  <c r="A696" i="1"/>
  <c r="H695" i="1"/>
  <c r="C695" i="1"/>
  <c r="A695" i="1"/>
  <c r="H694" i="1"/>
  <c r="C694" i="1"/>
  <c r="A694" i="1"/>
  <c r="H693" i="1"/>
  <c r="C693" i="1"/>
  <c r="A693" i="1"/>
  <c r="H692" i="1"/>
  <c r="C692" i="1"/>
  <c r="A692" i="1"/>
  <c r="H691" i="1"/>
  <c r="C691" i="1"/>
  <c r="A691" i="1"/>
  <c r="H690" i="1"/>
  <c r="C690" i="1"/>
  <c r="A690" i="1"/>
  <c r="H689" i="1"/>
  <c r="C689" i="1"/>
  <c r="A689" i="1"/>
  <c r="H688" i="1"/>
  <c r="C688" i="1"/>
  <c r="A688" i="1"/>
  <c r="H687" i="1"/>
  <c r="C687" i="1"/>
  <c r="A687" i="1"/>
  <c r="H686" i="1"/>
  <c r="C686" i="1"/>
  <c r="A686" i="1"/>
  <c r="H685" i="1"/>
  <c r="C685" i="1"/>
  <c r="A685" i="1"/>
  <c r="H684" i="1"/>
  <c r="C684" i="1"/>
  <c r="A684" i="1"/>
  <c r="H683" i="1"/>
  <c r="C683" i="1"/>
  <c r="A683" i="1"/>
  <c r="H682" i="1"/>
  <c r="C682" i="1"/>
  <c r="A682" i="1"/>
  <c r="H681" i="1"/>
  <c r="C681" i="1"/>
  <c r="A681" i="1"/>
  <c r="H680" i="1"/>
  <c r="C680" i="1"/>
  <c r="A680" i="1"/>
  <c r="H679" i="1"/>
  <c r="C679" i="1"/>
  <c r="A679" i="1"/>
  <c r="H678" i="1"/>
  <c r="C678" i="1"/>
  <c r="A678" i="1"/>
  <c r="H677" i="1"/>
  <c r="C677" i="1"/>
  <c r="A677" i="1"/>
  <c r="H676" i="1"/>
  <c r="C676" i="1"/>
  <c r="A676" i="1"/>
  <c r="H675" i="1"/>
  <c r="C675" i="1"/>
  <c r="A675" i="1"/>
  <c r="H674" i="1"/>
  <c r="C674" i="1"/>
  <c r="A674" i="1"/>
  <c r="H673" i="1"/>
  <c r="C673" i="1"/>
  <c r="A673" i="1"/>
  <c r="H672" i="1"/>
  <c r="C672" i="1"/>
  <c r="A672" i="1"/>
  <c r="H671" i="1"/>
  <c r="C671" i="1"/>
  <c r="A671" i="1"/>
  <c r="H670" i="1"/>
  <c r="C670" i="1"/>
  <c r="A670" i="1"/>
  <c r="H669" i="1"/>
  <c r="C669" i="1"/>
  <c r="A669" i="1"/>
  <c r="H668" i="1"/>
  <c r="C668" i="1"/>
  <c r="A668" i="1"/>
  <c r="H667" i="1"/>
  <c r="C667" i="1"/>
  <c r="A667" i="1"/>
  <c r="H666" i="1"/>
  <c r="C666" i="1"/>
  <c r="A666" i="1"/>
  <c r="H665" i="1"/>
  <c r="C665" i="1"/>
  <c r="A665" i="1"/>
  <c r="H664" i="1"/>
  <c r="C664" i="1"/>
  <c r="A664" i="1"/>
  <c r="H663" i="1"/>
  <c r="C663" i="1"/>
  <c r="A663" i="1"/>
  <c r="H662" i="1"/>
  <c r="C662" i="1"/>
  <c r="A662" i="1"/>
  <c r="H661" i="1"/>
  <c r="C661" i="1"/>
  <c r="A661" i="1"/>
  <c r="H660" i="1"/>
  <c r="C660" i="1"/>
  <c r="A660" i="1"/>
  <c r="H659" i="1"/>
  <c r="C659" i="1"/>
  <c r="A659" i="1"/>
  <c r="H658" i="1"/>
  <c r="C658" i="1"/>
  <c r="A658" i="1"/>
  <c r="H657" i="1"/>
  <c r="C657" i="1"/>
  <c r="A657" i="1"/>
  <c r="H656" i="1"/>
  <c r="C656" i="1"/>
  <c r="A656" i="1"/>
  <c r="H655" i="1"/>
  <c r="C655" i="1"/>
  <c r="A655" i="1"/>
  <c r="H654" i="1"/>
  <c r="C654" i="1"/>
  <c r="A654" i="1"/>
  <c r="H653" i="1"/>
  <c r="C653" i="1"/>
  <c r="A653" i="1"/>
  <c r="H652" i="1"/>
  <c r="C652" i="1"/>
  <c r="A652" i="1"/>
  <c r="H651" i="1"/>
  <c r="C651" i="1"/>
  <c r="A651" i="1"/>
  <c r="H650" i="1"/>
  <c r="C650" i="1"/>
  <c r="A650" i="1"/>
  <c r="H649" i="1"/>
  <c r="C649" i="1"/>
  <c r="A649" i="1"/>
  <c r="H648" i="1"/>
  <c r="C648" i="1"/>
  <c r="A648" i="1"/>
  <c r="H647" i="1"/>
  <c r="C647" i="1"/>
  <c r="A647" i="1"/>
  <c r="H646" i="1"/>
  <c r="C646" i="1"/>
  <c r="A646" i="1"/>
  <c r="H645" i="1"/>
  <c r="C645" i="1"/>
  <c r="A645" i="1"/>
  <c r="H644" i="1"/>
  <c r="C644" i="1"/>
  <c r="A644" i="1"/>
  <c r="H643" i="1"/>
  <c r="C643" i="1"/>
  <c r="A643" i="1"/>
  <c r="H642" i="1"/>
  <c r="C642" i="1"/>
  <c r="A642" i="1"/>
  <c r="H641" i="1"/>
  <c r="C641" i="1"/>
  <c r="A641" i="1"/>
  <c r="H640" i="1"/>
  <c r="C640" i="1"/>
  <c r="A640" i="1"/>
  <c r="H639" i="1"/>
  <c r="C639" i="1"/>
  <c r="A639" i="1"/>
  <c r="H638" i="1"/>
  <c r="C638" i="1"/>
  <c r="A638" i="1"/>
  <c r="H637" i="1"/>
  <c r="C637" i="1"/>
  <c r="A637" i="1"/>
  <c r="H636" i="1"/>
  <c r="C636" i="1"/>
  <c r="A636" i="1"/>
  <c r="H635" i="1"/>
  <c r="C635" i="1"/>
  <c r="A635" i="1"/>
  <c r="H634" i="1"/>
  <c r="C634" i="1"/>
  <c r="A634" i="1"/>
  <c r="H633" i="1"/>
  <c r="C633" i="1"/>
  <c r="A633" i="1"/>
  <c r="H632" i="1"/>
  <c r="C632" i="1"/>
  <c r="A632" i="1"/>
  <c r="H631" i="1"/>
  <c r="C631" i="1"/>
  <c r="A631" i="1"/>
  <c r="H630" i="1"/>
  <c r="C630" i="1"/>
  <c r="A630" i="1"/>
  <c r="H629" i="1"/>
  <c r="C629" i="1"/>
  <c r="A629" i="1"/>
  <c r="H628" i="1"/>
  <c r="C628" i="1"/>
  <c r="A628" i="1"/>
  <c r="H627" i="1"/>
  <c r="C627" i="1"/>
  <c r="A627" i="1"/>
  <c r="H626" i="1"/>
  <c r="C626" i="1"/>
  <c r="A626" i="1"/>
  <c r="H625" i="1"/>
  <c r="C625" i="1"/>
  <c r="A625" i="1"/>
  <c r="H624" i="1"/>
  <c r="C624" i="1"/>
  <c r="A624" i="1"/>
  <c r="H623" i="1"/>
  <c r="C623" i="1"/>
  <c r="A623" i="1"/>
  <c r="H622" i="1"/>
  <c r="C622" i="1"/>
  <c r="A622" i="1"/>
  <c r="H621" i="1"/>
  <c r="C621" i="1"/>
  <c r="A621" i="1"/>
  <c r="H620" i="1"/>
  <c r="C620" i="1"/>
  <c r="A620" i="1"/>
  <c r="H619" i="1"/>
  <c r="C619" i="1"/>
  <c r="A619" i="1"/>
  <c r="H618" i="1"/>
  <c r="C618" i="1"/>
  <c r="A618" i="1"/>
  <c r="H617" i="1"/>
  <c r="C617" i="1"/>
  <c r="A617" i="1"/>
  <c r="H616" i="1"/>
  <c r="C616" i="1"/>
  <c r="A616" i="1"/>
  <c r="H615" i="1"/>
  <c r="C615" i="1"/>
  <c r="A615" i="1"/>
  <c r="H614" i="1"/>
  <c r="C614" i="1"/>
  <c r="A614" i="1"/>
  <c r="H613" i="1"/>
  <c r="C613" i="1"/>
  <c r="A613" i="1"/>
  <c r="H612" i="1"/>
  <c r="C612" i="1"/>
  <c r="A612" i="1"/>
  <c r="H611" i="1"/>
  <c r="C611" i="1"/>
  <c r="A611" i="1"/>
  <c r="H610" i="1"/>
  <c r="C610" i="1"/>
  <c r="A610" i="1"/>
  <c r="H609" i="1"/>
  <c r="C609" i="1"/>
  <c r="A609" i="1"/>
  <c r="H608" i="1"/>
  <c r="C608" i="1"/>
  <c r="A608" i="1"/>
  <c r="H607" i="1"/>
  <c r="C607" i="1"/>
  <c r="A607" i="1"/>
  <c r="H606" i="1"/>
  <c r="C606" i="1"/>
  <c r="A606" i="1"/>
  <c r="H605" i="1"/>
  <c r="C605" i="1"/>
  <c r="A605" i="1"/>
  <c r="H604" i="1"/>
  <c r="C604" i="1"/>
  <c r="A604" i="1"/>
  <c r="H603" i="1"/>
  <c r="C603" i="1"/>
  <c r="A603" i="1"/>
  <c r="H602" i="1"/>
  <c r="C602" i="1"/>
  <c r="A602" i="1"/>
  <c r="H601" i="1"/>
  <c r="C601" i="1"/>
  <c r="A601" i="1"/>
  <c r="H600" i="1"/>
  <c r="C600" i="1"/>
  <c r="A600" i="1"/>
  <c r="H599" i="1"/>
  <c r="C599" i="1"/>
  <c r="A599" i="1"/>
  <c r="H598" i="1"/>
  <c r="C598" i="1"/>
  <c r="A598" i="1"/>
  <c r="H597" i="1"/>
  <c r="C597" i="1"/>
  <c r="A597" i="1"/>
  <c r="H596" i="1"/>
  <c r="C596" i="1"/>
  <c r="A596" i="1"/>
  <c r="H595" i="1"/>
  <c r="C595" i="1"/>
  <c r="A595" i="1"/>
  <c r="H594" i="1"/>
  <c r="C594" i="1"/>
  <c r="A594" i="1"/>
  <c r="H593" i="1"/>
  <c r="C593" i="1"/>
  <c r="A593" i="1"/>
  <c r="H592" i="1"/>
  <c r="C592" i="1"/>
  <c r="A592" i="1"/>
  <c r="H591" i="1"/>
  <c r="C591" i="1"/>
  <c r="A591" i="1"/>
  <c r="H590" i="1"/>
  <c r="C590" i="1"/>
  <c r="A590" i="1"/>
  <c r="H589" i="1"/>
  <c r="C589" i="1"/>
  <c r="A589" i="1"/>
  <c r="H588" i="1"/>
  <c r="C588" i="1"/>
  <c r="A588" i="1"/>
  <c r="H587" i="1"/>
  <c r="C587" i="1"/>
  <c r="A587" i="1"/>
  <c r="H586" i="1"/>
  <c r="C586" i="1"/>
  <c r="A586" i="1"/>
  <c r="H585" i="1"/>
  <c r="C585" i="1"/>
  <c r="A585" i="1"/>
  <c r="H584" i="1"/>
  <c r="C584" i="1"/>
  <c r="A584" i="1"/>
  <c r="H583" i="1"/>
  <c r="C583" i="1"/>
  <c r="A583" i="1"/>
  <c r="H582" i="1"/>
  <c r="C582" i="1"/>
  <c r="A582" i="1"/>
  <c r="H581" i="1"/>
  <c r="C581" i="1"/>
  <c r="A581" i="1"/>
  <c r="H580" i="1"/>
  <c r="C580" i="1"/>
  <c r="A580" i="1"/>
  <c r="H579" i="1"/>
  <c r="C579" i="1"/>
  <c r="A579" i="1"/>
  <c r="H578" i="1"/>
  <c r="C578" i="1"/>
  <c r="A578" i="1"/>
  <c r="H577" i="1"/>
  <c r="C577" i="1"/>
  <c r="A577" i="1"/>
  <c r="H576" i="1"/>
  <c r="C576" i="1"/>
  <c r="A576" i="1"/>
  <c r="H575" i="1"/>
  <c r="C575" i="1"/>
  <c r="A575" i="1"/>
  <c r="H574" i="1"/>
  <c r="C574" i="1"/>
  <c r="A574" i="1"/>
  <c r="H573" i="1"/>
  <c r="C573" i="1"/>
  <c r="A573" i="1"/>
  <c r="H572" i="1"/>
  <c r="C572" i="1"/>
  <c r="A572" i="1"/>
  <c r="H571" i="1"/>
  <c r="C571" i="1"/>
  <c r="A571" i="1"/>
  <c r="H570" i="1"/>
  <c r="C570" i="1"/>
  <c r="A570" i="1"/>
  <c r="H569" i="1"/>
  <c r="C569" i="1"/>
  <c r="A569" i="1"/>
  <c r="H568" i="1"/>
  <c r="C568" i="1"/>
  <c r="A568" i="1"/>
  <c r="H567" i="1"/>
  <c r="C567" i="1"/>
  <c r="A567" i="1"/>
  <c r="H566" i="1"/>
  <c r="C566" i="1"/>
  <c r="A566" i="1"/>
  <c r="H565" i="1"/>
  <c r="C565" i="1"/>
  <c r="A565" i="1"/>
  <c r="H564" i="1"/>
  <c r="C564" i="1"/>
  <c r="A564" i="1"/>
  <c r="H563" i="1"/>
  <c r="C563" i="1"/>
  <c r="A563" i="1"/>
  <c r="H562" i="1"/>
  <c r="C562" i="1"/>
  <c r="A562" i="1"/>
  <c r="H561" i="1"/>
  <c r="C561" i="1"/>
  <c r="A561" i="1"/>
  <c r="H560" i="1"/>
  <c r="C560" i="1"/>
  <c r="A560" i="1"/>
  <c r="H559" i="1"/>
  <c r="C559" i="1"/>
  <c r="A559" i="1"/>
  <c r="H558" i="1"/>
  <c r="C558" i="1"/>
  <c r="A558" i="1"/>
  <c r="H557" i="1"/>
  <c r="C557" i="1"/>
  <c r="A557" i="1"/>
  <c r="H556" i="1"/>
  <c r="C556" i="1"/>
  <c r="A556" i="1"/>
  <c r="H555" i="1"/>
  <c r="C555" i="1"/>
  <c r="A555" i="1"/>
  <c r="H554" i="1"/>
  <c r="C554" i="1"/>
  <c r="A554" i="1"/>
  <c r="H553" i="1"/>
  <c r="C553" i="1"/>
  <c r="A553" i="1"/>
  <c r="H552" i="1"/>
  <c r="C552" i="1"/>
  <c r="A552" i="1"/>
  <c r="H551" i="1"/>
  <c r="C551" i="1"/>
  <c r="A551" i="1"/>
  <c r="H550" i="1"/>
  <c r="C550" i="1"/>
  <c r="A550" i="1"/>
  <c r="H549" i="1"/>
  <c r="C549" i="1"/>
  <c r="A549" i="1"/>
  <c r="H548" i="1"/>
  <c r="C548" i="1"/>
  <c r="A548" i="1"/>
  <c r="H547" i="1"/>
  <c r="C547" i="1"/>
  <c r="A547" i="1"/>
  <c r="H546" i="1"/>
  <c r="C546" i="1"/>
  <c r="A546" i="1"/>
  <c r="H545" i="1"/>
  <c r="C545" i="1"/>
  <c r="A545" i="1"/>
  <c r="H544" i="1"/>
  <c r="C544" i="1"/>
  <c r="A544" i="1"/>
  <c r="H543" i="1"/>
  <c r="C543" i="1"/>
  <c r="A543" i="1"/>
  <c r="H542" i="1"/>
  <c r="C542" i="1"/>
  <c r="A542" i="1"/>
  <c r="H541" i="1"/>
  <c r="C541" i="1"/>
  <c r="A541" i="1"/>
  <c r="H540" i="1"/>
  <c r="C540" i="1"/>
  <c r="A540" i="1"/>
  <c r="H539" i="1"/>
  <c r="C539" i="1"/>
  <c r="A539" i="1"/>
  <c r="H538" i="1"/>
  <c r="C538" i="1"/>
  <c r="A538" i="1"/>
  <c r="H537" i="1"/>
  <c r="C537" i="1"/>
  <c r="A537" i="1"/>
  <c r="H536" i="1"/>
  <c r="C536" i="1"/>
  <c r="A536" i="1"/>
  <c r="H535" i="1"/>
  <c r="C535" i="1"/>
  <c r="A535" i="1"/>
  <c r="H534" i="1"/>
  <c r="C534" i="1"/>
  <c r="A534" i="1"/>
  <c r="H533" i="1"/>
  <c r="C533" i="1"/>
  <c r="A533" i="1"/>
  <c r="H532" i="1"/>
  <c r="C532" i="1"/>
  <c r="A532" i="1"/>
  <c r="H531" i="1"/>
  <c r="C531" i="1"/>
  <c r="A531" i="1"/>
  <c r="H530" i="1"/>
  <c r="C530" i="1"/>
  <c r="A530" i="1"/>
  <c r="H529" i="1"/>
  <c r="C529" i="1"/>
  <c r="A529" i="1"/>
  <c r="H528" i="1"/>
  <c r="C528" i="1"/>
  <c r="A528" i="1"/>
  <c r="H527" i="1"/>
  <c r="C527" i="1"/>
  <c r="A527" i="1"/>
  <c r="H526" i="1"/>
  <c r="C526" i="1"/>
  <c r="A526" i="1"/>
  <c r="H525" i="1"/>
  <c r="C525" i="1"/>
  <c r="A525" i="1"/>
  <c r="H524" i="1"/>
  <c r="C524" i="1"/>
  <c r="A524" i="1"/>
  <c r="H523" i="1"/>
  <c r="C523" i="1"/>
  <c r="A523" i="1"/>
  <c r="H522" i="1"/>
  <c r="C522" i="1"/>
  <c r="A522" i="1"/>
  <c r="H521" i="1"/>
  <c r="C521" i="1"/>
  <c r="A521" i="1"/>
  <c r="H520" i="1"/>
  <c r="C520" i="1"/>
  <c r="A520" i="1"/>
  <c r="H519" i="1"/>
  <c r="C519" i="1"/>
  <c r="A519" i="1"/>
  <c r="H518" i="1"/>
  <c r="C518" i="1"/>
  <c r="A518" i="1"/>
  <c r="H517" i="1"/>
  <c r="C517" i="1"/>
  <c r="A517" i="1"/>
  <c r="H516" i="1"/>
  <c r="C516" i="1"/>
  <c r="A516" i="1"/>
  <c r="H515" i="1"/>
  <c r="C515" i="1"/>
  <c r="A515" i="1"/>
  <c r="H514" i="1"/>
  <c r="C514" i="1"/>
  <c r="A514" i="1"/>
  <c r="H513" i="1"/>
  <c r="C513" i="1"/>
  <c r="A513" i="1"/>
  <c r="H512" i="1"/>
  <c r="C512" i="1"/>
  <c r="A512" i="1"/>
  <c r="H511" i="1"/>
  <c r="C511" i="1"/>
  <c r="A511" i="1"/>
  <c r="H510" i="1"/>
  <c r="C510" i="1"/>
  <c r="A510" i="1"/>
  <c r="H509" i="1"/>
  <c r="C509" i="1"/>
  <c r="A509" i="1"/>
  <c r="H508" i="1"/>
  <c r="C508" i="1"/>
  <c r="A508" i="1"/>
  <c r="H507" i="1"/>
  <c r="C507" i="1"/>
  <c r="A507" i="1"/>
  <c r="H506" i="1"/>
  <c r="C506" i="1"/>
  <c r="A506" i="1"/>
  <c r="H505" i="1"/>
  <c r="C505" i="1"/>
  <c r="A505" i="1"/>
  <c r="H504" i="1"/>
  <c r="C504" i="1"/>
  <c r="A504" i="1"/>
  <c r="H503" i="1"/>
  <c r="C503" i="1"/>
  <c r="A503" i="1"/>
  <c r="H502" i="1"/>
  <c r="C502" i="1"/>
  <c r="A502" i="1"/>
  <c r="H501" i="1"/>
  <c r="C501" i="1"/>
  <c r="A501" i="1"/>
  <c r="H500" i="1"/>
  <c r="C500" i="1"/>
  <c r="A500" i="1"/>
  <c r="H499" i="1"/>
  <c r="C499" i="1"/>
  <c r="A499" i="1"/>
  <c r="H498" i="1"/>
  <c r="C498" i="1"/>
  <c r="A498" i="1"/>
  <c r="H497" i="1"/>
  <c r="C497" i="1"/>
  <c r="A497" i="1"/>
  <c r="H496" i="1"/>
  <c r="C496" i="1"/>
  <c r="A496" i="1"/>
  <c r="H495" i="1"/>
  <c r="C495" i="1"/>
  <c r="A495" i="1"/>
  <c r="H494" i="1"/>
  <c r="C494" i="1"/>
  <c r="A494" i="1"/>
  <c r="H493" i="1"/>
  <c r="C493" i="1"/>
  <c r="A493" i="1"/>
  <c r="H492" i="1"/>
  <c r="C492" i="1"/>
  <c r="A492" i="1"/>
  <c r="H491" i="1"/>
  <c r="C491" i="1"/>
  <c r="A491" i="1"/>
  <c r="H490" i="1"/>
  <c r="C490" i="1"/>
  <c r="A490" i="1"/>
  <c r="H489" i="1"/>
  <c r="C489" i="1"/>
  <c r="A489" i="1"/>
  <c r="H488" i="1"/>
  <c r="C488" i="1"/>
  <c r="A488" i="1"/>
  <c r="H487" i="1"/>
  <c r="C487" i="1"/>
  <c r="A487" i="1"/>
  <c r="H486" i="1"/>
  <c r="C486" i="1"/>
  <c r="A486" i="1"/>
  <c r="H485" i="1"/>
  <c r="C485" i="1"/>
  <c r="A485" i="1"/>
  <c r="H484" i="1"/>
  <c r="C484" i="1"/>
  <c r="A484" i="1"/>
  <c r="H483" i="1"/>
  <c r="C483" i="1"/>
  <c r="A483" i="1"/>
  <c r="H482" i="1"/>
  <c r="C482" i="1"/>
  <c r="A482" i="1"/>
  <c r="H481" i="1"/>
  <c r="C481" i="1"/>
  <c r="A481" i="1"/>
  <c r="H480" i="1"/>
  <c r="C480" i="1"/>
  <c r="A480" i="1"/>
  <c r="H479" i="1"/>
  <c r="C479" i="1"/>
  <c r="A479" i="1"/>
  <c r="H478" i="1"/>
  <c r="C478" i="1"/>
  <c r="A478" i="1"/>
  <c r="H477" i="1"/>
  <c r="C477" i="1"/>
  <c r="A477" i="1"/>
  <c r="H476" i="1"/>
  <c r="C476" i="1"/>
  <c r="A476" i="1"/>
  <c r="H475" i="1"/>
  <c r="C475" i="1"/>
  <c r="A475" i="1"/>
  <c r="H474" i="1"/>
  <c r="C474" i="1"/>
  <c r="A474" i="1"/>
  <c r="H473" i="1"/>
  <c r="C473" i="1"/>
  <c r="A473" i="1"/>
  <c r="H472" i="1"/>
  <c r="C472" i="1"/>
  <c r="A472" i="1"/>
  <c r="H471" i="1"/>
  <c r="C471" i="1"/>
  <c r="A471" i="1"/>
  <c r="H470" i="1"/>
  <c r="C470" i="1"/>
  <c r="A470" i="1"/>
  <c r="H469" i="1"/>
  <c r="C469" i="1"/>
  <c r="A469" i="1"/>
  <c r="H468" i="1"/>
  <c r="C468" i="1"/>
  <c r="A468" i="1"/>
  <c r="H467" i="1"/>
  <c r="C467" i="1"/>
  <c r="A467" i="1"/>
  <c r="H466" i="1"/>
  <c r="C466" i="1"/>
  <c r="A466" i="1"/>
  <c r="H465" i="1"/>
  <c r="C465" i="1"/>
  <c r="A465" i="1"/>
  <c r="H464" i="1"/>
  <c r="C464" i="1"/>
  <c r="A464" i="1"/>
  <c r="H463" i="1"/>
  <c r="C463" i="1"/>
  <c r="A463" i="1"/>
  <c r="H462" i="1"/>
  <c r="C462" i="1"/>
  <c r="A462" i="1"/>
  <c r="H461" i="1"/>
  <c r="C461" i="1"/>
  <c r="A461" i="1"/>
  <c r="H460" i="1"/>
  <c r="C460" i="1"/>
  <c r="A460" i="1"/>
  <c r="H459" i="1"/>
  <c r="C459" i="1"/>
  <c r="A459" i="1"/>
  <c r="H458" i="1"/>
  <c r="C458" i="1"/>
  <c r="A458" i="1"/>
  <c r="H457" i="1"/>
  <c r="C457" i="1"/>
  <c r="A457" i="1"/>
  <c r="H456" i="1"/>
  <c r="C456" i="1"/>
  <c r="A456" i="1"/>
  <c r="H455" i="1"/>
  <c r="C455" i="1"/>
  <c r="A455" i="1"/>
  <c r="H454" i="1"/>
  <c r="C454" i="1"/>
  <c r="A454" i="1"/>
  <c r="H453" i="1"/>
  <c r="C453" i="1"/>
  <c r="A453" i="1"/>
  <c r="H452" i="1"/>
  <c r="C452" i="1"/>
  <c r="A452" i="1"/>
  <c r="H451" i="1"/>
  <c r="C451" i="1"/>
  <c r="A451" i="1"/>
  <c r="H450" i="1"/>
  <c r="C450" i="1"/>
  <c r="A450" i="1"/>
  <c r="H449" i="1"/>
  <c r="C449" i="1"/>
  <c r="A449" i="1"/>
  <c r="H448" i="1"/>
  <c r="C448" i="1"/>
  <c r="A448" i="1"/>
  <c r="H447" i="1"/>
  <c r="C447" i="1"/>
  <c r="A447" i="1"/>
  <c r="H446" i="1"/>
  <c r="C446" i="1"/>
  <c r="A446" i="1"/>
  <c r="H445" i="1"/>
  <c r="C445" i="1"/>
  <c r="A445" i="1"/>
  <c r="H444" i="1"/>
  <c r="C444" i="1"/>
  <c r="A444" i="1"/>
  <c r="H443" i="1"/>
  <c r="C443" i="1"/>
  <c r="A443" i="1"/>
  <c r="H442" i="1"/>
  <c r="C442" i="1"/>
  <c r="A442" i="1"/>
  <c r="H441" i="1"/>
  <c r="C441" i="1"/>
  <c r="A441" i="1"/>
  <c r="H440" i="1"/>
  <c r="C440" i="1"/>
  <c r="A440" i="1"/>
  <c r="H439" i="1"/>
  <c r="C439" i="1"/>
  <c r="A439" i="1"/>
  <c r="H438" i="1"/>
  <c r="C438" i="1"/>
  <c r="A438" i="1"/>
  <c r="H437" i="1"/>
  <c r="C437" i="1"/>
  <c r="A437" i="1"/>
  <c r="H436" i="1"/>
  <c r="C436" i="1"/>
  <c r="A436" i="1"/>
  <c r="H435" i="1"/>
  <c r="C435" i="1"/>
  <c r="A435" i="1"/>
  <c r="H434" i="1"/>
  <c r="C434" i="1"/>
  <c r="A434" i="1"/>
  <c r="H433" i="1"/>
  <c r="C433" i="1"/>
  <c r="A433" i="1"/>
  <c r="H432" i="1"/>
  <c r="C432" i="1"/>
  <c r="A432" i="1"/>
  <c r="H431" i="1"/>
  <c r="C431" i="1"/>
  <c r="A431" i="1"/>
  <c r="H430" i="1"/>
  <c r="C430" i="1"/>
  <c r="A430" i="1"/>
  <c r="H429" i="1"/>
  <c r="C429" i="1"/>
  <c r="A429" i="1"/>
  <c r="H428" i="1"/>
  <c r="C428" i="1"/>
  <c r="A428" i="1"/>
  <c r="H427" i="1"/>
  <c r="C427" i="1"/>
  <c r="A427" i="1"/>
  <c r="H426" i="1"/>
  <c r="C426" i="1"/>
  <c r="A426" i="1"/>
  <c r="H425" i="1"/>
  <c r="C425" i="1"/>
  <c r="A425" i="1"/>
  <c r="H424" i="1"/>
  <c r="C424" i="1"/>
  <c r="A424" i="1"/>
  <c r="H423" i="1"/>
  <c r="C423" i="1"/>
  <c r="A423" i="1"/>
  <c r="H422" i="1"/>
  <c r="C422" i="1"/>
  <c r="A422" i="1"/>
  <c r="H421" i="1"/>
  <c r="C421" i="1"/>
  <c r="A421" i="1"/>
  <c r="H420" i="1"/>
  <c r="C420" i="1"/>
  <c r="A420" i="1"/>
  <c r="H419" i="1"/>
  <c r="C419" i="1"/>
  <c r="A419" i="1"/>
  <c r="H418" i="1"/>
  <c r="C418" i="1"/>
  <c r="A418" i="1"/>
  <c r="H417" i="1"/>
  <c r="C417" i="1"/>
  <c r="A417" i="1"/>
  <c r="H416" i="1"/>
  <c r="C416" i="1"/>
  <c r="A416" i="1"/>
  <c r="H415" i="1"/>
  <c r="C415" i="1"/>
  <c r="A415" i="1"/>
  <c r="H414" i="1"/>
  <c r="C414" i="1"/>
  <c r="A414" i="1"/>
  <c r="H413" i="1"/>
  <c r="C413" i="1"/>
  <c r="A413" i="1"/>
  <c r="H412" i="1"/>
  <c r="C412" i="1"/>
  <c r="A412" i="1"/>
  <c r="H411" i="1"/>
  <c r="C411" i="1"/>
  <c r="A411" i="1"/>
  <c r="H410" i="1"/>
  <c r="C410" i="1"/>
  <c r="A410" i="1"/>
  <c r="H409" i="1"/>
  <c r="C409" i="1"/>
  <c r="A409" i="1"/>
  <c r="H408" i="1"/>
  <c r="C408" i="1"/>
  <c r="A408" i="1"/>
  <c r="H407" i="1"/>
  <c r="C407" i="1"/>
  <c r="A407" i="1"/>
  <c r="H406" i="1"/>
  <c r="C406" i="1"/>
  <c r="A406" i="1"/>
  <c r="H405" i="1"/>
  <c r="C405" i="1"/>
  <c r="A405" i="1"/>
  <c r="H404" i="1"/>
  <c r="C404" i="1"/>
  <c r="A404" i="1"/>
  <c r="H403" i="1"/>
  <c r="C403" i="1"/>
  <c r="A403" i="1"/>
  <c r="H402" i="1"/>
  <c r="C402" i="1"/>
  <c r="A402" i="1"/>
  <c r="H401" i="1"/>
  <c r="C401" i="1"/>
  <c r="A401" i="1"/>
  <c r="H400" i="1"/>
  <c r="C400" i="1"/>
  <c r="A400" i="1"/>
  <c r="H399" i="1"/>
  <c r="C399" i="1"/>
  <c r="A399" i="1"/>
  <c r="H398" i="1"/>
  <c r="C398" i="1"/>
  <c r="A398" i="1"/>
  <c r="H397" i="1"/>
  <c r="C397" i="1"/>
  <c r="A397" i="1"/>
  <c r="H396" i="1"/>
  <c r="C396" i="1"/>
  <c r="A396" i="1"/>
  <c r="H395" i="1"/>
  <c r="C395" i="1"/>
  <c r="A395" i="1"/>
  <c r="H394" i="1"/>
  <c r="C394" i="1"/>
  <c r="A394" i="1"/>
  <c r="H393" i="1"/>
  <c r="C393" i="1"/>
  <c r="A393" i="1"/>
  <c r="H392" i="1"/>
  <c r="C392" i="1"/>
  <c r="A392" i="1"/>
  <c r="H391" i="1"/>
  <c r="C391" i="1"/>
  <c r="A391" i="1"/>
  <c r="H390" i="1"/>
  <c r="C390" i="1"/>
  <c r="A390" i="1"/>
  <c r="H389" i="1"/>
  <c r="C389" i="1"/>
  <c r="A389" i="1"/>
  <c r="H388" i="1"/>
  <c r="C388" i="1"/>
  <c r="A388" i="1"/>
  <c r="H387" i="1"/>
  <c r="C387" i="1"/>
  <c r="A387" i="1"/>
  <c r="H386" i="1"/>
  <c r="C386" i="1"/>
  <c r="A386" i="1"/>
  <c r="H385" i="1"/>
  <c r="C385" i="1"/>
  <c r="A385" i="1"/>
  <c r="H384" i="1"/>
  <c r="C384" i="1"/>
  <c r="A384" i="1"/>
  <c r="H383" i="1"/>
  <c r="C383" i="1"/>
  <c r="A383" i="1"/>
  <c r="H382" i="1"/>
  <c r="C382" i="1"/>
  <c r="A382" i="1"/>
  <c r="H381" i="1"/>
  <c r="C381" i="1"/>
  <c r="A381" i="1"/>
  <c r="H380" i="1"/>
  <c r="C380" i="1"/>
  <c r="A380" i="1"/>
  <c r="H379" i="1"/>
  <c r="C379" i="1"/>
  <c r="A379" i="1"/>
  <c r="H378" i="1"/>
  <c r="C378" i="1"/>
  <c r="A378" i="1"/>
  <c r="H377" i="1"/>
  <c r="C377" i="1"/>
  <c r="A377" i="1"/>
  <c r="H376" i="1"/>
  <c r="C376" i="1"/>
  <c r="A376" i="1"/>
  <c r="H375" i="1"/>
  <c r="C375" i="1"/>
  <c r="A375" i="1"/>
  <c r="H374" i="1"/>
  <c r="C374" i="1"/>
  <c r="A374" i="1"/>
  <c r="H373" i="1"/>
  <c r="C373" i="1"/>
  <c r="A373" i="1"/>
  <c r="H372" i="1"/>
  <c r="C372" i="1"/>
  <c r="A372" i="1"/>
  <c r="H371" i="1"/>
  <c r="C371" i="1"/>
  <c r="A371" i="1"/>
  <c r="H370" i="1"/>
  <c r="C370" i="1"/>
  <c r="A370" i="1"/>
  <c r="H369" i="1"/>
  <c r="C369" i="1"/>
  <c r="A369" i="1"/>
  <c r="H368" i="1"/>
  <c r="C368" i="1"/>
  <c r="A368" i="1"/>
  <c r="H367" i="1"/>
  <c r="C367" i="1"/>
  <c r="A367" i="1"/>
  <c r="H366" i="1"/>
  <c r="C366" i="1"/>
  <c r="A366" i="1"/>
  <c r="H365" i="1"/>
  <c r="C365" i="1"/>
  <c r="A365" i="1"/>
  <c r="H364" i="1"/>
  <c r="C364" i="1"/>
  <c r="A364" i="1"/>
  <c r="H363" i="1"/>
  <c r="C363" i="1"/>
  <c r="A363" i="1"/>
  <c r="H362" i="1"/>
  <c r="C362" i="1"/>
  <c r="A362" i="1"/>
  <c r="H361" i="1"/>
  <c r="C361" i="1"/>
  <c r="A361" i="1"/>
  <c r="H360" i="1"/>
  <c r="C360" i="1"/>
  <c r="A360" i="1"/>
  <c r="H359" i="1"/>
  <c r="C359" i="1"/>
  <c r="A359" i="1"/>
  <c r="H358" i="1"/>
  <c r="C358" i="1"/>
  <c r="A358" i="1"/>
  <c r="H357" i="1"/>
  <c r="C357" i="1"/>
  <c r="A357" i="1"/>
  <c r="H356" i="1"/>
  <c r="C356" i="1"/>
  <c r="A356" i="1"/>
  <c r="H355" i="1"/>
  <c r="C355" i="1"/>
  <c r="A355" i="1"/>
  <c r="H354" i="1"/>
  <c r="C354" i="1"/>
  <c r="A354" i="1"/>
  <c r="H353" i="1"/>
  <c r="C353" i="1"/>
  <c r="A353" i="1"/>
  <c r="H352" i="1"/>
  <c r="C352" i="1"/>
  <c r="A352" i="1"/>
  <c r="H351" i="1"/>
  <c r="C351" i="1"/>
  <c r="A351" i="1"/>
  <c r="H350" i="1"/>
  <c r="C350" i="1"/>
  <c r="A350" i="1"/>
  <c r="H349" i="1"/>
  <c r="C349" i="1"/>
  <c r="A349" i="1"/>
  <c r="H348" i="1"/>
  <c r="C348" i="1"/>
  <c r="A348" i="1"/>
  <c r="H347" i="1"/>
  <c r="C347" i="1"/>
  <c r="A347" i="1"/>
  <c r="H346" i="1"/>
  <c r="C346" i="1"/>
  <c r="A346" i="1"/>
  <c r="H345" i="1"/>
  <c r="C345" i="1"/>
  <c r="A345" i="1"/>
  <c r="H344" i="1"/>
  <c r="C344" i="1"/>
  <c r="A344" i="1"/>
  <c r="H343" i="1"/>
  <c r="C343" i="1"/>
  <c r="A343" i="1"/>
  <c r="H342" i="1"/>
  <c r="C342" i="1"/>
  <c r="A342" i="1"/>
  <c r="H341" i="1"/>
  <c r="C341" i="1"/>
  <c r="A341" i="1"/>
  <c r="H340" i="1"/>
  <c r="C340" i="1"/>
  <c r="A340" i="1"/>
  <c r="H339" i="1"/>
  <c r="C339" i="1"/>
  <c r="A339" i="1"/>
  <c r="H338" i="1"/>
  <c r="C338" i="1"/>
  <c r="A338" i="1"/>
  <c r="H337" i="1"/>
  <c r="C337" i="1"/>
  <c r="A337" i="1"/>
  <c r="H336" i="1"/>
  <c r="C336" i="1"/>
  <c r="A336" i="1"/>
  <c r="H335" i="1"/>
  <c r="C335" i="1"/>
  <c r="A335" i="1"/>
  <c r="H334" i="1"/>
  <c r="C334" i="1"/>
  <c r="A334" i="1"/>
  <c r="H333" i="1"/>
  <c r="C333" i="1"/>
  <c r="A333" i="1"/>
  <c r="H332" i="1"/>
  <c r="C332" i="1"/>
  <c r="A332" i="1"/>
  <c r="H331" i="1"/>
  <c r="C331" i="1"/>
  <c r="A331" i="1"/>
  <c r="H330" i="1"/>
  <c r="C330" i="1"/>
  <c r="A330" i="1"/>
  <c r="H329" i="1"/>
  <c r="C329" i="1"/>
  <c r="A329" i="1"/>
  <c r="H328" i="1"/>
  <c r="C328" i="1"/>
  <c r="A328" i="1"/>
  <c r="H327" i="1"/>
  <c r="C327" i="1"/>
  <c r="A327" i="1"/>
  <c r="H326" i="1"/>
  <c r="C326" i="1"/>
  <c r="A326" i="1"/>
  <c r="H325" i="1"/>
  <c r="C325" i="1"/>
  <c r="A325" i="1"/>
  <c r="H324" i="1"/>
  <c r="C324" i="1"/>
  <c r="A324" i="1"/>
  <c r="H323" i="1"/>
  <c r="C323" i="1"/>
  <c r="A323" i="1"/>
  <c r="H322" i="1"/>
  <c r="C322" i="1"/>
  <c r="A322" i="1"/>
  <c r="H321" i="1"/>
  <c r="C321" i="1"/>
  <c r="A321" i="1"/>
  <c r="H320" i="1"/>
  <c r="C320" i="1"/>
  <c r="A320" i="1"/>
  <c r="H319" i="1"/>
  <c r="C319" i="1"/>
  <c r="A319" i="1"/>
  <c r="H318" i="1"/>
  <c r="C318" i="1"/>
  <c r="A318" i="1"/>
  <c r="H317" i="1"/>
  <c r="C317" i="1"/>
  <c r="A317" i="1"/>
  <c r="H316" i="1"/>
  <c r="C316" i="1"/>
  <c r="A316" i="1"/>
  <c r="H315" i="1"/>
  <c r="C315" i="1"/>
  <c r="A315" i="1"/>
  <c r="H314" i="1"/>
  <c r="C314" i="1"/>
  <c r="A314" i="1"/>
  <c r="H313" i="1"/>
  <c r="C313" i="1"/>
  <c r="A313" i="1"/>
  <c r="H312" i="1"/>
  <c r="C312" i="1"/>
  <c r="A312" i="1"/>
  <c r="H311" i="1"/>
  <c r="C311" i="1"/>
  <c r="A311" i="1"/>
  <c r="H310" i="1"/>
  <c r="C310" i="1"/>
  <c r="A310" i="1"/>
  <c r="H309" i="1"/>
  <c r="C309" i="1"/>
  <c r="A309" i="1"/>
  <c r="H308" i="1"/>
  <c r="C308" i="1"/>
  <c r="A308" i="1"/>
  <c r="H307" i="1"/>
  <c r="C307" i="1"/>
  <c r="A307" i="1"/>
  <c r="H306" i="1"/>
  <c r="C306" i="1"/>
  <c r="A306" i="1"/>
  <c r="H305" i="1"/>
  <c r="C305" i="1"/>
  <c r="A305" i="1"/>
  <c r="H304" i="1"/>
  <c r="C304" i="1"/>
  <c r="A304" i="1"/>
  <c r="H303" i="1"/>
  <c r="C303" i="1"/>
  <c r="A303" i="1"/>
  <c r="H302" i="1"/>
  <c r="C302" i="1"/>
  <c r="A302" i="1"/>
  <c r="H301" i="1"/>
  <c r="C301" i="1"/>
  <c r="A301" i="1"/>
  <c r="H300" i="1"/>
  <c r="C300" i="1"/>
  <c r="A300" i="1"/>
  <c r="H299" i="1"/>
  <c r="C299" i="1"/>
  <c r="A299" i="1"/>
  <c r="H298" i="1"/>
  <c r="C298" i="1"/>
  <c r="A298" i="1"/>
  <c r="H297" i="1"/>
  <c r="C297" i="1"/>
  <c r="A297" i="1"/>
  <c r="H296" i="1"/>
  <c r="C296" i="1"/>
  <c r="A296" i="1"/>
  <c r="H295" i="1"/>
  <c r="C295" i="1"/>
  <c r="A295" i="1"/>
  <c r="H294" i="1"/>
  <c r="C294" i="1"/>
  <c r="A294" i="1"/>
  <c r="H293" i="1"/>
  <c r="C293" i="1"/>
  <c r="A293" i="1"/>
  <c r="H292" i="1"/>
  <c r="C292" i="1"/>
  <c r="A292" i="1"/>
  <c r="H291" i="1"/>
  <c r="C291" i="1"/>
  <c r="A291" i="1"/>
  <c r="H290" i="1"/>
  <c r="C290" i="1"/>
  <c r="A290" i="1"/>
  <c r="H289" i="1"/>
  <c r="C289" i="1"/>
  <c r="A289" i="1"/>
  <c r="H288" i="1"/>
  <c r="C288" i="1"/>
  <c r="A288" i="1"/>
  <c r="H287" i="1"/>
  <c r="C287" i="1"/>
  <c r="A287" i="1"/>
  <c r="H286" i="1"/>
  <c r="C286" i="1"/>
  <c r="A286" i="1"/>
  <c r="H285" i="1"/>
  <c r="C285" i="1"/>
  <c r="A285" i="1"/>
  <c r="H284" i="1"/>
  <c r="C284" i="1"/>
  <c r="A284" i="1"/>
  <c r="H283" i="1"/>
  <c r="C283" i="1"/>
  <c r="A283" i="1"/>
  <c r="H282" i="1"/>
  <c r="C282" i="1"/>
  <c r="A282" i="1"/>
  <c r="H281" i="1"/>
  <c r="C281" i="1"/>
  <c r="A281" i="1"/>
  <c r="H280" i="1"/>
  <c r="C280" i="1"/>
  <c r="A280" i="1"/>
  <c r="H279" i="1"/>
  <c r="C279" i="1"/>
  <c r="A279" i="1"/>
  <c r="H278" i="1"/>
  <c r="C278" i="1"/>
  <c r="A278" i="1"/>
  <c r="H277" i="1"/>
  <c r="C277" i="1"/>
  <c r="A277" i="1"/>
  <c r="H276" i="1"/>
  <c r="C276" i="1"/>
  <c r="A276" i="1"/>
  <c r="H275" i="1"/>
  <c r="C275" i="1"/>
  <c r="A275" i="1"/>
  <c r="H274" i="1"/>
  <c r="C274" i="1"/>
  <c r="A274" i="1"/>
  <c r="H273" i="1"/>
  <c r="C273" i="1"/>
  <c r="A273" i="1"/>
  <c r="H272" i="1"/>
  <c r="C272" i="1"/>
  <c r="A272" i="1"/>
  <c r="H271" i="1"/>
  <c r="C271" i="1"/>
  <c r="A271" i="1"/>
  <c r="H270" i="1"/>
  <c r="C270" i="1"/>
  <c r="A270" i="1"/>
  <c r="H269" i="1"/>
  <c r="C269" i="1"/>
  <c r="A269" i="1"/>
  <c r="H268" i="1"/>
  <c r="C268" i="1"/>
  <c r="A268" i="1"/>
  <c r="H267" i="1"/>
  <c r="C267" i="1"/>
  <c r="A267" i="1"/>
  <c r="H266" i="1"/>
  <c r="C266" i="1"/>
  <c r="A266" i="1"/>
  <c r="H265" i="1"/>
  <c r="C265" i="1"/>
  <c r="A265" i="1"/>
  <c r="H264" i="1"/>
  <c r="C264" i="1"/>
  <c r="A264" i="1"/>
  <c r="H263" i="1"/>
  <c r="C263" i="1"/>
  <c r="A263" i="1"/>
  <c r="H262" i="1"/>
  <c r="C262" i="1"/>
  <c r="A262" i="1"/>
  <c r="H261" i="1"/>
  <c r="C261" i="1"/>
  <c r="A261" i="1"/>
  <c r="H260" i="1"/>
  <c r="C260" i="1"/>
  <c r="A260" i="1"/>
  <c r="H259" i="1"/>
  <c r="C259" i="1"/>
  <c r="A259" i="1"/>
  <c r="H258" i="1"/>
  <c r="C258" i="1"/>
  <c r="A258" i="1"/>
  <c r="H257" i="1"/>
  <c r="C257" i="1"/>
  <c r="A257" i="1"/>
  <c r="H256" i="1"/>
  <c r="C256" i="1"/>
  <c r="A256" i="1"/>
  <c r="H255" i="1"/>
  <c r="C255" i="1"/>
  <c r="A255" i="1"/>
  <c r="H254" i="1"/>
  <c r="C254" i="1"/>
  <c r="A254" i="1"/>
  <c r="H253" i="1"/>
  <c r="C253" i="1"/>
  <c r="A253" i="1"/>
  <c r="H252" i="1"/>
  <c r="C252" i="1"/>
  <c r="A252" i="1"/>
  <c r="H251" i="1"/>
  <c r="C251" i="1"/>
  <c r="A251" i="1"/>
  <c r="H250" i="1"/>
  <c r="C250" i="1"/>
  <c r="A250" i="1"/>
  <c r="H249" i="1"/>
  <c r="C249" i="1"/>
  <c r="A249" i="1"/>
  <c r="H248" i="1"/>
  <c r="C248" i="1"/>
  <c r="A248" i="1"/>
  <c r="H247" i="1"/>
  <c r="C247" i="1"/>
  <c r="A247" i="1"/>
  <c r="H246" i="1"/>
  <c r="C246" i="1"/>
  <c r="A246" i="1"/>
  <c r="H245" i="1"/>
  <c r="C245" i="1"/>
  <c r="A245" i="1"/>
  <c r="H244" i="1"/>
  <c r="C244" i="1"/>
  <c r="A244" i="1"/>
  <c r="H243" i="1"/>
  <c r="C243" i="1"/>
  <c r="A243" i="1"/>
  <c r="H242" i="1"/>
  <c r="C242" i="1"/>
  <c r="A242" i="1"/>
  <c r="H241" i="1"/>
  <c r="C241" i="1"/>
  <c r="A241" i="1"/>
  <c r="H240" i="1"/>
  <c r="C240" i="1"/>
  <c r="A240" i="1"/>
  <c r="H239" i="1"/>
  <c r="C239" i="1"/>
  <c r="A239" i="1"/>
  <c r="H238" i="1"/>
  <c r="C238" i="1"/>
  <c r="A238" i="1"/>
  <c r="H237" i="1"/>
  <c r="C237" i="1"/>
  <c r="A237" i="1"/>
  <c r="H236" i="1"/>
  <c r="C236" i="1"/>
  <c r="A236" i="1"/>
  <c r="H235" i="1"/>
  <c r="C235" i="1"/>
  <c r="A235" i="1"/>
  <c r="H234" i="1"/>
  <c r="C234" i="1"/>
  <c r="A234" i="1"/>
  <c r="H233" i="1"/>
  <c r="C233" i="1"/>
  <c r="A233" i="1"/>
  <c r="H232" i="1"/>
  <c r="C232" i="1"/>
  <c r="A232" i="1"/>
  <c r="H231" i="1"/>
  <c r="C231" i="1"/>
  <c r="A231" i="1"/>
  <c r="H230" i="1"/>
  <c r="C230" i="1"/>
  <c r="A230" i="1"/>
  <c r="H229" i="1"/>
  <c r="C229" i="1"/>
  <c r="A229" i="1"/>
  <c r="H228" i="1"/>
  <c r="C228" i="1"/>
  <c r="A228" i="1"/>
  <c r="H227" i="1"/>
  <c r="C227" i="1"/>
  <c r="A227" i="1"/>
  <c r="H226" i="1"/>
  <c r="C226" i="1"/>
  <c r="A226" i="1"/>
  <c r="H225" i="1"/>
  <c r="C225" i="1"/>
  <c r="A225" i="1"/>
  <c r="H224" i="1"/>
  <c r="C224" i="1"/>
  <c r="A224" i="1"/>
  <c r="H223" i="1"/>
  <c r="C223" i="1"/>
  <c r="A223" i="1"/>
  <c r="H222" i="1"/>
  <c r="C222" i="1"/>
  <c r="A222" i="1"/>
  <c r="H221" i="1"/>
  <c r="C221" i="1"/>
  <c r="A221" i="1"/>
  <c r="H220" i="1"/>
  <c r="C220" i="1"/>
  <c r="A220" i="1"/>
  <c r="H219" i="1"/>
  <c r="C219" i="1"/>
  <c r="A219" i="1"/>
  <c r="H218" i="1"/>
  <c r="C218" i="1"/>
  <c r="A218" i="1"/>
  <c r="H217" i="1"/>
  <c r="C217" i="1"/>
  <c r="A217" i="1"/>
  <c r="H216" i="1"/>
  <c r="C216" i="1"/>
  <c r="A216" i="1"/>
  <c r="H215" i="1"/>
  <c r="C215" i="1"/>
  <c r="A215" i="1"/>
  <c r="H214" i="1"/>
  <c r="C214" i="1"/>
  <c r="A214" i="1"/>
  <c r="H213" i="1"/>
  <c r="C213" i="1"/>
  <c r="A213" i="1"/>
  <c r="H212" i="1"/>
  <c r="C212" i="1"/>
  <c r="A212" i="1"/>
  <c r="H211" i="1"/>
  <c r="C211" i="1"/>
  <c r="A211" i="1"/>
  <c r="H210" i="1"/>
  <c r="C210" i="1"/>
  <c r="A210" i="1"/>
  <c r="H209" i="1"/>
  <c r="C209" i="1"/>
  <c r="A209" i="1"/>
  <c r="H208" i="1"/>
  <c r="C208" i="1"/>
  <c r="A208" i="1"/>
  <c r="H207" i="1"/>
  <c r="C207" i="1"/>
  <c r="A207" i="1"/>
  <c r="H206" i="1"/>
  <c r="C206" i="1"/>
  <c r="A206" i="1"/>
  <c r="H205" i="1"/>
  <c r="C205" i="1"/>
  <c r="A205" i="1"/>
  <c r="H204" i="1"/>
  <c r="C204" i="1"/>
  <c r="A204" i="1"/>
  <c r="H203" i="1"/>
  <c r="C203" i="1"/>
  <c r="A203" i="1"/>
  <c r="H202" i="1"/>
  <c r="C202" i="1"/>
  <c r="A202" i="1"/>
  <c r="H201" i="1"/>
  <c r="C201" i="1"/>
  <c r="A201" i="1"/>
  <c r="H200" i="1"/>
  <c r="C200" i="1"/>
  <c r="A200" i="1"/>
  <c r="H199" i="1"/>
  <c r="C199" i="1"/>
  <c r="A199" i="1"/>
  <c r="H198" i="1"/>
  <c r="C198" i="1"/>
  <c r="A198" i="1"/>
  <c r="H197" i="1"/>
  <c r="C197" i="1"/>
  <c r="A197" i="1"/>
  <c r="H196" i="1"/>
  <c r="C196" i="1"/>
  <c r="A196" i="1"/>
  <c r="H195" i="1"/>
  <c r="C195" i="1"/>
  <c r="A195" i="1"/>
  <c r="H194" i="1"/>
  <c r="C194" i="1"/>
  <c r="A194" i="1"/>
  <c r="H193" i="1"/>
  <c r="C193" i="1"/>
  <c r="A193" i="1"/>
  <c r="H192" i="1"/>
  <c r="C192" i="1"/>
  <c r="A192" i="1"/>
  <c r="H191" i="1"/>
  <c r="C191" i="1"/>
  <c r="A191" i="1"/>
  <c r="H190" i="1"/>
  <c r="C190" i="1"/>
  <c r="A190" i="1"/>
  <c r="H189" i="1"/>
  <c r="C189" i="1"/>
  <c r="A189" i="1"/>
  <c r="H188" i="1"/>
  <c r="C188" i="1"/>
  <c r="A188" i="1"/>
  <c r="H187" i="1"/>
  <c r="C187" i="1"/>
  <c r="A187" i="1"/>
  <c r="H186" i="1"/>
  <c r="C186" i="1"/>
  <c r="A186" i="1"/>
  <c r="H185" i="1"/>
  <c r="C185" i="1"/>
  <c r="A185" i="1"/>
  <c r="H184" i="1"/>
  <c r="C184" i="1"/>
  <c r="A184" i="1"/>
  <c r="H183" i="1"/>
  <c r="C183" i="1"/>
  <c r="A183" i="1"/>
  <c r="H182" i="1"/>
  <c r="C182" i="1"/>
  <c r="A182" i="1"/>
  <c r="H181" i="1"/>
  <c r="C181" i="1"/>
  <c r="A181" i="1"/>
  <c r="H180" i="1"/>
  <c r="C180" i="1"/>
  <c r="A180" i="1"/>
  <c r="H179" i="1"/>
  <c r="C179" i="1"/>
  <c r="A179" i="1"/>
  <c r="H178" i="1"/>
  <c r="C178" i="1"/>
  <c r="A178" i="1"/>
  <c r="H177" i="1"/>
  <c r="C177" i="1"/>
  <c r="A177" i="1"/>
  <c r="H176" i="1"/>
  <c r="C176" i="1"/>
  <c r="A176" i="1"/>
  <c r="H175" i="1"/>
  <c r="C175" i="1"/>
  <c r="A175" i="1"/>
  <c r="H174" i="1"/>
  <c r="C174" i="1"/>
  <c r="A174" i="1"/>
  <c r="H173" i="1"/>
  <c r="C173" i="1"/>
  <c r="A173" i="1"/>
  <c r="H172" i="1"/>
  <c r="C172" i="1"/>
  <c r="A172" i="1"/>
  <c r="H171" i="1"/>
  <c r="C171" i="1"/>
  <c r="A171" i="1"/>
  <c r="H170" i="1"/>
  <c r="C170" i="1"/>
  <c r="A170" i="1"/>
  <c r="H169" i="1"/>
  <c r="C169" i="1"/>
  <c r="A169" i="1"/>
  <c r="H168" i="1"/>
  <c r="C168" i="1"/>
  <c r="A168" i="1"/>
  <c r="H167" i="1"/>
  <c r="C167" i="1"/>
  <c r="A167" i="1"/>
  <c r="H166" i="1"/>
  <c r="C166" i="1"/>
  <c r="A166" i="1"/>
  <c r="H165" i="1"/>
  <c r="C165" i="1"/>
  <c r="A165" i="1"/>
  <c r="H164" i="1"/>
  <c r="C164" i="1"/>
  <c r="A164" i="1"/>
  <c r="H163" i="1"/>
  <c r="C163" i="1"/>
  <c r="A163" i="1"/>
  <c r="H162" i="1"/>
  <c r="C162" i="1"/>
  <c r="A162" i="1"/>
  <c r="H161" i="1"/>
  <c r="C161" i="1"/>
  <c r="A161" i="1"/>
  <c r="H160" i="1"/>
  <c r="C160" i="1"/>
  <c r="A160" i="1"/>
  <c r="H159" i="1"/>
  <c r="C159" i="1"/>
  <c r="A159" i="1"/>
  <c r="H158" i="1"/>
  <c r="C158" i="1"/>
  <c r="A158" i="1"/>
  <c r="H157" i="1"/>
  <c r="C157" i="1"/>
  <c r="A157" i="1"/>
  <c r="H156" i="1"/>
  <c r="C156" i="1"/>
  <c r="A156" i="1"/>
  <c r="H155" i="1"/>
  <c r="C155" i="1"/>
  <c r="A155" i="1"/>
  <c r="H154" i="1"/>
  <c r="C154" i="1"/>
  <c r="A154" i="1"/>
  <c r="H153" i="1"/>
  <c r="C153" i="1"/>
  <c r="A153" i="1"/>
  <c r="H152" i="1"/>
  <c r="C152" i="1"/>
  <c r="A152" i="1"/>
  <c r="H151" i="1"/>
  <c r="C151" i="1"/>
  <c r="A151" i="1"/>
  <c r="H150" i="1"/>
  <c r="C150" i="1"/>
  <c r="A150" i="1"/>
  <c r="H149" i="1"/>
  <c r="C149" i="1"/>
  <c r="A149" i="1"/>
  <c r="H148" i="1"/>
  <c r="C148" i="1"/>
  <c r="A148" i="1"/>
  <c r="H147" i="1"/>
  <c r="C147" i="1"/>
  <c r="A147" i="1"/>
  <c r="H146" i="1"/>
  <c r="C146" i="1"/>
  <c r="A146" i="1"/>
  <c r="H145" i="1"/>
  <c r="C145" i="1"/>
  <c r="A145" i="1"/>
  <c r="H144" i="1"/>
  <c r="C144" i="1"/>
  <c r="A144" i="1"/>
  <c r="H143" i="1"/>
  <c r="C143" i="1"/>
  <c r="A143" i="1"/>
  <c r="H142" i="1"/>
  <c r="C142" i="1"/>
  <c r="A142" i="1"/>
  <c r="H141" i="1"/>
  <c r="C141" i="1"/>
  <c r="A141" i="1"/>
  <c r="H140" i="1"/>
  <c r="C140" i="1"/>
  <c r="A140" i="1"/>
  <c r="H139" i="1"/>
  <c r="C139" i="1"/>
  <c r="A139" i="1"/>
  <c r="H138" i="1"/>
  <c r="C138" i="1"/>
  <c r="A138" i="1"/>
  <c r="H137" i="1"/>
  <c r="C137" i="1"/>
  <c r="A137" i="1"/>
  <c r="H136" i="1"/>
  <c r="C136" i="1"/>
  <c r="A136" i="1"/>
  <c r="H135" i="1"/>
  <c r="C135" i="1"/>
  <c r="A135" i="1"/>
  <c r="H134" i="1"/>
  <c r="C134" i="1"/>
  <c r="A134" i="1"/>
  <c r="H133" i="1"/>
  <c r="C133" i="1"/>
  <c r="A133" i="1"/>
  <c r="H132" i="1"/>
  <c r="C132" i="1"/>
  <c r="A132" i="1"/>
  <c r="H131" i="1"/>
  <c r="C131" i="1"/>
  <c r="A131" i="1"/>
  <c r="H130" i="1"/>
  <c r="C130" i="1"/>
  <c r="A130" i="1"/>
  <c r="H129" i="1"/>
  <c r="C129" i="1"/>
  <c r="A129" i="1"/>
  <c r="H128" i="1"/>
  <c r="C128" i="1"/>
  <c r="A128" i="1"/>
  <c r="H127" i="1"/>
  <c r="C127" i="1"/>
  <c r="A127" i="1"/>
  <c r="H126" i="1"/>
  <c r="C126" i="1"/>
  <c r="A126" i="1"/>
  <c r="H125" i="1"/>
  <c r="C125" i="1"/>
  <c r="A125" i="1"/>
  <c r="H124" i="1"/>
  <c r="C124" i="1"/>
  <c r="A124" i="1"/>
  <c r="H123" i="1"/>
  <c r="C123" i="1"/>
  <c r="A123" i="1"/>
  <c r="H122" i="1"/>
  <c r="C122" i="1"/>
  <c r="A122" i="1"/>
  <c r="H121" i="1"/>
  <c r="C121" i="1"/>
  <c r="A121" i="1"/>
  <c r="H120" i="1"/>
  <c r="C120" i="1"/>
  <c r="A120" i="1"/>
  <c r="H119" i="1"/>
  <c r="C119" i="1"/>
  <c r="A119" i="1"/>
  <c r="H118" i="1"/>
  <c r="C118" i="1"/>
  <c r="A118" i="1"/>
  <c r="H117" i="1"/>
  <c r="C117" i="1"/>
  <c r="A117" i="1"/>
  <c r="H116" i="1"/>
  <c r="C116" i="1"/>
  <c r="A116" i="1"/>
  <c r="H115" i="1"/>
  <c r="C115" i="1"/>
  <c r="A115" i="1"/>
  <c r="H114" i="1"/>
  <c r="C114" i="1"/>
  <c r="A114" i="1"/>
  <c r="H113" i="1"/>
  <c r="C113" i="1"/>
  <c r="A113" i="1"/>
  <c r="H112" i="1"/>
  <c r="C112" i="1"/>
  <c r="A112" i="1"/>
  <c r="H111" i="1"/>
  <c r="C111" i="1"/>
  <c r="A111" i="1"/>
  <c r="H110" i="1"/>
  <c r="C110" i="1"/>
  <c r="A110" i="1"/>
  <c r="H109" i="1"/>
  <c r="C109" i="1"/>
  <c r="A109" i="1"/>
  <c r="H108" i="1"/>
  <c r="C108" i="1"/>
  <c r="A108" i="1"/>
  <c r="H107" i="1"/>
  <c r="C107" i="1"/>
  <c r="A107" i="1"/>
  <c r="H106" i="1"/>
  <c r="C106" i="1"/>
  <c r="A106" i="1"/>
  <c r="H105" i="1"/>
  <c r="C105" i="1"/>
  <c r="A105" i="1"/>
  <c r="H104" i="1"/>
  <c r="C104" i="1"/>
  <c r="A104" i="1"/>
  <c r="H103" i="1"/>
  <c r="C103" i="1"/>
  <c r="A103" i="1"/>
  <c r="H102" i="1"/>
  <c r="C102" i="1"/>
  <c r="A102" i="1"/>
  <c r="H101" i="1"/>
  <c r="C101" i="1"/>
  <c r="A101" i="1"/>
  <c r="H100" i="1"/>
  <c r="C100" i="1"/>
  <c r="A100" i="1"/>
  <c r="H99" i="1"/>
  <c r="C99" i="1"/>
  <c r="A99" i="1"/>
  <c r="H98" i="1"/>
  <c r="C98" i="1"/>
  <c r="A98" i="1"/>
  <c r="H97" i="1"/>
  <c r="C97" i="1"/>
  <c r="A97" i="1"/>
  <c r="H96" i="1"/>
  <c r="C96" i="1"/>
  <c r="A96" i="1"/>
  <c r="H95" i="1"/>
  <c r="C95" i="1"/>
  <c r="A95" i="1"/>
  <c r="H94" i="1"/>
  <c r="C94" i="1"/>
  <c r="A94" i="1"/>
  <c r="H93" i="1"/>
  <c r="C93" i="1"/>
  <c r="A93" i="1"/>
  <c r="H92" i="1"/>
  <c r="C92" i="1"/>
  <c r="A92" i="1"/>
  <c r="H91" i="1"/>
  <c r="C91" i="1"/>
  <c r="A91" i="1"/>
  <c r="H90" i="1"/>
  <c r="C90" i="1"/>
  <c r="A90" i="1"/>
  <c r="H89" i="1"/>
  <c r="C89" i="1"/>
  <c r="A89" i="1"/>
  <c r="H88" i="1"/>
  <c r="C88" i="1"/>
  <c r="A88" i="1"/>
  <c r="H87" i="1"/>
  <c r="C87" i="1"/>
  <c r="A87" i="1"/>
  <c r="H86" i="1"/>
  <c r="C86" i="1"/>
  <c r="A86" i="1"/>
  <c r="H85" i="1"/>
  <c r="C85" i="1"/>
  <c r="A85" i="1"/>
  <c r="H84" i="1"/>
  <c r="C84" i="1"/>
  <c r="A84" i="1"/>
  <c r="H83" i="1"/>
  <c r="C83" i="1"/>
  <c r="A83" i="1"/>
  <c r="H82" i="1"/>
  <c r="C82" i="1"/>
  <c r="A82" i="1"/>
  <c r="H81" i="1"/>
  <c r="C81" i="1"/>
  <c r="A81" i="1"/>
  <c r="H80" i="1"/>
  <c r="C80" i="1"/>
  <c r="A80" i="1"/>
  <c r="H79" i="1"/>
  <c r="C79" i="1"/>
  <c r="A79" i="1"/>
  <c r="H78" i="1"/>
  <c r="C78" i="1"/>
  <c r="A78" i="1"/>
  <c r="H77" i="1"/>
  <c r="C77" i="1"/>
  <c r="A77" i="1"/>
  <c r="H76" i="1"/>
  <c r="C76" i="1"/>
  <c r="A76" i="1"/>
  <c r="H75" i="1"/>
  <c r="C75" i="1"/>
  <c r="A75" i="1"/>
  <c r="H74" i="1"/>
  <c r="C74" i="1"/>
  <c r="A74" i="1"/>
  <c r="H73" i="1"/>
  <c r="C73" i="1"/>
  <c r="A73" i="1"/>
  <c r="H72" i="1"/>
  <c r="C72" i="1"/>
  <c r="A72" i="1"/>
  <c r="H71" i="1"/>
  <c r="C71" i="1"/>
  <c r="A71" i="1"/>
  <c r="H70" i="1"/>
  <c r="C70" i="1"/>
  <c r="A70" i="1"/>
  <c r="H69" i="1"/>
  <c r="C69" i="1"/>
  <c r="A69" i="1"/>
  <c r="H68" i="1"/>
  <c r="C68" i="1"/>
  <c r="A68" i="1"/>
  <c r="H67" i="1"/>
  <c r="C67" i="1"/>
  <c r="A67" i="1"/>
  <c r="H66" i="1"/>
  <c r="C66" i="1"/>
  <c r="A66" i="1"/>
  <c r="H65" i="1"/>
  <c r="C65" i="1"/>
  <c r="A65" i="1"/>
  <c r="H64" i="1"/>
  <c r="C64" i="1"/>
  <c r="A64" i="1"/>
  <c r="H63" i="1"/>
  <c r="C63" i="1"/>
  <c r="A63" i="1"/>
  <c r="H62" i="1"/>
  <c r="C62" i="1"/>
  <c r="A62" i="1"/>
  <c r="H61" i="1"/>
  <c r="C61" i="1"/>
  <c r="A61" i="1"/>
  <c r="H60" i="1"/>
  <c r="C60" i="1"/>
  <c r="A60" i="1"/>
  <c r="H59" i="1"/>
  <c r="C59" i="1"/>
  <c r="A59" i="1"/>
  <c r="H58" i="1"/>
  <c r="C58" i="1"/>
  <c r="A58" i="1"/>
  <c r="H57" i="1"/>
  <c r="C57" i="1"/>
  <c r="A57" i="1"/>
  <c r="H56" i="1"/>
  <c r="C56" i="1"/>
  <c r="A56" i="1"/>
  <c r="H55" i="1"/>
  <c r="C55" i="1"/>
  <c r="A55" i="1"/>
  <c r="H54" i="1"/>
  <c r="C54" i="1"/>
  <c r="A54" i="1"/>
  <c r="H53" i="1"/>
  <c r="C53" i="1"/>
  <c r="A53" i="1"/>
  <c r="H52" i="1"/>
  <c r="C52" i="1"/>
  <c r="A52" i="1"/>
  <c r="H51" i="1"/>
  <c r="C51" i="1"/>
  <c r="A51" i="1"/>
  <c r="H50" i="1"/>
  <c r="C50" i="1"/>
  <c r="A50" i="1"/>
  <c r="H49" i="1"/>
  <c r="C49" i="1"/>
  <c r="A49" i="1"/>
  <c r="H48" i="1"/>
  <c r="C48" i="1"/>
  <c r="A48" i="1"/>
  <c r="H47" i="1"/>
  <c r="C47" i="1"/>
  <c r="A47" i="1"/>
  <c r="H46" i="1"/>
  <c r="C46" i="1"/>
  <c r="A46" i="1"/>
  <c r="H45" i="1"/>
  <c r="C45" i="1"/>
  <c r="A45" i="1"/>
  <c r="H44" i="1"/>
  <c r="C44" i="1"/>
  <c r="A44" i="1"/>
  <c r="H43" i="1"/>
  <c r="C43" i="1"/>
  <c r="A43" i="1"/>
  <c r="H42" i="1"/>
  <c r="C42" i="1"/>
  <c r="A42" i="1"/>
  <c r="H41" i="1"/>
  <c r="C41" i="1"/>
  <c r="A41" i="1"/>
  <c r="H40" i="1"/>
  <c r="C40" i="1"/>
  <c r="A40" i="1"/>
  <c r="H39" i="1"/>
  <c r="C39" i="1"/>
  <c r="A39" i="1"/>
  <c r="H38" i="1"/>
  <c r="C38" i="1"/>
  <c r="A38" i="1"/>
  <c r="H37" i="1"/>
  <c r="C37" i="1"/>
  <c r="A37" i="1"/>
  <c r="H36" i="1"/>
  <c r="C36" i="1"/>
  <c r="A36" i="1"/>
  <c r="H35" i="1"/>
  <c r="C35" i="1"/>
  <c r="A35" i="1"/>
  <c r="H34" i="1"/>
  <c r="C34" i="1"/>
  <c r="A34" i="1"/>
  <c r="H33" i="1"/>
  <c r="C33" i="1"/>
  <c r="A33" i="1"/>
  <c r="H32" i="1"/>
  <c r="C32" i="1"/>
  <c r="A32" i="1"/>
  <c r="H31" i="1"/>
  <c r="C31" i="1"/>
  <c r="A31" i="1"/>
  <c r="H30" i="1"/>
  <c r="C30" i="1"/>
  <c r="A30" i="1"/>
  <c r="H29" i="1"/>
  <c r="C29" i="1"/>
  <c r="A29" i="1"/>
  <c r="H28" i="1"/>
  <c r="C28" i="1"/>
  <c r="A28" i="1"/>
  <c r="H27" i="1"/>
  <c r="C27" i="1"/>
  <c r="A27" i="1"/>
  <c r="H26" i="1"/>
  <c r="C26" i="1"/>
  <c r="A26" i="1"/>
  <c r="H25" i="1"/>
  <c r="C25" i="1"/>
  <c r="A25" i="1"/>
  <c r="H24" i="1"/>
  <c r="C24" i="1"/>
  <c r="A24" i="1"/>
  <c r="H23" i="1"/>
  <c r="C23" i="1"/>
  <c r="A23" i="1"/>
  <c r="H22" i="1"/>
  <c r="C22" i="1"/>
  <c r="A22" i="1"/>
  <c r="H21" i="1"/>
  <c r="C21" i="1"/>
  <c r="A21" i="1"/>
  <c r="H20" i="1"/>
  <c r="C20" i="1"/>
  <c r="A20" i="1"/>
  <c r="H19" i="1"/>
  <c r="C19" i="1"/>
  <c r="A19" i="1"/>
  <c r="H18" i="1"/>
  <c r="C18" i="1"/>
  <c r="A18" i="1"/>
  <c r="H17" i="1"/>
  <c r="C17" i="1"/>
  <c r="A17" i="1"/>
  <c r="H16" i="1"/>
  <c r="C16" i="1"/>
  <c r="A16" i="1"/>
  <c r="H15" i="1"/>
  <c r="C15" i="1"/>
  <c r="A15" i="1"/>
  <c r="H14" i="1"/>
  <c r="C14" i="1"/>
  <c r="A14" i="1"/>
  <c r="H13" i="1"/>
  <c r="C13" i="1"/>
  <c r="A13" i="1"/>
  <c r="H12" i="1"/>
  <c r="C12" i="1"/>
  <c r="A12" i="1"/>
  <c r="H11" i="1"/>
  <c r="C11" i="1"/>
  <c r="A11" i="1"/>
  <c r="H10" i="1"/>
  <c r="C10" i="1"/>
  <c r="A10" i="1"/>
  <c r="H9" i="1"/>
  <c r="C9" i="1"/>
  <c r="A9" i="1"/>
  <c r="H8" i="1"/>
  <c r="C8" i="1"/>
  <c r="A8" i="1"/>
  <c r="H7" i="1"/>
  <c r="C7" i="1"/>
  <c r="A7" i="1"/>
  <c r="H6" i="1"/>
  <c r="C6" i="1"/>
  <c r="A6" i="1"/>
  <c r="H5" i="1"/>
  <c r="C5" i="1"/>
  <c r="A5" i="1"/>
  <c r="H4" i="1"/>
  <c r="C4" i="1"/>
</calcChain>
</file>

<file path=xl/sharedStrings.xml><?xml version="1.0" encoding="utf-8"?>
<sst xmlns="http://schemas.openxmlformats.org/spreadsheetml/2006/main" count="41275" uniqueCount="12294">
  <si>
    <t>IČO</t>
  </si>
  <si>
    <t>Adresa sídla</t>
  </si>
  <si>
    <t>Hlavní ekonomická činnost (CZ NACE) (kód)</t>
  </si>
  <si>
    <t>Hlavní ekonomická činnost (CZ NACE) (název)</t>
  </si>
  <si>
    <t>Ostatní ekonomické činnosti (CZ NACE) (název) (1)</t>
  </si>
  <si>
    <t>Ostatní ekonomické činnosti (CZ NACE) (název) (2)</t>
  </si>
  <si>
    <t>Ostatní ekonomické činnosti (CZ NACE) (název) (3)</t>
  </si>
  <si>
    <t>Ostatní ekonomické činnosti (CZ NACE) (název) (4)</t>
  </si>
  <si>
    <t>Ostatní ekonomické činnosti (CZ NACE) (název) (5)</t>
  </si>
  <si>
    <t>Ostatní ekonomické činnosti (CZ NACE) (název) (6)</t>
  </si>
  <si>
    <t>Ostatní ekonomické činnosti (CZ NACE) (název) (7)</t>
  </si>
  <si>
    <t>Ostatní ekonomické činnosti (CZ NACE) (název) (8)</t>
  </si>
  <si>
    <t>Ostatní ekonomické činnosti (CZ NACE) (název) (9)</t>
  </si>
  <si>
    <t>Ostatní ekonomické činnosti (CZ NACE) (název) (10)</t>
  </si>
  <si>
    <t>Ostatní ekonomické činnosti (CZ NACE) (název) (11)</t>
  </si>
  <si>
    <t>Ostatní ekonomické činnosti (CZ NACE) (název) (12)</t>
  </si>
  <si>
    <t>Ostatní ekonomické činnosti (CZ NACE) (název) (13)</t>
  </si>
  <si>
    <t>Ostatní ekonomické činnosti (CZ NACE) (kód) (14)</t>
  </si>
  <si>
    <t>Ostatní ekonomické činnosti (CZ NACE) (název) (14)</t>
  </si>
  <si>
    <t>Ostatní ekonomické činnosti (CZ NACE) (kód) (15)</t>
  </si>
  <si>
    <t>Ostatní ekonomické činnosti (CZ NACE) (název) (15)</t>
  </si>
  <si>
    <t>A P Motorsport</t>
  </si>
  <si>
    <t>Pobočný spolek</t>
  </si>
  <si>
    <t>Zlín</t>
  </si>
  <si>
    <t>Otrokovice</t>
  </si>
  <si>
    <t>Otrokovice, Moravní 661</t>
  </si>
  <si>
    <t>Sportovní činnosti</t>
  </si>
  <si>
    <t>AAA MusicLand</t>
  </si>
  <si>
    <t>Spolek</t>
  </si>
  <si>
    <t>Vsetín</t>
  </si>
  <si>
    <t>Vsetín 922, PSČ 755 01</t>
  </si>
  <si>
    <t>Činnosti ostatních organizací sdružujících osoby za účelem prosazování společných zájmů j. n.</t>
  </si>
  <si>
    <t>aARCHITEKTURA, spolek</t>
  </si>
  <si>
    <t>Zlín, Nad Ovčírnou II 1295, PSČ 76001</t>
  </si>
  <si>
    <t>abah nature z. s.</t>
  </si>
  <si>
    <t>Lukov</t>
  </si>
  <si>
    <t>Lukov, Zahradní 409, PSČ 76317</t>
  </si>
  <si>
    <t>ABC pro děti z.s.</t>
  </si>
  <si>
    <t>Rožnov pod Radhoštěm</t>
  </si>
  <si>
    <t>Rožnov pod Radhoštěm, Beskydská 1457, PSČ 75661</t>
  </si>
  <si>
    <t>Ostatní ambulantní nebo terénní sociální služby j. n.</t>
  </si>
  <si>
    <t>ABC WOOD, o.s.</t>
  </si>
  <si>
    <t>Zlín, Vavrečkova 5262, Technologické inovační centrum s.r.o.</t>
  </si>
  <si>
    <t>Činnosti profesních organizací</t>
  </si>
  <si>
    <t>Abethandicap z.s.</t>
  </si>
  <si>
    <t>Zubří</t>
  </si>
  <si>
    <t>Zubří, Sídliště 6. května 1065, PSČ 75654</t>
  </si>
  <si>
    <t>Činnosti organizací na ochranu a zlepšení postavení etnických, menšinových a jiných speciálních skupin</t>
  </si>
  <si>
    <t>AC Racing, z.s.</t>
  </si>
  <si>
    <t>Zlín, Okružní 4567, PSČ 76005</t>
  </si>
  <si>
    <t>Činnosti organizací na podporu rekreační a zájmové činnosti</t>
  </si>
  <si>
    <t>AC Slovácká Slavia Uherské Hradiště, z.s.</t>
  </si>
  <si>
    <t>Uherské Hradiště</t>
  </si>
  <si>
    <t>Uherské Hradiště, Stonky 860, PSČ 68601</t>
  </si>
  <si>
    <t>Činnosti sportovních klubů</t>
  </si>
  <si>
    <t>AC Sportguides Rožnov pod Radhoštěm z.s.</t>
  </si>
  <si>
    <t>Rožnov pod Radhoštěm, Lesní 2330, PSČ 75661</t>
  </si>
  <si>
    <t>AC Wozmeni Zlín z.s.</t>
  </si>
  <si>
    <t>Zlín, Mladcová, Mokrá I 313, PSČ 76001</t>
  </si>
  <si>
    <t>Ostatní sportovní činnosti</t>
  </si>
  <si>
    <t>ACADEMIA MORAVIA, z. s.</t>
  </si>
  <si>
    <t>Zlín, Příkrá 1509, PSČ 76001</t>
  </si>
  <si>
    <t>Academic Pipe Club Uherské Hradiště</t>
  </si>
  <si>
    <t>Uherské Hradiště, Dvořákova 1210, PSČ 68601</t>
  </si>
  <si>
    <t>Actas Abundantia, z.s.</t>
  </si>
  <si>
    <t>Hluk</t>
  </si>
  <si>
    <t>Hluk, Hlavní 66, PSČ 68725</t>
  </si>
  <si>
    <t>ACTIVITY VIZOVICE z.s.</t>
  </si>
  <si>
    <t>Vizovice</t>
  </si>
  <si>
    <t>Vizovice, Tyršova 177, PSČ 76312</t>
  </si>
  <si>
    <t>ADALIA - Středisko edukačně terapeutické práce o. s.</t>
  </si>
  <si>
    <t>Otrokovice, Kvítkovice, Zlínská 146, PSČ 76502</t>
  </si>
  <si>
    <t>"ADAMUS o.s."</t>
  </si>
  <si>
    <t>Nedakonice</t>
  </si>
  <si>
    <t>Nedakonice 372, PSČ 68738</t>
  </si>
  <si>
    <t>Adorea - dobrovolnické centrum Vsetín, z. s.</t>
  </si>
  <si>
    <t>Vsetín, Tyršova 1271, PSČ 75501</t>
  </si>
  <si>
    <t>Advanced Technology Support Group, z.s.</t>
  </si>
  <si>
    <t>Uherské Hradiště, Mařatice, Nad Rybníkem 479, PSČ 68605</t>
  </si>
  <si>
    <t>Adventure Sport Team z. s.</t>
  </si>
  <si>
    <t>Bánov</t>
  </si>
  <si>
    <t>Bánov 318, PSČ 68754</t>
  </si>
  <si>
    <t>AERO RALLY TRABI VYŠKOV aneb vše co létá,jezdí-třeba i plave s ...</t>
  </si>
  <si>
    <t>Kroměříž</t>
  </si>
  <si>
    <t>Zahnašovice</t>
  </si>
  <si>
    <t>Zahnašovice 69, PSČ 76901</t>
  </si>
  <si>
    <t>Aerobic team EN, z. s.</t>
  </si>
  <si>
    <t>Zádveřice-Raková</t>
  </si>
  <si>
    <t>Zádveřice-Raková, Zádveřice 496, PSČ 76312</t>
  </si>
  <si>
    <t>Aerobic Team Zlín, z.s.</t>
  </si>
  <si>
    <t>Zlín, Pod Křiby 5630, PSČ 76005</t>
  </si>
  <si>
    <t>Zlín, Na Honech III 4928, PSČ 76005</t>
  </si>
  <si>
    <t>Provozování sportovních zařízení</t>
  </si>
  <si>
    <t>Aerobik Veselí nad Moravou, z.s.</t>
  </si>
  <si>
    <t>Uherský Ostroh</t>
  </si>
  <si>
    <t>Uherský Ostroh, Sv. Čecha 238, PSČ 68724</t>
  </si>
  <si>
    <t>Aeroklub Kroměříž z.s.</t>
  </si>
  <si>
    <t>Kroměříž, Na Hrázi 1148/6, PSČ 76701</t>
  </si>
  <si>
    <t>AEROKLUB LUHAČOVICE, z.s.</t>
  </si>
  <si>
    <t>Luhačovice</t>
  </si>
  <si>
    <t>Luhačovice 1114, PSČ 76326</t>
  </si>
  <si>
    <t>Aeronauts klub motorového paraglidingu</t>
  </si>
  <si>
    <t>Rokytnice</t>
  </si>
  <si>
    <t>Rokytnice 26, PSČ 76321</t>
  </si>
  <si>
    <t>AFP poradna, z.s.</t>
  </si>
  <si>
    <t>Zlín, Osvoboditelů 1369, PSČ 76001</t>
  </si>
  <si>
    <t>AG KLUB VZÁJEMNOSTI</t>
  </si>
  <si>
    <t>Valašské Klobouky</t>
  </si>
  <si>
    <t>Valašské Klobouky, Masarykovo náměstí 42, PSČ 76601</t>
  </si>
  <si>
    <t>AGARTA z. s.</t>
  </si>
  <si>
    <t>Vsetín, Ohrada 1879, PSČ 75501</t>
  </si>
  <si>
    <t>Agentura  Impuls, obecně prospěšná společnost</t>
  </si>
  <si>
    <t>Obecně prospěšná společnost</t>
  </si>
  <si>
    <t>Uherský Brod</t>
  </si>
  <si>
    <t>Uherský Brod, Rybářská 2145, PSČ 68801</t>
  </si>
  <si>
    <t>Ostatní vzdělávání j. n.</t>
  </si>
  <si>
    <t>Účetnické a auditorské činnosti; daňové poradenství</t>
  </si>
  <si>
    <t>Nový Hrozenkov</t>
  </si>
  <si>
    <t>Agentura KOMIKŮŇ</t>
  </si>
  <si>
    <t>Zlín, Malenovice, Švermova 91, PSČ 76302</t>
  </si>
  <si>
    <t>Agentura rozvoje cestovního ruchu a vzdělávání, o. s.</t>
  </si>
  <si>
    <t>Rožnov pod Radhoštěm, Kulturní 1754, PSČ 75661</t>
  </si>
  <si>
    <t>Agility Argus Zlín z.s.</t>
  </si>
  <si>
    <t>Zlín, Prostřední 6834, PSČ 76001</t>
  </si>
  <si>
    <t>Agility Klub Rožnov pod Radhoštěm, z.s.</t>
  </si>
  <si>
    <t>Zubří, Bořkova 1038, PSČ 75654</t>
  </si>
  <si>
    <t>Ostatní zábavní a rekreační činnosti j. n.</t>
  </si>
  <si>
    <t>Agility Kroměříž, z.s.</t>
  </si>
  <si>
    <t>Kroměříž, Havlíčkova 3338/82A, PSČ 76701</t>
  </si>
  <si>
    <t>"Agility Morkovice, o.s."</t>
  </si>
  <si>
    <t>Morkovice-Slížany</t>
  </si>
  <si>
    <t>Morkovice-Slížany, Morkovice, Legionářská 90, PSČ 76833</t>
  </si>
  <si>
    <t>Agility Olšava,o.s.</t>
  </si>
  <si>
    <t>Uherský Brod, Těšov, 1. května 195, PSČ 68734</t>
  </si>
  <si>
    <t>Agility Valmez o.s.</t>
  </si>
  <si>
    <t>Lešná</t>
  </si>
  <si>
    <t>pošta Valašské Meziříčí, Lhotka nad Bečvou 68</t>
  </si>
  <si>
    <t>AGIrebels, z. s.</t>
  </si>
  <si>
    <t>Valašská Bystřice</t>
  </si>
  <si>
    <t>Valašská Bystřice 677, PSČ 75627</t>
  </si>
  <si>
    <t>AGNESI MTB team</t>
  </si>
  <si>
    <t>Napajedla</t>
  </si>
  <si>
    <t>Napajedla, Kvítkovická 1533, PSČ 76361</t>
  </si>
  <si>
    <t>Agora, o.p.s.</t>
  </si>
  <si>
    <t>Modrá</t>
  </si>
  <si>
    <t>Modrá 25, PSČ 68706</t>
  </si>
  <si>
    <t>Ostatní vzdělávání</t>
  </si>
  <si>
    <t>Maloobchod, kromě motorových vozidel</t>
  </si>
  <si>
    <t>Poskytování ostatních osobních služeb j. n.</t>
  </si>
  <si>
    <t>"Ahasver"</t>
  </si>
  <si>
    <t>Kroměříž, Komenského náměstí 371/12, PSČ 76701</t>
  </si>
  <si>
    <t>AHC Odlehčovací centrum Vizovice z.ú.</t>
  </si>
  <si>
    <t>Ústav</t>
  </si>
  <si>
    <t>Vizovice, Pardubská 1194, PSČ 76312</t>
  </si>
  <si>
    <t>Ambulantní nebo terénní sociální služby</t>
  </si>
  <si>
    <t>Velkoobchod a maloobchod; opravy a údržba motorových vozidel</t>
  </si>
  <si>
    <t>Ostatní zpracovatelský průmysl</t>
  </si>
  <si>
    <t>Ubytování</t>
  </si>
  <si>
    <t>Pobytové služby sociální péče</t>
  </si>
  <si>
    <t>Zprostředkování velkoobchodu a velkoobchod v zastoupení</t>
  </si>
  <si>
    <t>Ostatní profesní, vědecké a technické činnosti j. n.</t>
  </si>
  <si>
    <t>Stravování v restauracích, u stánků a v mobilních zařízeních</t>
  </si>
  <si>
    <t>Pronájem a leasing ostatních výrobků pro osobní potřebu a převážně pro domácnost</t>
  </si>
  <si>
    <t>Podpůrné činnosti pro scénická umění</t>
  </si>
  <si>
    <t>Kadeřnické, kosmetické a podobné činnosti</t>
  </si>
  <si>
    <t>Činnosti pro osobní a fyzickou pohodu</t>
  </si>
  <si>
    <t>AHL Slovácko z.s.</t>
  </si>
  <si>
    <t>Uherské Hradiště, Mařatice, Na Hraničkách 1682, PSČ 68605</t>
  </si>
  <si>
    <t>Ahoj v hoře, z.s.</t>
  </si>
  <si>
    <t>Lešná, Vysoká 56, PSČ 75641</t>
  </si>
  <si>
    <t>AIESEC Zlín</t>
  </si>
  <si>
    <t>Organizační jednotka mezinárodní nevládní organizace</t>
  </si>
  <si>
    <t>Zlín, Mostní 5139, PSČ 76001</t>
  </si>
  <si>
    <t>Podpůrné činnosti ve vzdělávání</t>
  </si>
  <si>
    <t>„Aikido Kishintai Dojo o.s.”</t>
  </si>
  <si>
    <t>Bystřice pod Hostýnem</t>
  </si>
  <si>
    <t>Bystřice pod Hostýnem, 6. května 74, PSČ 76861</t>
  </si>
  <si>
    <t>AIKIDO klub Uherské Hradiště</t>
  </si>
  <si>
    <t>Tupesy</t>
  </si>
  <si>
    <t>Tupesy 32, PSČ 68707</t>
  </si>
  <si>
    <t>AIR KLUB Kroměříž, z.s.</t>
  </si>
  <si>
    <t>Kroměříž, Na Hrázi 4174/10, PSČ 76701</t>
  </si>
  <si>
    <t>Air Moravia z.s.</t>
  </si>
  <si>
    <t>Holešov</t>
  </si>
  <si>
    <t>Holešov, Všetuly, Dukelská 423, PSČ 76901</t>
  </si>
  <si>
    <t>AIRSOFTOVÝ ODDÍL UHERSKÝ BROD - CBA o.s.</t>
  </si>
  <si>
    <t>Uherský Brod, Okružní 1547, PSČ 68801</t>
  </si>
  <si>
    <t>AirStoreClub Kroměříž, z.s.</t>
  </si>
  <si>
    <t>Kroměříž, Moravská 3010/57A, PSČ 76701</t>
  </si>
  <si>
    <t>AK AGROTEAM v AČR</t>
  </si>
  <si>
    <t>Trnava</t>
  </si>
  <si>
    <t>Trnava 268, PSČ 76318</t>
  </si>
  <si>
    <t>AK JZ Motorsport v AČR</t>
  </si>
  <si>
    <t>Zlín, Boněcka 179</t>
  </si>
  <si>
    <t>Akademie karate Valašské Meziříčí, z.s.</t>
  </si>
  <si>
    <t>Valašské Meziříčí</t>
  </si>
  <si>
    <t>Valašské Meziříčí, Kutinové 1555, PSČ 75701</t>
  </si>
  <si>
    <t>Akademie karate Zlín, z.s.</t>
  </si>
  <si>
    <t>Zlín, Kvítková 248, PSČ 76001</t>
  </si>
  <si>
    <t>Akademie rozvoje lidských zdrojů o.s.</t>
  </si>
  <si>
    <t>Rataje</t>
  </si>
  <si>
    <t>Rataje, Popovice 118</t>
  </si>
  <si>
    <t>Činnosti ostatních organizací j. n.</t>
  </si>
  <si>
    <t>Akademie stolního tenisu Zlínského kraje z. s.</t>
  </si>
  <si>
    <t>Zlín, Hradská 854, PSČ 76001</t>
  </si>
  <si>
    <t>Akademie Valašsko-Bojové sporty a sebeobrana z. s.</t>
  </si>
  <si>
    <t>Valašské Klobouky, Masarykovo náměstí 103, PSČ 76601</t>
  </si>
  <si>
    <t>Akce Holešov z.s.</t>
  </si>
  <si>
    <t>Holešov, Střelnice 223/17, PSČ 76901</t>
  </si>
  <si>
    <t>Destilace, rektifikace a míchání lihovin</t>
  </si>
  <si>
    <t>Akce s Wikynem, z. s.</t>
  </si>
  <si>
    <t>Holešov, U Letiště 1255/49, PSČ 76901</t>
  </si>
  <si>
    <t>AKROPOLIS, z.s.</t>
  </si>
  <si>
    <t>Uherské Hradiště, Stará Tenice 1343, PSČ 68601</t>
  </si>
  <si>
    <t>Aktino o.s.</t>
  </si>
  <si>
    <t>Otrokovice, Havlíčkova 1039</t>
  </si>
  <si>
    <t>Aktivity klub naše obec z.s.</t>
  </si>
  <si>
    <t>Míškovice</t>
  </si>
  <si>
    <t>Míškovice 95, PSČ 76852</t>
  </si>
  <si>
    <t>Aktivně životem o.p.s.</t>
  </si>
  <si>
    <t>Zlín, Tyršovo nábřeží 760, PSČ 76001</t>
  </si>
  <si>
    <t>Sociální služby poskytované dětem</t>
  </si>
  <si>
    <t>Provozování kulturních zařízení</t>
  </si>
  <si>
    <t>Aktivní klub Pacetluky</t>
  </si>
  <si>
    <t>Pacetluky</t>
  </si>
  <si>
    <t>Pacetluky 46, PSČ 76843</t>
  </si>
  <si>
    <t>Aktivní klub Rusava z.s.</t>
  </si>
  <si>
    <t>Rusava</t>
  </si>
  <si>
    <t>Rusava 10, PSČ 76841</t>
  </si>
  <si>
    <t>Aktivní Kostelec z.s.</t>
  </si>
  <si>
    <t>Kostelec u Holešova</t>
  </si>
  <si>
    <t>Kostelec u Holešova 73, PSČ 76843</t>
  </si>
  <si>
    <t>Činnosti environmentálních a ekologických hnutí</t>
  </si>
  <si>
    <t>Aktivní Kunovice, z.s.</t>
  </si>
  <si>
    <t>Kunovice</t>
  </si>
  <si>
    <t>Kunovice, Potočná 1689, PSČ 68604</t>
  </si>
  <si>
    <t>Tisk a rozmnožování nahraných nosičů</t>
  </si>
  <si>
    <t>Shromažďování, sběr a odstraňování odpadů, úprava odpadů k dalšímu využití</t>
  </si>
  <si>
    <t>Vydavatelské činnosti</t>
  </si>
  <si>
    <t>Příprava staveniště</t>
  </si>
  <si>
    <t>Aktivní rozvoj o.p.s.</t>
  </si>
  <si>
    <t>Činnosti organizací na podporu kulturní činnosti</t>
  </si>
  <si>
    <t>AL CAPONE ROŽNOV P.R., o.s.</t>
  </si>
  <si>
    <t>Rožnov pod Radhoštěm, Čechova 510, PSČ 75661</t>
  </si>
  <si>
    <t>ALDAgo TEAM z.s.</t>
  </si>
  <si>
    <t>Fryšták</t>
  </si>
  <si>
    <t>Fryšták, Zlínská 394, PSČ 76316</t>
  </si>
  <si>
    <t>Alex de Large</t>
  </si>
  <si>
    <t>Holešov, Školní 442/8, PSČ 76901</t>
  </si>
  <si>
    <t>ALFA BIKE CLUB, z.s.</t>
  </si>
  <si>
    <t>Jablůnka</t>
  </si>
  <si>
    <t>Jablůnka 52, PSČ 75623</t>
  </si>
  <si>
    <t>ALGA z.s.</t>
  </si>
  <si>
    <t>Zlín, Česká 4752, PSČ 76005</t>
  </si>
  <si>
    <t>ALGO, studentská firma</t>
  </si>
  <si>
    <t>Zlín, SPŠ nám. TGM 1281</t>
  </si>
  <si>
    <t>Aliance pro regionální rozvoj, z.s.</t>
  </si>
  <si>
    <t>Uherské Hradiště, Mařatice, Sadová 987, PSČ 68605</t>
  </si>
  <si>
    <t>Výroba, obchod a služby neuvedené v přílohách 1 až 3 živnostenského zákona</t>
  </si>
  <si>
    <t>Velkoobchod, kromě motorových vozidel</t>
  </si>
  <si>
    <t>Činnosti v oblasti informačních technologií</t>
  </si>
  <si>
    <t>Informační činnosti</t>
  </si>
  <si>
    <t>Činnosti reklamních agentur</t>
  </si>
  <si>
    <t>Univerzální administrativní činnosti</t>
  </si>
  <si>
    <t>ALL SPORT KIDS academy, z.s.</t>
  </si>
  <si>
    <t>Otrokovice, Štěrkoviště 1294, PSČ 76502</t>
  </si>
  <si>
    <t>Alliance française Zlín z. s.</t>
  </si>
  <si>
    <t>Zlín, Divadelní 1333, PSČ 76001</t>
  </si>
  <si>
    <t>altera, nezávislá platforma, z.s.</t>
  </si>
  <si>
    <t>Uherské Hradiště, Mařatice, Jižní 466, PSČ 68605</t>
  </si>
  <si>
    <t>Amatér Komárovice, z. s.</t>
  </si>
  <si>
    <t>Kelč</t>
  </si>
  <si>
    <t>Kelč, Komárovice 47, PSČ 75643</t>
  </si>
  <si>
    <t>AMEARE, z. s.</t>
  </si>
  <si>
    <t>Podolí</t>
  </si>
  <si>
    <t>Podolí 292, PSČ 68604</t>
  </si>
  <si>
    <t>AMENITY-EXTREM SPORT z.s.</t>
  </si>
  <si>
    <t>Zlín, Vodní 2985, PSČ 76001</t>
  </si>
  <si>
    <t>AMEZLIN z.s.</t>
  </si>
  <si>
    <t>Zlín, nám. T. G. Masaryka 1281, PSČ 76001</t>
  </si>
  <si>
    <t>Zlín, Gahurova 5265, PSČ 76001</t>
  </si>
  <si>
    <t>AMK Suzuki off road Zlín, z.s.</t>
  </si>
  <si>
    <t>Držková</t>
  </si>
  <si>
    <t>Držková 24, PSČ 76319</t>
  </si>
  <si>
    <t>Anděl racing, z.ú.</t>
  </si>
  <si>
    <t>Věžky</t>
  </si>
  <si>
    <t>Věžky 86, PSČ 76833</t>
  </si>
  <si>
    <t>"Anděl", z.s.</t>
  </si>
  <si>
    <t>Kelč, Němetice 11, PSČ 75643</t>
  </si>
  <si>
    <t>Andělé Stromu života z. s.</t>
  </si>
  <si>
    <t>Rožnov pod Radhoštěm, Letenská 1183, PSČ 75661</t>
  </si>
  <si>
    <t>Aneri - taneční škola, z.s.</t>
  </si>
  <si>
    <t>Valašské Meziříčí, Krásno nad Bečvou, Bratří Čapků 685/3, PSČ 75701</t>
  </si>
  <si>
    <t>Anima Sana - cesta ke zdraví, z. s.</t>
  </si>
  <si>
    <t>Rožnov pod Radhoštěm, 5. května 1340, PSČ 75661</t>
  </si>
  <si>
    <t>ANIMATO, o. s.</t>
  </si>
  <si>
    <t>Štítná nad Vláří-Popov</t>
  </si>
  <si>
    <t>Popov, Štítná nad Vláří 497, PSČ 763 33</t>
  </si>
  <si>
    <t>ANKRON, z. s.</t>
  </si>
  <si>
    <t>Zlín, Malá 5654, PSČ 76001</t>
  </si>
  <si>
    <t>AnteArt z.s.</t>
  </si>
  <si>
    <t>Valašské Meziříčí, Příční 518/3, PSČ 75701</t>
  </si>
  <si>
    <t>AOP RACING KLUB v AČR</t>
  </si>
  <si>
    <t>Hrobice</t>
  </si>
  <si>
    <t>Hrobice 119, PSČ 76315</t>
  </si>
  <si>
    <t>AOS ČR Polfin Ploština</t>
  </si>
  <si>
    <t>Loučka</t>
  </si>
  <si>
    <t>Loučka 123, PSČ 76325</t>
  </si>
  <si>
    <t>AP school z. s.</t>
  </si>
  <si>
    <t>Luhačovice, Lužné 1011, PSČ 76326</t>
  </si>
  <si>
    <t>Aplikovaný výzkum ekonomické diplomacie, z. ú.</t>
  </si>
  <si>
    <t>Vsetín, Jiráskova 1127, PSČ 75501</t>
  </si>
  <si>
    <t>Výzkum a vývoj</t>
  </si>
  <si>
    <t>Ostatní technické zkoušky a analýzy</t>
  </si>
  <si>
    <t>Apoštolská církev, sbor Bystřice pod Hostýnem</t>
  </si>
  <si>
    <t>Evidované církevní právnické osoby</t>
  </si>
  <si>
    <t>Činnosti náboženských organizací</t>
  </si>
  <si>
    <t>Apoštolská církev, sbor Kroměříž</t>
  </si>
  <si>
    <t>Kroměříž, Gen. Svobody 1221/14, PSČ 76701</t>
  </si>
  <si>
    <t>Apoštolská církev, sbor Rožnov pod Radhoštěm</t>
  </si>
  <si>
    <t>Rožnov pod Radhoštěm, Hradišťko 290, PSČ 75661</t>
  </si>
  <si>
    <t>Apoštolská církev, sbor Uherské Hradiště</t>
  </si>
  <si>
    <t>Uherský Brod, Újezdec, Široká 15, PSČ 68734</t>
  </si>
  <si>
    <t>Apoštolská církev, sbor Uherský Brod</t>
  </si>
  <si>
    <t>Uherský Brod, Dělnická 2830, PSČ 68801</t>
  </si>
  <si>
    <t>Apoštolská církev, sbor Valašské Meziříčí</t>
  </si>
  <si>
    <t>Valašské Meziříčí, Krásno nad Bečvou, Zašovská 778, PSČ 75701</t>
  </si>
  <si>
    <t>Apoštolská církev, sbor Vsetín</t>
  </si>
  <si>
    <t>Vsetín, Ohrada 1866, PSČ 75501</t>
  </si>
  <si>
    <t>Apoštolská církev Zlín</t>
  </si>
  <si>
    <t>Zlín, Podvesná XIV 5922, PSČ 76001</t>
  </si>
  <si>
    <t>Aprosmoto z. s.</t>
  </si>
  <si>
    <t>Kroměříž, Bílanská 2219/83, PSČ 76701</t>
  </si>
  <si>
    <t>„AQUA et NATURA Ostrožská Nová Ves, o.s.”</t>
  </si>
  <si>
    <t>Ostrožská Nová Ves</t>
  </si>
  <si>
    <t>Ostrožská Nová Ves, Nádražní 948, PSČ 68722</t>
  </si>
  <si>
    <t>ARBOR nadační fond</t>
  </si>
  <si>
    <t>Nadační fond</t>
  </si>
  <si>
    <t>Holešov, Sušilova 478/24, PSČ 76901</t>
  </si>
  <si>
    <t>Arcanus</t>
  </si>
  <si>
    <t>Otrokovice, Havlíčkova 1279, PSČ 76502</t>
  </si>
  <si>
    <t>Archa - sdružení pro rekreaci a pobyt v přírodě, z.s.</t>
  </si>
  <si>
    <t>Uherské Hradiště, Na Rybníku 969, PSČ 68601</t>
  </si>
  <si>
    <t>Archivářský spolek restaurační</t>
  </si>
  <si>
    <t>Buchlovice</t>
  </si>
  <si>
    <t>Buchlovice, K Buchlovu 750, PSČ 68708</t>
  </si>
  <si>
    <t>Kroměříž, Pilařova 3/3, PSČ 76701</t>
  </si>
  <si>
    <t>Areál Josefa Šperky Zlín o.s.</t>
  </si>
  <si>
    <t>Zlín, nám. T. G. Masaryka 5144, PSČ 76001</t>
  </si>
  <si>
    <t>Arena club Slavičín</t>
  </si>
  <si>
    <t>Slavičín</t>
  </si>
  <si>
    <t>Slavičín, Obchodní 654, PSČ 76321</t>
  </si>
  <si>
    <t>ARGO, Společnost dobré vůle Zlín, z.s.</t>
  </si>
  <si>
    <t>Zlín, Malenovice, třída 3. května 325, PSČ 76302</t>
  </si>
  <si>
    <t>Jiné ambulantní nebo terénní sociální služby j. n.</t>
  </si>
  <si>
    <t>ARMSPORT Hluk, z.s.</t>
  </si>
  <si>
    <t>Hluk, Hlavní 19, PSČ 68725</t>
  </si>
  <si>
    <t>Armypark Slavičín, z.s.</t>
  </si>
  <si>
    <t>Slavičín, Divnice 123, PSČ 76321</t>
  </si>
  <si>
    <t>ARROW DH</t>
  </si>
  <si>
    <t>Uherské Hradiště, Na Splávku 1182, PSČ 68601</t>
  </si>
  <si>
    <t>Ars et scientia, z. s.</t>
  </si>
  <si>
    <t>Velehrad</t>
  </si>
  <si>
    <t>Velehrad, Salašská 60, PSČ 68706</t>
  </si>
  <si>
    <t>Ars Iuventus z.s.</t>
  </si>
  <si>
    <t>Kroměříž, Purkyňova 811/40, PSČ 76701</t>
  </si>
  <si>
    <t>Art centrum DAGI z.s.</t>
  </si>
  <si>
    <t>Rožnov pod Radhoštěm, 5. května 1551, PSČ 75661</t>
  </si>
  <si>
    <t>Art Collegium 2002 Kroměříž, z.s.</t>
  </si>
  <si>
    <t>Kroměříž, Riegrovo náměstí 156/21, PSČ 76701</t>
  </si>
  <si>
    <t>Art Directors Club Zlín</t>
  </si>
  <si>
    <t>Zlín, Přílucká 360, PSČ 760 01</t>
  </si>
  <si>
    <t>Art Film Institute, z.ú.</t>
  </si>
  <si>
    <t>Kroměříž, Havlíčkova 2788/135, PSČ 76701</t>
  </si>
  <si>
    <t>Art studio motýlek z.s.</t>
  </si>
  <si>
    <t>Vsetín, Konečná 1179, PSČ 75501</t>
  </si>
  <si>
    <t>ARTBEAT, z.s.</t>
  </si>
  <si>
    <t>Zlín, Nad Vývozem 5123, PSČ 76005</t>
  </si>
  <si>
    <t>Artediem z.s.</t>
  </si>
  <si>
    <t>Staré Město</t>
  </si>
  <si>
    <t>Staré Město, Michalská 660, PSČ 68603</t>
  </si>
  <si>
    <t>ARTEM UH z. s.</t>
  </si>
  <si>
    <t>Uherské Hradiště, Mařatice, Pod Zahrady 345, PSČ 68605</t>
  </si>
  <si>
    <t>Artofón</t>
  </si>
  <si>
    <t>Rožnov pod Radhoštěm, Lipová 1671, PSČ 75661</t>
  </si>
  <si>
    <t>ArtZlín z.s.</t>
  </si>
  <si>
    <t>Zlín, Kúty 1961, PSČ 76001</t>
  </si>
  <si>
    <t>ARYMAN</t>
  </si>
  <si>
    <t>Uherské Hradiště, Mařatice, Sadová 1480, PSČ 68605</t>
  </si>
  <si>
    <t>A&amp;S - aktivně a společně, z.s.</t>
  </si>
  <si>
    <t>Poličná</t>
  </si>
  <si>
    <t>Poličná 460, PSČ 75701</t>
  </si>
  <si>
    <t>ASIA-GYM-SPORT z. s.</t>
  </si>
  <si>
    <t>Rožnov pod Radhoštěm, Žerotínská 2652, PSČ 75661</t>
  </si>
  <si>
    <t>Asociace bezpečných sportovišť</t>
  </si>
  <si>
    <t>Zlín, Kostelec, Fialková 692, PSČ 76314</t>
  </si>
  <si>
    <t>“Asociace chytrého bydlení“</t>
  </si>
  <si>
    <t>Holešov, Všetuly, Palackého 493, PSČ 76901</t>
  </si>
  <si>
    <t>Asociace českého univerzitního hokeje z.s.</t>
  </si>
  <si>
    <t>Zlín, Mladcová, Mokrá III 6189, PSČ 76001</t>
  </si>
  <si>
    <t>Asociace českých filmových klubů, z. s.</t>
  </si>
  <si>
    <t>ASOCIACE DEGUSTÁTORŮ ČR, z.s.</t>
  </si>
  <si>
    <t>Uherské Hradiště, Masarykovo náměstí 34, PSČ 68601</t>
  </si>
  <si>
    <t>Asociace DICE - Development Initiatives for a Common Europe, z. s.</t>
  </si>
  <si>
    <t>Otrokovice, Na Uličce 1467, PSČ 76502</t>
  </si>
  <si>
    <t>Asociace dlužníků</t>
  </si>
  <si>
    <t>Popovice</t>
  </si>
  <si>
    <t>Popovice 54, PSČ 68604</t>
  </si>
  <si>
    <t>ASOCIACE FUTSALU FIFA Zlín z.s.</t>
  </si>
  <si>
    <t>Kvasice</t>
  </si>
  <si>
    <t>Kvasice, Husova 627, PSČ 76821</t>
  </si>
  <si>
    <t>Asociace klinických psychologů České republiky, pobočka Zlínský kraj</t>
  </si>
  <si>
    <t>Zlín, Ševcovská 2678, PSČ 76001</t>
  </si>
  <si>
    <t>Asociace Klubu KPK o.s.</t>
  </si>
  <si>
    <t>Bystřice pod Hostýnem, Sídliště 1513, PSČ 76861</t>
  </si>
  <si>
    <t>Asociace mezinárodní spolupráce, z.s.</t>
  </si>
  <si>
    <t>Zlín, nám. T. G. Masaryka 2433, PSČ 76001</t>
  </si>
  <si>
    <t>ASOCIACE NESTÁTNÍCH NEZISKOVÝCH ORGANIZACÍ ZLÍNSKÉHO KRAJE z.s.</t>
  </si>
  <si>
    <t>Zlín, třída Tomáše Bati 204, PSČ 76001</t>
  </si>
  <si>
    <t>Asociace nestátních otevřených památek, z. s.</t>
  </si>
  <si>
    <t>Kroměříž, Sněmovní náměstí 1/2, PSČ 76701</t>
  </si>
  <si>
    <t>Asociace podniků topenářské techniky, z.s.</t>
  </si>
  <si>
    <t>Valašské Meziříčí, Krásno nad Bečvou, M. Alše 822, PSČ 75701</t>
  </si>
  <si>
    <t>Ostatní profesní, vědecké a technické činnosti</t>
  </si>
  <si>
    <t>Architektonické a inženýrské činnosti a související technické poradenství</t>
  </si>
  <si>
    <t>Asociace pokerového klubu BONUS o.s.</t>
  </si>
  <si>
    <t>Kroměříž, Riegrovo náměstí 154/25, PSČ 76701</t>
  </si>
  <si>
    <t>Asociace poskytovatelů jednodenní péče na lůžku, z.s.</t>
  </si>
  <si>
    <t>Kroměříž, náměstí Míru 3760/11, PSČ 76701</t>
  </si>
  <si>
    <t>Asociace pro internetové zákazníky, o.s.</t>
  </si>
  <si>
    <t>Uherské Hradiště, Tyršovo náměstí 440, PSČ 68601</t>
  </si>
  <si>
    <t>ASOCIACE PROVOZOVATELŮ DĚTSKÝCH TÁBORŮ o.s.</t>
  </si>
  <si>
    <t>Otrokovice, tř. Tomáše Bati 1266, PSČ 76502</t>
  </si>
  <si>
    <t>Činnosti organizací dětí a mládeže</t>
  </si>
  <si>
    <t>Asociace přátel armády a vojenské historie S.M.C. Bystřice p.Host.</t>
  </si>
  <si>
    <t>Bystřice pod Hostýnem, Palackého 1177, PSČ 76861</t>
  </si>
  <si>
    <t>Asociace přátel GJP a SOŠ Slavičín, z.s.</t>
  </si>
  <si>
    <t>Slavičín, Osvobození 255, PSČ 76321</t>
  </si>
  <si>
    <t>Asociace regionálních a lokálních televizí - ARLT, z.s.</t>
  </si>
  <si>
    <t>Uherské Hradiště, Palackého náměstí 293, PSČ 68601</t>
  </si>
  <si>
    <t>Asociace regionálních partnerů</t>
  </si>
  <si>
    <t>Slavičín, Horní náměstí 821, PSČ 76321</t>
  </si>
  <si>
    <t>Asociace rekreačního sportu</t>
  </si>
  <si>
    <t>Otrokovice, Čechova 456, PSČ 76502</t>
  </si>
  <si>
    <t>Asociace rodičů a přátel Gymnázia Jana Pivečky Slavičín, občanské sdružení</t>
  </si>
  <si>
    <t>Slavičín, Školní 822, PSČ 76321</t>
  </si>
  <si>
    <t>Asociace rodičů a přátel zdravotně postižených dětí v ČR, z. s., Klub STONOšKA</t>
  </si>
  <si>
    <t>Bystřice pod Hostýnem, Masarykovo nám. 140, PSČ 76861</t>
  </si>
  <si>
    <t>Asociace rodičů a přátel zdravotně postižených dětí v ČR, z.s. Klub Uherské Hradiště</t>
  </si>
  <si>
    <t>Kunovice, V Humnech 1400, PSČ 68604</t>
  </si>
  <si>
    <t>Asociace řidičů České republiky</t>
  </si>
  <si>
    <t>Zlín, Malenovice, třída Svobody 775, PSČ 76302</t>
  </si>
  <si>
    <t>Asociace soukromého zemědělství okresu Kroměříž, z.s.</t>
  </si>
  <si>
    <t>Prasklice</t>
  </si>
  <si>
    <t>Prasklice 125, PSČ 76833</t>
  </si>
  <si>
    <t>Asociace soukromého zemědělství okresu Vsetín, z.s.</t>
  </si>
  <si>
    <t>Valašská Bystřice 483, PSČ 75627</t>
  </si>
  <si>
    <t>Zlín, U Lomu 638, PSČ 76001</t>
  </si>
  <si>
    <t>Asociace sportu pro všechny Slušovice, z.s.</t>
  </si>
  <si>
    <t>Slušovice</t>
  </si>
  <si>
    <t>Slušovice, Na Stráni 601, PSČ 76315</t>
  </si>
  <si>
    <t>„Asociace Tectum”</t>
  </si>
  <si>
    <t>Zlín, 2. května 4098, PSČ 76001</t>
  </si>
  <si>
    <t>Asociace televizních studií</t>
  </si>
  <si>
    <t>Zlín, Zarámí 4422, PSČ 76001</t>
  </si>
  <si>
    <t>Asociace TOM ČR, TOM 1401 Špendlíci</t>
  </si>
  <si>
    <t>Zlín, Moravská 4777, PSČ 76005</t>
  </si>
  <si>
    <t>Asociace TOM ČR, TOM 1403 Azimut Napajedla</t>
  </si>
  <si>
    <t>Napajedla, Lány 844, PSČ 76361</t>
  </si>
  <si>
    <t>Asociace TOM ČR, TOM 1407 Tuláci</t>
  </si>
  <si>
    <t>Asociace TOM ČR, TOM 1419 Otrokovice</t>
  </si>
  <si>
    <t>Otrokovice, Přístavní 5204, PSČ 76502</t>
  </si>
  <si>
    <t>Asociace TOM ČR, TOM 19048 SOPTÍCI</t>
  </si>
  <si>
    <t>Rajnochovice</t>
  </si>
  <si>
    <t>Rajnochovice 190, PSČ 76871</t>
  </si>
  <si>
    <t>Asociace TOM ČR, TOM 19153 OYATE WOAPE Otrokovice</t>
  </si>
  <si>
    <t>Otrokovice, Kvítkovice, SNP 1177, PSČ 76502</t>
  </si>
  <si>
    <t>Asociace TOM ČR, TOM 19178 Čižici Vizovice</t>
  </si>
  <si>
    <t>Vizovice, Pardubská 217, PSČ 76312</t>
  </si>
  <si>
    <t>Asociace TOM ČR, TOM 21401 Kamínek Chropyně</t>
  </si>
  <si>
    <t>Chropyně</t>
  </si>
  <si>
    <t>Chropyně, Komenského 335, PSČ 76811</t>
  </si>
  <si>
    <t>Asociace TOM ČR, TOM 3003 Pawnee</t>
  </si>
  <si>
    <t>Bystřice pod Hostýnem, Pod Zábřehem 1503, PSČ 76861</t>
  </si>
  <si>
    <t>Uherský Ostroh, Ostrožské Předměstí, Školní 925, PSČ 68724</t>
  </si>
  <si>
    <t>Asociace TOM ČR, TOM 7007 Tupesy</t>
  </si>
  <si>
    <t>Tupesy 112, PSČ 68707</t>
  </si>
  <si>
    <t>Asociace TOM ČR, TOM 7015 Kamzík</t>
  </si>
  <si>
    <t>Boršice</t>
  </si>
  <si>
    <t>Boršice 190, PSČ 68709</t>
  </si>
  <si>
    <t>Asociace TOM ČR, TOM 7016 Újezdec - Těšov</t>
  </si>
  <si>
    <t>Uherský Brod, Újezdec, 1. května 282, PSČ 68734</t>
  </si>
  <si>
    <t>Asociace TOM ČR, TOM 7308 Myšáci Kelč</t>
  </si>
  <si>
    <t>Kelč 214, PSČ 75643</t>
  </si>
  <si>
    <t>Asociace TOM ČR, TOM 7312 Zlaté šípy</t>
  </si>
  <si>
    <t>Valašské Meziříčí, Krásno nad Bečvou, Masarykova 90/6, PSČ 75701</t>
  </si>
  <si>
    <t>Výroba oděvů, kromě kožešinových výrobků</t>
  </si>
  <si>
    <t>Tisk a činnosti související s tiskem</t>
  </si>
  <si>
    <t>Maloobchod v nespecializovaných prodejnách</t>
  </si>
  <si>
    <t>Pronájem a leasing výrobků pro osobní potřebu a převážně pro domácnost</t>
  </si>
  <si>
    <t>Tvůrčí, umělecké a zábavní činnosti</t>
  </si>
  <si>
    <t>Výroba ostatních dřevěných, korkových, proutěných a slaměných výrobků, kromě nábytku</t>
  </si>
  <si>
    <t>Asociace TOM ČR, TOM 7322 Zbojníci Francova Lhota</t>
  </si>
  <si>
    <t>Francova Lhota</t>
  </si>
  <si>
    <t>Francova Lhota 190, PSČ 75614</t>
  </si>
  <si>
    <t>Asociace TOM ČR, TOM 7331 VSETÍN</t>
  </si>
  <si>
    <t>Vsetín, Ohrada 1834, PSČ 75501</t>
  </si>
  <si>
    <t>Asociace turistických oddílů mládeže ČR, TOM 1412 Otrokovice</t>
  </si>
  <si>
    <t>Otrokovice, nám. 3. května 166, PSČ 76502</t>
  </si>
  <si>
    <t>Asociace turistických oddílů mládeže ČR, TOM 19058 Skorci</t>
  </si>
  <si>
    <t>Vsetín, Dolní Jasenka 171, PSČ 75501</t>
  </si>
  <si>
    <t>Asociace turistických oddílů mládeže ČR, TOM 19132 Medvědí stopa</t>
  </si>
  <si>
    <t>Holešov, Tyršova 1556, PSČ 76901</t>
  </si>
  <si>
    <t>Asociace turistických oddílů mládeže ČR, TOM 19187 NIVNICE</t>
  </si>
  <si>
    <t>Nivnice</t>
  </si>
  <si>
    <t>Nivnice, Komenského 101, PSČ 68751</t>
  </si>
  <si>
    <t>Asociace turistických oddílů mládeže ČR, TOM 21403 Divočáci</t>
  </si>
  <si>
    <t>Nedachlebice</t>
  </si>
  <si>
    <t>Nedachlebice 69, PSČ 68712</t>
  </si>
  <si>
    <t>Asociace turistických oddílů mládeže ČR, 20701 Korál</t>
  </si>
  <si>
    <t>Chvalčov</t>
  </si>
  <si>
    <t>Chvalčov č. ev. 198, PSČ 76872</t>
  </si>
  <si>
    <t>Asociace víceúčelových ZO technických sportů a činností ČR, pobočný spolek Napajedla</t>
  </si>
  <si>
    <t>Napajedla, Zámoraví 17, PSČ 76361</t>
  </si>
  <si>
    <t>Asociace víceúčelových ZO technických sportů a činností Míkovice, z.s.</t>
  </si>
  <si>
    <t>Uherské Hradiště, Míkovice, Lesní 180, PSČ 68609</t>
  </si>
  <si>
    <t>Asociace vydavatelů obecních periodik, o.s.</t>
  </si>
  <si>
    <t>Otrokovice, tř. Spojenců 727, PSČ 76502</t>
  </si>
  <si>
    <t>ASOCIACE ZNALCŮ KURZOVÉHO SÁZENÍ</t>
  </si>
  <si>
    <t>Zlín, Zarámí 4421, PSČ 76001</t>
  </si>
  <si>
    <t>Asociace 8.historického pluku francouzské řadové pěchoty, z.s.</t>
  </si>
  <si>
    <t>Buchlovice, Boženy Němcové 513, PSČ 68708</t>
  </si>
  <si>
    <t>ASP Bikeshop Team o.s.</t>
  </si>
  <si>
    <t>Zlín, Na Rusavě 332, Petr Šantavý</t>
  </si>
  <si>
    <t>Aspiring Trips o.s.</t>
  </si>
  <si>
    <t>Zlín-Příluky, Průmyslová zóna 244</t>
  </si>
  <si>
    <t>ASPOT HULÍN, z. s.</t>
  </si>
  <si>
    <t>Hulín</t>
  </si>
  <si>
    <t>Hulín, U Stavu II 1234, PSČ 76824</t>
  </si>
  <si>
    <t>ASPV Loukov zapsaný spolek</t>
  </si>
  <si>
    <t>Loukov</t>
  </si>
  <si>
    <t>Loukov 219, PSČ 76875</t>
  </si>
  <si>
    <t>ASPV SK ZLÍN, z.s.</t>
  </si>
  <si>
    <t>ASSOCIATION OF CZECH PROFESSIONAL FIREWORKERS, z.s.</t>
  </si>
  <si>
    <t>Zděchov</t>
  </si>
  <si>
    <t>Zděchov 48, PSČ 75607</t>
  </si>
  <si>
    <t>AsTerDog, z.s.</t>
  </si>
  <si>
    <t>Kroměříž, Kotojedská 2807/22, PSČ 76701</t>
  </si>
  <si>
    <t>Astras, o.p.s.</t>
  </si>
  <si>
    <t>Kroměříž, Purkyňova 702/3, PSČ 76701</t>
  </si>
  <si>
    <t>Atelier ALTERNA, z.s.</t>
  </si>
  <si>
    <t>Ateliér Sebevzdělávání z. s.</t>
  </si>
  <si>
    <t>Rožnov pod Radhoštěm, Tvarůžkova 432, PSČ 75661</t>
  </si>
  <si>
    <t>ATEX team</t>
  </si>
  <si>
    <t>Otrokovice, Kvítkovice, SNP 1191, PSČ 76502</t>
  </si>
  <si>
    <t>ATLETICKÁ AKADEMIE ZLÍNSKÉHO KRAJE, z.s.</t>
  </si>
  <si>
    <t>ATLETICKÝ KLUB KROMĚŘÍŽ z.s.</t>
  </si>
  <si>
    <t>Kroměříž, Vrchlického 2899/31, PSČ 76701</t>
  </si>
  <si>
    <t>Atletický klub Zlín, z.s.</t>
  </si>
  <si>
    <t>Atletika Holešov, z.s.</t>
  </si>
  <si>
    <t>Holešov, nám. Svobody 175/37, PSČ 76901</t>
  </si>
  <si>
    <t>ATLETIKA S RADOSTÍ, z. s.</t>
  </si>
  <si>
    <t>Uherské Hradiště, Mánesova 649, PSČ 68601</t>
  </si>
  <si>
    <t>Atmosféra, z.s.</t>
  </si>
  <si>
    <t>Zlín, Velíková, Vlnitá 18, PSČ 76314</t>
  </si>
  <si>
    <t>ATOMY Sport-club</t>
  </si>
  <si>
    <t>Kroměříž, Velehradská 2589/26, PSČ 76701</t>
  </si>
  <si>
    <t>ATOS - jezdecká stáj z.s.</t>
  </si>
  <si>
    <t>Valašské Klobouky, Lipina 106</t>
  </si>
  <si>
    <t>AUDIOHELP z.s. Uherský Brod</t>
  </si>
  <si>
    <t>Uherský Brod, Mariánské nám. 2187, PSČ 68801</t>
  </si>
  <si>
    <t>Augustian Foundation, o.s.</t>
  </si>
  <si>
    <t>Uherský Brod, Naardenská 2282, PSČ 68801</t>
  </si>
  <si>
    <t>Austy.net</t>
  </si>
  <si>
    <t>Ústí</t>
  </si>
  <si>
    <t>Ústí 132, PSČ 755 01</t>
  </si>
  <si>
    <t>AUTO KLUB ATC RACING TEAM v AČR</t>
  </si>
  <si>
    <t>Slušovice, Dostihová 472, PSČ 76315</t>
  </si>
  <si>
    <t>AUTO KLUB BARUM ZLÍN v AČR</t>
  </si>
  <si>
    <t>Zlín, Hornomlýnská 3715/7, PSČ 76001</t>
  </si>
  <si>
    <t>Auto Klub Czech - Pro Motorsport v AČR</t>
  </si>
  <si>
    <t>Zlín, K Pasekám 2984/45, PSČ 76001</t>
  </si>
  <si>
    <t>AUTO KLUB ČR Rožnov pod Radhoštěm v AČR</t>
  </si>
  <si>
    <t>Rožnov pod Radhoštěm, Svazarmovská 865</t>
  </si>
  <si>
    <t>Opravy a údržba motorových vozidel, kromě motocyklů</t>
  </si>
  <si>
    <t>Auto klub JIP TRANS v AČR</t>
  </si>
  <si>
    <t>Fryšták, Horní Ves, Osvobození 122, PSČ 76316</t>
  </si>
  <si>
    <t>AUTO KLUB MOBA RALLY TEAM</t>
  </si>
  <si>
    <t>Slušovice, Školní 618, PSČ 76315</t>
  </si>
  <si>
    <t>AUTO KLUB PASEKY ZLÍN V AČR</t>
  </si>
  <si>
    <t>Zlín, Křiby 4708, PSČ 76005</t>
  </si>
  <si>
    <t>Auto Klub Pizzeria Pneta Zlín v AČR</t>
  </si>
  <si>
    <t>Zlín, Mokrá 290</t>
  </si>
  <si>
    <t>AUTO KLUB RALLY PRODUCTION ZLÍN v AČR</t>
  </si>
  <si>
    <t>Zlín, Lorencova 9</t>
  </si>
  <si>
    <t>Vydávání knih, periodických publikací a ostatní vydavatelské činnosti</t>
  </si>
  <si>
    <t>AUTO KLUB SACO MOTORSPORT, sdružení osob</t>
  </si>
  <si>
    <t>Zlín, Jaroslavice</t>
  </si>
  <si>
    <t>Reklamní činnosti</t>
  </si>
  <si>
    <t>Sazovice</t>
  </si>
  <si>
    <t>Auto Klub Star Club Zlín v AČR</t>
  </si>
  <si>
    <t>Zlín, Smetanova 2401</t>
  </si>
  <si>
    <t>Zlín, Malenovice, Tyršova 914, PSČ 76302</t>
  </si>
  <si>
    <t>Auto klub TAOL Motorsport Zlín v AČR</t>
  </si>
  <si>
    <t>Zlín, Obeciny 4180</t>
  </si>
  <si>
    <t>AUTO KLUB V AČR CAIS MOTORSPORT</t>
  </si>
  <si>
    <t>Fryšták, Horní Ves, Spojovací 333, PSČ 76316</t>
  </si>
  <si>
    <t>Horní Lideč</t>
  </si>
  <si>
    <t>AUTOGARÁŽE 83. z.s.</t>
  </si>
  <si>
    <t>Vsetín, Těšíkov 1173, PSČ 75501</t>
  </si>
  <si>
    <t>Činnosti autoškol a jiných škol řízení</t>
  </si>
  <si>
    <t>AUTOKLUB BOJKOVICE z.s.</t>
  </si>
  <si>
    <t>Bojkovice</t>
  </si>
  <si>
    <t>Bojkovice, Luhačovická 999, PSČ 68771</t>
  </si>
  <si>
    <t>Autoklub Bystřice pod Hostýnem v AČR</t>
  </si>
  <si>
    <t>Bystřice pod Hostýnem, Čs. brigády 115, PSČ 76861</t>
  </si>
  <si>
    <t>Autoklub Chropyně z.s.</t>
  </si>
  <si>
    <t>Chropyně, Komenského 149, PSČ 76811</t>
  </si>
  <si>
    <t>Autoklub České republiky Rally Motor sport klub</t>
  </si>
  <si>
    <t>Valašské Meziříčí, Podlesí 82, PSČ 75701</t>
  </si>
  <si>
    <t>Autoklub GATRAK RALLYE SPORT</t>
  </si>
  <si>
    <t>Slušovice, Školní PO BOX 45 202</t>
  </si>
  <si>
    <t>Pronájem a správa vlastních nebo pronajatých nemovitostí</t>
  </si>
  <si>
    <t>Autoklub Holešov v AČR</t>
  </si>
  <si>
    <t>Holešov, Bartošova 993/24, PSČ 76901</t>
  </si>
  <si>
    <t>AUTOKLUB MORKOVICE v AČR</t>
  </si>
  <si>
    <t>Morkovice-Slížany, Slížany 31, PSČ 76833</t>
  </si>
  <si>
    <t>Vsetín, Dolní Jasenka 744, PSČ 75501</t>
  </si>
  <si>
    <t>AUTOKLUB Staré Město v AČR</t>
  </si>
  <si>
    <t>Staré Město, náměstí Hrdinů 100, PSČ 68603</t>
  </si>
  <si>
    <t>Autoklub v AČR Březolupy</t>
  </si>
  <si>
    <t>Březolupy</t>
  </si>
  <si>
    <t>Březolupy 475, PSČ 68713</t>
  </si>
  <si>
    <t>AUTOKLUB Valašské Meziříčí v AČR</t>
  </si>
  <si>
    <t>Valašské Meziříčí, Mikoláše Alše</t>
  </si>
  <si>
    <t>Autoklub Vsetín - město v AČR</t>
  </si>
  <si>
    <t>AUTOKLUB ZLÍN</t>
  </si>
  <si>
    <t>Zlín, Mladcová, Návesní 45, PSČ 76001</t>
  </si>
  <si>
    <t>AUTOMOTOKLUB JABLŮNKA v AČR</t>
  </si>
  <si>
    <t>Jablůnka 607, PSČ 75623</t>
  </si>
  <si>
    <t>Automotoklub Nedakonice</t>
  </si>
  <si>
    <t>č.p. 80, 687 38 Nedakonice</t>
  </si>
  <si>
    <t>AUTOMOTOKLUB PŘI OBUVNICKÉM PRŮMYSLU SVIT, A.S.</t>
  </si>
  <si>
    <t>Zlín, U STADIONU</t>
  </si>
  <si>
    <t>AUTOMOTOKLUB ZÁHOROVICE v ÚAMK</t>
  </si>
  <si>
    <t>Záhorovice</t>
  </si>
  <si>
    <t>Záhorovice 390, PSČ 68771</t>
  </si>
  <si>
    <t>AUTORODEO TARGET</t>
  </si>
  <si>
    <t>Uherské Hradiště, Mariánské náměstí 74, PSČ 68601</t>
  </si>
  <si>
    <t>AUTOSPORT Přerov-klub v AČR</t>
  </si>
  <si>
    <t>Nová Dědina</t>
  </si>
  <si>
    <t>Nová Dědina č. ev. 131, PSČ 76821</t>
  </si>
  <si>
    <t>Auxilium o.p.s.</t>
  </si>
  <si>
    <t>Hošťálková</t>
  </si>
  <si>
    <t>Hošťálková 428, PSČ 75622</t>
  </si>
  <si>
    <t>Jiné vzdělávání j. n.</t>
  </si>
  <si>
    <t>AUXIMA, spolek</t>
  </si>
  <si>
    <t>Staré Město, Nerudova 1520, PSČ 68603</t>
  </si>
  <si>
    <t>AVALON UH centrum osobního rozvoje a zdravého životního stylu, z. s.</t>
  </si>
  <si>
    <t>Uherské Hradiště, Na Splávku 516, PSČ 68601</t>
  </si>
  <si>
    <t>AveVia, o.p.s.</t>
  </si>
  <si>
    <t>Zlín, Lužkovice, Na Gruntech 46, PSČ 76311</t>
  </si>
  <si>
    <t>Činnosti související s webovými portály</t>
  </si>
  <si>
    <t>AVION BIG BAND z.s.</t>
  </si>
  <si>
    <t>AVZO - TSČ - Poličná, p. s.</t>
  </si>
  <si>
    <t>Poličná 110, PSČ 75701</t>
  </si>
  <si>
    <t>AVZO ČR Buchlovice, pobočný spolek</t>
  </si>
  <si>
    <t>Buchlovice, náměstí Svobody 239, PSČ 68708</t>
  </si>
  <si>
    <t>Ubytování v hotelích a podobných ubytovacích zařízeních</t>
  </si>
  <si>
    <t>AVZO Dolní Bečva p.s.</t>
  </si>
  <si>
    <t>Dolní Bečva</t>
  </si>
  <si>
    <t>Dolní Bečva 547, PSČ 75655</t>
  </si>
  <si>
    <t>AVZO Kudlovice p.s.</t>
  </si>
  <si>
    <t>Kudlovice</t>
  </si>
  <si>
    <t>Kudlovice 319, PSČ 68703</t>
  </si>
  <si>
    <t>AVZO LIPTÁL p. s.</t>
  </si>
  <si>
    <t>Liptál</t>
  </si>
  <si>
    <t>Liptál 1, PSČ 75631</t>
  </si>
  <si>
    <t>Zlín, Podvesná VII 3092, PSČ 76001</t>
  </si>
  <si>
    <t>AVZO TSČ ČR Krajské kolegium Zlínského kraje, p. s.</t>
  </si>
  <si>
    <t>Napajedla, Komenského 1158, PSČ 76361</t>
  </si>
  <si>
    <t>Ratiboř</t>
  </si>
  <si>
    <t>AVZO TSČ ČR, Sportovní střelecký klub Zubří, p. s.</t>
  </si>
  <si>
    <t>Zubří, Pod Ostrým 293, PSČ 75654</t>
  </si>
  <si>
    <t>AVZO TSČ ČR, z. s. Pobočný spolek HUSLENKY</t>
  </si>
  <si>
    <t>Huslenky</t>
  </si>
  <si>
    <t>Huslenky 36, PSČ 75602</t>
  </si>
  <si>
    <t>AVZO TSČ ČR, z. s. pobočný spolek Zlín - Tečovice</t>
  </si>
  <si>
    <t>Tečovice</t>
  </si>
  <si>
    <t>Tečovice 112, PSČ 76302</t>
  </si>
  <si>
    <t>AVZO TSČ ČR Za Moravou p.s.</t>
  </si>
  <si>
    <t>Zlín, třída Tomáše Bati 1287, PSČ 76001</t>
  </si>
  <si>
    <t>AVZO TSČ ČR ZDĚCHOV</t>
  </si>
  <si>
    <t>Zděchov 131, PSČ 75607</t>
  </si>
  <si>
    <t>AVZO TSČ ČR ZO Automotoklub</t>
  </si>
  <si>
    <t>Tlumačov</t>
  </si>
  <si>
    <t>Tlumačov, Nádražní 761, PSČ 76362</t>
  </si>
  <si>
    <t>AVZO TSČ ČR ZO Vizovice, p. s.</t>
  </si>
  <si>
    <t>Vizovice, Razov 710, PSČ 76312</t>
  </si>
  <si>
    <t>AVZO TSČ Lukov, p.s.</t>
  </si>
  <si>
    <t>Lukov, K Lůčkám 350, PSČ 76317</t>
  </si>
  <si>
    <t>AVZO TSČ 80350, Valašské Klobouky, p. s.</t>
  </si>
  <si>
    <t>Lidečko</t>
  </si>
  <si>
    <t>Lidečko 562, PSČ 75612</t>
  </si>
  <si>
    <t>AVZO ZBROJOVKA VSETÍN, p. s.</t>
  </si>
  <si>
    <t>Vsetín, Jasenická 1639, PSČ 75501</t>
  </si>
  <si>
    <t>AXESPORT, občanské sdružení</t>
  </si>
  <si>
    <t>Zlín, Slovenská 2841, PSČ 76001</t>
  </si>
  <si>
    <t>AYCK z.s.</t>
  </si>
  <si>
    <t>AZ Všemina, o.s.</t>
  </si>
  <si>
    <t>Všemina</t>
  </si>
  <si>
    <t>Všemina 300, PSČ 76315</t>
  </si>
  <si>
    <t>Azylová farma Jarikhanda, z.s.</t>
  </si>
  <si>
    <t>Březůvky</t>
  </si>
  <si>
    <t>Březůvky 138, PSČ 76345</t>
  </si>
  <si>
    <t>Azylový dům pro ženy a matky s dětmi o.p.s.</t>
  </si>
  <si>
    <t>Vsetín, Hrbová 1561, PSČ 75501</t>
  </si>
  <si>
    <t>Azylový ranč Valkýra, z. s.</t>
  </si>
  <si>
    <t>Velká Lhota</t>
  </si>
  <si>
    <t>Velká Lhota 103, PSČ 75627</t>
  </si>
  <si>
    <t>Babčice, z. s.</t>
  </si>
  <si>
    <t>Spytihněv</t>
  </si>
  <si>
    <t>Spytihněv 382, PSČ 76364</t>
  </si>
  <si>
    <t>Badec Mástrs Vsetín o.s.</t>
  </si>
  <si>
    <t>Vsetín, Družby 1431, PSČ 75501</t>
  </si>
  <si>
    <t>Badminton Vigantice z.s.</t>
  </si>
  <si>
    <t>Vigantice</t>
  </si>
  <si>
    <t>Vigantice 14, PSČ 75661</t>
  </si>
  <si>
    <t>Badminton Zlín, z.s.</t>
  </si>
  <si>
    <t>Zlín, Nad Vývozem 4876, PSČ 76005</t>
  </si>
  <si>
    <t>Badmintonový klub Hulín, z. s.</t>
  </si>
  <si>
    <t>Hulín, Mezivodí 998, PSČ 76824</t>
  </si>
  <si>
    <t>BajkTeč, z.s.</t>
  </si>
  <si>
    <t>Tečovice 413, PSČ 76302</t>
  </si>
  <si>
    <t>Baletní škola BALLERINE, z.s.</t>
  </si>
  <si>
    <t>Chvalčov, Nová 713, PSČ 76872</t>
  </si>
  <si>
    <t>Ballin' Zlín, z. s.</t>
  </si>
  <si>
    <t>Zlín, Příkrá 5354, PSČ 76001</t>
  </si>
  <si>
    <t>Balon Klub Slovácko z.s.</t>
  </si>
  <si>
    <t>Břestek</t>
  </si>
  <si>
    <t>Břestek 316, PSČ 68708</t>
  </si>
  <si>
    <t>"BandR"</t>
  </si>
  <si>
    <t>Uherský Brod, U Fortny 2158, PSČ 68801</t>
  </si>
  <si>
    <t>BAOBABY z.s.</t>
  </si>
  <si>
    <t>Hostišová</t>
  </si>
  <si>
    <t>Hostišová, Hostišová - Horňák 102, PSČ 76301</t>
  </si>
  <si>
    <t>BARBEN, o.s.</t>
  </si>
  <si>
    <t>Otrokovice, tř. Tomáše Bati 940</t>
  </si>
  <si>
    <t>Bartošův soubor, z. s.</t>
  </si>
  <si>
    <t>Barvy dětem</t>
  </si>
  <si>
    <t>Uherské Hradiště, Na Morávce 605, PSČ 68601</t>
  </si>
  <si>
    <t>BAS Myrmidon, o.s.</t>
  </si>
  <si>
    <t>Zlín, Na Honech III 4927, PSČ 76005</t>
  </si>
  <si>
    <t>Baseball Club Cobblers Zlín z.s.</t>
  </si>
  <si>
    <t>Zlín, J. A. Bati 5542, PSČ 76001</t>
  </si>
  <si>
    <t>Basket Valmez, z.s.</t>
  </si>
  <si>
    <t>Valašské Meziříčí, Hrachovec 307, PSČ 75701</t>
  </si>
  <si>
    <t>Basketbalová škola mládeže Kroměříž, o. s.</t>
  </si>
  <si>
    <t>Kroměříž, Jiráskova 825/4, PSČ 76701</t>
  </si>
  <si>
    <t>Sportovní a rekreační vzdělávání</t>
  </si>
  <si>
    <t>Baťovy dílny - Včera, dnes a zítra, z. s.</t>
  </si>
  <si>
    <t>Zlín, Louky, třída Tomáše Bati 227, PSČ 76302</t>
  </si>
  <si>
    <t>BAV SE, z.s.</t>
  </si>
  <si>
    <t>Luhačovice, Antonína Slavíčka 807, PSČ 76326</t>
  </si>
  <si>
    <t>BC Bruiser Kroměříž z.s.</t>
  </si>
  <si>
    <t>Kroměříž, U Rejdiště 3726/3, PSČ 76701</t>
  </si>
  <si>
    <t>BC KROMĚŘÍŽ, z.s.</t>
  </si>
  <si>
    <t>Kroměříž, Velehradská 625/4, PSČ 76701</t>
  </si>
  <si>
    <t>BC LOKOMOTIVA KUNOVICE z.s.</t>
  </si>
  <si>
    <t>Uherské Hradiště, Mařatice, Sadová 979, PSČ 68605</t>
  </si>
  <si>
    <t>Beach volleybalový klub Staré Město</t>
  </si>
  <si>
    <t>Staré Město, Brněnská 1249, sokolovna</t>
  </si>
  <si>
    <t>Beat Up Zlín, z.s.</t>
  </si>
  <si>
    <t>Zlín, Bartošova 4393, PSČ 76001</t>
  </si>
  <si>
    <t>Bečvánek Beskydy, o. s.</t>
  </si>
  <si>
    <t>Horní Bečva</t>
  </si>
  <si>
    <t>Horní Bečva 958, PSČ 75657</t>
  </si>
  <si>
    <t>Bečvanské Maměnky z.s.</t>
  </si>
  <si>
    <t>Prostřední Bečva</t>
  </si>
  <si>
    <t>Prostřední Bečva č. ev. 248, PSČ 75656</t>
  </si>
  <si>
    <t>Bedrník, z.s.</t>
  </si>
  <si>
    <t>Boršice u Blatnice</t>
  </si>
  <si>
    <t>Boršice u Blatnice 306, PSČ 68763</t>
  </si>
  <si>
    <t>Běh ránem z.s.</t>
  </si>
  <si>
    <t>Štítná nad Vláří-Popov, Popov 77, PSČ 76333</t>
  </si>
  <si>
    <t>Běhy Zlín, z.s.</t>
  </si>
  <si>
    <t>Fryšták, Dolní Ves, Vylanta 235, PSČ 76316</t>
  </si>
  <si>
    <t>Bělokarpatská akademie lidových umění a technologií</t>
  </si>
  <si>
    <t>Valašské Klobouky, Palackého 739, PSČ 76601</t>
  </si>
  <si>
    <t>Benfika Rožnov, z.s.</t>
  </si>
  <si>
    <t>Rožnov pod Radhoštěm, Horská 1735, PSČ 75661</t>
  </si>
  <si>
    <t>Berberis, o.s.</t>
  </si>
  <si>
    <t>BERENDAL, z.s.</t>
  </si>
  <si>
    <t>Žlutava</t>
  </si>
  <si>
    <t>Žlutava 301, PSČ 76361</t>
  </si>
  <si>
    <t>BESEDNÍCI z.s.</t>
  </si>
  <si>
    <t>Šumice</t>
  </si>
  <si>
    <t>Šumice 400, PSČ 68731</t>
  </si>
  <si>
    <t>Besedování, z.s.</t>
  </si>
  <si>
    <t>Zlín, Louky, třída Tomáše Bati 407, PSČ 76302</t>
  </si>
  <si>
    <t>BESIL, z.s.</t>
  </si>
  <si>
    <t>Zlín, Prštné, Přímá 526, PSČ 76001</t>
  </si>
  <si>
    <t>BESKYD BIKE, z.s.</t>
  </si>
  <si>
    <t>Vigantice 234, PSČ 75661</t>
  </si>
  <si>
    <t>Beskydská opora, o.s.</t>
  </si>
  <si>
    <t>Zubří, Starozuberská 1449, PSČ 75654</t>
  </si>
  <si>
    <t>BESKYDSKÉ KAMENY z.s.</t>
  </si>
  <si>
    <t>Rožnov pod Radhoštěm, Tylovice č. ev. 315, PSČ 75661</t>
  </si>
  <si>
    <t>BEST 4 LIVE, z.s.</t>
  </si>
  <si>
    <t>Staré Město, Stojanova 978, PSČ 68603</t>
  </si>
  <si>
    <t>Best4Life, z. s.</t>
  </si>
  <si>
    <t>Zlín, Kudlov, Václavská 464, PSČ 76001</t>
  </si>
  <si>
    <t>"Betonová liga"</t>
  </si>
  <si>
    <t>Zlín, Podlesí 5310</t>
  </si>
  <si>
    <t>Bezměrovák zapsaný spolek</t>
  </si>
  <si>
    <t>Bezměrov</t>
  </si>
  <si>
    <t>Bezměrov 18, PSČ 76701</t>
  </si>
  <si>
    <t>Bezměrovští rybáři</t>
  </si>
  <si>
    <t>Bezměrov 203, PSČ 76701</t>
  </si>
  <si>
    <t>Bezobaláč, z. ú.</t>
  </si>
  <si>
    <t>Zlín, Bratří Sousedíků 1067, PSČ 76001</t>
  </si>
  <si>
    <t>BEZPEČNĚ K CÍLI</t>
  </si>
  <si>
    <t>Vsetín, Na Příkopě 814, PSČ 75501</t>
  </si>
  <si>
    <t>Běžecký areál Pustevny z.s.</t>
  </si>
  <si>
    <t>Valašské Meziříčí, Podlesí 541, PSČ 75701</t>
  </si>
  <si>
    <t>Biblické společenství křesťanů Kroměříž, z. s.</t>
  </si>
  <si>
    <t>Kroměříž, Moravcova 430/16, PSČ 76701</t>
  </si>
  <si>
    <t>BIG BAND ZLÍN z.s.</t>
  </si>
  <si>
    <t>Bike Club Morkovice</t>
  </si>
  <si>
    <t>Morkovice-Slížany, Morkovice, Olejna 751, PSČ 76833</t>
  </si>
  <si>
    <t>BIKE CLUB Valašské Klobouky</t>
  </si>
  <si>
    <t>BIKE CLUB ZLÍN</t>
  </si>
  <si>
    <t>Zlín, Nad Stráněmi 4675, PSČ 76005</t>
  </si>
  <si>
    <t>Bike Hate Crew Vizovice</t>
  </si>
  <si>
    <t>Vizovice, 3. května 937, PSČ 76312</t>
  </si>
  <si>
    <t>Bike Hazard Racing Team</t>
  </si>
  <si>
    <t>Holešov, Všetuly, Kráčiny 281, PSČ 76901</t>
  </si>
  <si>
    <t>Bike Park KM o.s.</t>
  </si>
  <si>
    <t>Kroměříž, Čs. armády 4005/15, PSČ 76701</t>
  </si>
  <si>
    <t>BIKE PRO RACING, z.s.</t>
  </si>
  <si>
    <t>Valašské Meziříčí, Krásno nad Bečvou, Hranická 927, PSČ 75701</t>
  </si>
  <si>
    <t>Bike Rebels Kudlovice z.s.</t>
  </si>
  <si>
    <t>Kudlovice 185, PSČ 68703</t>
  </si>
  <si>
    <t>BIKE TEAM Rožnov p.R., o.s.</t>
  </si>
  <si>
    <t>Rožnov pod Radhoštěm, 5. května 1341, PSČ 75661</t>
  </si>
  <si>
    <t>BIKE TEAM SAZOVICE, z.s.</t>
  </si>
  <si>
    <t>Sazovice 245, PSČ 76301</t>
  </si>
  <si>
    <t>BIKE TRIATLON MORKOVICE, z.s.</t>
  </si>
  <si>
    <t>Morkovice-Slížany, Morkovice, 17. listopadu 137, PSČ 76833</t>
  </si>
  <si>
    <t>BIKECORE OE z.s.</t>
  </si>
  <si>
    <t>Otrokovice, Štěrkoviště 1293, PSČ 76502</t>
  </si>
  <si>
    <t>Bikepark Skála, z.s.</t>
  </si>
  <si>
    <t>Zašová</t>
  </si>
  <si>
    <t>Zašová 397, PSČ 75651</t>
  </si>
  <si>
    <t>Bikepark Valašské Klobouky, z. s.</t>
  </si>
  <si>
    <t>Valašské Klobouky, Zahradní 813, PSČ 76601</t>
  </si>
  <si>
    <t>Biking Medlovice z.s.</t>
  </si>
  <si>
    <t>Medlovice</t>
  </si>
  <si>
    <t>Medlovice 146, PSČ 68741</t>
  </si>
  <si>
    <t>BIKROS MÍKOVICE z.s.</t>
  </si>
  <si>
    <t>Kudlovice 329, PSČ 68703</t>
  </si>
  <si>
    <t>Bílé cesty z.s.</t>
  </si>
  <si>
    <t>Valašské Meziříčí, Krásno nad Bečvou, Zašovská 195, PSČ 75701</t>
  </si>
  <si>
    <t>Bílokarpatská westernová asociace</t>
  </si>
  <si>
    <t>Strání</t>
  </si>
  <si>
    <t>Strání, Květná, Mechnáčky I 841, PSČ 68766</t>
  </si>
  <si>
    <t>Bílý otisk, z.s.</t>
  </si>
  <si>
    <t>Vsetín, Josefa Sousedíka 1430, PSČ 75501</t>
  </si>
  <si>
    <t>Biochar Foundation, nadační fond</t>
  </si>
  <si>
    <t>Zlín, Zarámí 4077, PSČ 76001</t>
  </si>
  <si>
    <t>Biskupští manové z Kroměříže z. s.</t>
  </si>
  <si>
    <t>Kroměříž, Trávník 102, PSČ 76701</t>
  </si>
  <si>
    <t>BK Holešov, z.s.</t>
  </si>
  <si>
    <t>Prusinovice</t>
  </si>
  <si>
    <t>Prusinovice, Podzahradí 397, PSČ 76842</t>
  </si>
  <si>
    <t>BK JOaC Janová, z.s.</t>
  </si>
  <si>
    <t>Janová</t>
  </si>
  <si>
    <t>Janová 128, PSČ 75501</t>
  </si>
  <si>
    <t>BK Zlín sk.</t>
  </si>
  <si>
    <t>Zlín, Moravská 4782, PSČ 76005</t>
  </si>
  <si>
    <t>Blabloviny, z. s.</t>
  </si>
  <si>
    <t>Břest</t>
  </si>
  <si>
    <t>Břest 322, PSČ 76823</t>
  </si>
  <si>
    <t>BLF TEAM, z. s.</t>
  </si>
  <si>
    <t>Zlín, Kudlov, Pindula 87, PSČ 76001</t>
  </si>
  <si>
    <t>Blízko nás, z. ú.</t>
  </si>
  <si>
    <t>Oldřichovice</t>
  </si>
  <si>
    <t>Oldřichovice 55, PSČ 76361</t>
  </si>
  <si>
    <t>Blockbuster DH team</t>
  </si>
  <si>
    <t>Zlín, Váchova 205</t>
  </si>
  <si>
    <t>"Blues street band - hudební seskupení"</t>
  </si>
  <si>
    <t>Valašské Meziříčí, Krásno nad Bečvou, Obora I 834, PSČ 75701</t>
  </si>
  <si>
    <t>BMV Centrum Nivnice</t>
  </si>
  <si>
    <t>Nivnice, Na Požáře 410, PSČ 68751</t>
  </si>
  <si>
    <t>BMW Racing Team z.s.</t>
  </si>
  <si>
    <t>Bařice-Velké Těšany</t>
  </si>
  <si>
    <t>Bařice-Velké Těšany, Velké Těšany 38, PSČ 76701</t>
  </si>
  <si>
    <t>„Bobovka Zlín o.s.”</t>
  </si>
  <si>
    <t>Boca Fuego, z.s.</t>
  </si>
  <si>
    <t>Valašské Meziříčí, Nerudova 655/10, PSČ 75701</t>
  </si>
  <si>
    <t>BODICO, z.s.</t>
  </si>
  <si>
    <t>Staré Město, Velehradská 1905, PSČ 68603</t>
  </si>
  <si>
    <t>Ostatní těžba a dobývání</t>
  </si>
  <si>
    <t>Zpracování dřeva, výroba dřevěných, korkových, proutěných a slaměných výrobků, kromě nábytku</t>
  </si>
  <si>
    <t>Výroba ostatních nekovových minerálních výrobků</t>
  </si>
  <si>
    <t>Ostatní úklidové činnosti</t>
  </si>
  <si>
    <t>Body and Smile, z. ú.</t>
  </si>
  <si>
    <t>Zlín, třída Tomáše Bati 3930, PSČ 76001</t>
  </si>
  <si>
    <t>Výroba textilií</t>
  </si>
  <si>
    <t>Výroba ostatních porcelánových a keramických výrobků</t>
  </si>
  <si>
    <t>Opravy ostatních výrobků pro osobní potřebu a převážně pro domácnost</t>
  </si>
  <si>
    <t>BODY CLUB z.s.</t>
  </si>
  <si>
    <t>Zlín, Zálešná IV 2964, PSČ 76001</t>
  </si>
  <si>
    <t>BODY Ski, z. s.</t>
  </si>
  <si>
    <t>BOJKOVICKÁ MINIMATEŘINA, spolek</t>
  </si>
  <si>
    <t>Bojkovice, Štefánikova 830, PSČ 68771</t>
  </si>
  <si>
    <t>Boněcko z. s.</t>
  </si>
  <si>
    <t>Bono Enviro Zlínský kraj z.s.</t>
  </si>
  <si>
    <t>Hulín, Družba 1190, PSČ 76824</t>
  </si>
  <si>
    <t>Borky a borci z. s.</t>
  </si>
  <si>
    <t>Topolná</t>
  </si>
  <si>
    <t>Topolná 565, PSČ 68711</t>
  </si>
  <si>
    <t>Born To Ride z.s.</t>
  </si>
  <si>
    <t>Kostelec u Holešova 63, PSČ 76843</t>
  </si>
  <si>
    <t>BORŠIČANÉ, z. s.</t>
  </si>
  <si>
    <t>Boršice u Blatnice 157, PSČ 68763</t>
  </si>
  <si>
    <t>BORŠIČANKA AK, z. s.</t>
  </si>
  <si>
    <t>Kněžpole</t>
  </si>
  <si>
    <t>Kněžpole 333, PSČ 68712</t>
  </si>
  <si>
    <t>Boryka, z. s.</t>
  </si>
  <si>
    <t>Uherské Hradiště, Na Rybníku 979, PSČ 68601</t>
  </si>
  <si>
    <t>Bowlingový klub Zlín, z.s.</t>
  </si>
  <si>
    <t>Zlín, Vysoká 2094, PSČ 76001</t>
  </si>
  <si>
    <t>BOX CLUB ZLÍN</t>
  </si>
  <si>
    <t>Zlín, Česká 4969, PSČ 76005</t>
  </si>
  <si>
    <t>Box K1 Kroměříž</t>
  </si>
  <si>
    <t>Kroměříž, Gen. Svobody 1264/21, PSČ 76701</t>
  </si>
  <si>
    <t>Box Zlín</t>
  </si>
  <si>
    <t>Zlín, Malenovice, Tyršova 300, PSČ 76302</t>
  </si>
  <si>
    <t>Boxing Club Zubří, z.s.</t>
  </si>
  <si>
    <t>Zubří, Starozuberská 1087, PSČ 75654</t>
  </si>
  <si>
    <t>BRAK z. s.</t>
  </si>
  <si>
    <t>Zlín, Benešovo nábřeží 3716, PSČ 76001</t>
  </si>
  <si>
    <t>Brána, o.p.s.</t>
  </si>
  <si>
    <t>Zdounky</t>
  </si>
  <si>
    <t>Zdounky, Zborovská 80, PSČ 76802</t>
  </si>
  <si>
    <t>BRÁNA TALENTŮ, nadační fond</t>
  </si>
  <si>
    <t>Zlín, Mostní 138, PSČ 76001</t>
  </si>
  <si>
    <t>Brankářská Akademie Zlínského kraje, pobočný spolek</t>
  </si>
  <si>
    <t>Slavičín, Obchodní 584, PSČ 76321</t>
  </si>
  <si>
    <t>Branná mládež ČR z.s.</t>
  </si>
  <si>
    <t>Vlčnov</t>
  </si>
  <si>
    <t>Vlčnov 254, PSČ 68761</t>
  </si>
  <si>
    <t>Branná mládež ČR z.s. oddíl gen. Josefa Šnajdra</t>
  </si>
  <si>
    <t>Luhačovice, Mlýnská 688, PSČ 76326</t>
  </si>
  <si>
    <t>Branná mládež ČR z.s., oddíl generála V.B.Luži</t>
  </si>
  <si>
    <t>Branná mládež ČR z.s. oddíl Karla Vystrčila</t>
  </si>
  <si>
    <t>Bohuslavice nad Vláří</t>
  </si>
  <si>
    <t>Bohuslavice nad Vláří 47, PSČ 76321</t>
  </si>
  <si>
    <t>Branná mládež ČR z.s. oddíl pplk. Jana Hrubého</t>
  </si>
  <si>
    <t>Bílovice</t>
  </si>
  <si>
    <t>Bílovice 267, PSČ 68712</t>
  </si>
  <si>
    <t>Branné oddíly ČR z. s.</t>
  </si>
  <si>
    <t>Bojkovice, Krhov 147, PSČ 68771</t>
  </si>
  <si>
    <t>Branné oddíly mládeže z. s.</t>
  </si>
  <si>
    <t>BRANNÝ KLUB NEDAŠOV</t>
  </si>
  <si>
    <t>Nedašov</t>
  </si>
  <si>
    <t>Nedašov 325, PSČ 76332</t>
  </si>
  <si>
    <t>BRANNÝ KLUB ZLÍN</t>
  </si>
  <si>
    <t>Vršava 4961, 760 01 Zlín</t>
  </si>
  <si>
    <t>Bratrstvo psích tlapek z.s.</t>
  </si>
  <si>
    <t>Zlín, K Pasekám 1553, PSČ 76001</t>
  </si>
  <si>
    <t>Bratři františkáni v Uherském Hradišti</t>
  </si>
  <si>
    <t>Uherské Hradiště, Mariánské náměstí 200, PSČ 68601</t>
  </si>
  <si>
    <t>"BRAVO - agency"</t>
  </si>
  <si>
    <t>Brumov-Bylnice</t>
  </si>
  <si>
    <t>Brumov-Bylnice, Brumov, Na Vyhlídce 795, PSČ 76331</t>
  </si>
  <si>
    <t>Brick Zlín, z. s.</t>
  </si>
  <si>
    <t>Pohořelice</t>
  </si>
  <si>
    <t>Pohořelice, Uličky 330, PSČ 76361</t>
  </si>
  <si>
    <t>Bridžový klub Uherské Hradiště, z. s.</t>
  </si>
  <si>
    <t>Uherské Hradiště, Jindřicha Pruchy 76, PSČ 68601</t>
  </si>
  <si>
    <t>Brnem s lidmi bez domova, z.s.</t>
  </si>
  <si>
    <t>Vrbka</t>
  </si>
  <si>
    <t>Vrbka 58, PSČ 76821</t>
  </si>
  <si>
    <t>BRNO - VĚC VEŘEJNÁ z.s.</t>
  </si>
  <si>
    <t>Bojkovice, Krhov 126, PSČ 68771</t>
  </si>
  <si>
    <t>Brodem UB, o.p.s.</t>
  </si>
  <si>
    <t>Uherský Brod, Naardenská 142, PSČ 68801</t>
  </si>
  <si>
    <t>Činnosti zpravodajských tiskových kanceláří a agentur</t>
  </si>
  <si>
    <t>Brokový střelecký klub Hornet</t>
  </si>
  <si>
    <t>Žeranovice</t>
  </si>
  <si>
    <t>Žeranovice 34, PSČ 769 01</t>
  </si>
  <si>
    <t>Brown horse, z.s.</t>
  </si>
  <si>
    <t>Uherské Hradiště, Sady, Malostranská 4, PSČ 68601</t>
  </si>
  <si>
    <t>Bruslařský klub Uherské Hradiště o.s.</t>
  </si>
  <si>
    <t>Uherské Hradiště, Na Rybníku 1057, PSČ 68601</t>
  </si>
  <si>
    <t>Bruslařský klub Uherský Brod, z.s.</t>
  </si>
  <si>
    <t>Uherský Brod, Lipová 703, PSČ 68801</t>
  </si>
  <si>
    <t>Brusné žije z.s.</t>
  </si>
  <si>
    <t>Brusné</t>
  </si>
  <si>
    <t>Brusné 98, PSČ 76861</t>
  </si>
  <si>
    <t>Maloobchod s použitým zbožím v prodejnách</t>
  </si>
  <si>
    <t>Březiny o.p.s.</t>
  </si>
  <si>
    <t>Kateřinice</t>
  </si>
  <si>
    <t>Kateřinice 251, PSČ 75621</t>
  </si>
  <si>
    <t>Březová tříska z.s.</t>
  </si>
  <si>
    <t>Březolupy 90, PSČ 68713</t>
  </si>
  <si>
    <t>Březůvjan - spolek pro obnovu, zachování, udržování a rozvíjení kulturních tradic a hmotných památek charakteristických pro Březůvky, Luhačovské Záleší a region Jihovýchodní Moravy, z. s.</t>
  </si>
  <si>
    <t>Březůvky 1, PSČ 76345</t>
  </si>
  <si>
    <t>BTS racing, o.s.</t>
  </si>
  <si>
    <t>Slavičín, Mladotická 708, PSČ 76321</t>
  </si>
  <si>
    <t>BUBU - klub dětské kultury, Vsetín, z.s.</t>
  </si>
  <si>
    <t>Vsetín, Rokytnice, Janišov 306, PSČ 75501</t>
  </si>
  <si>
    <t>BUCHLOVICE TV o.s.</t>
  </si>
  <si>
    <t>Buchlovice, Tyršova 285, PSČ 68708</t>
  </si>
  <si>
    <t>Činnosti organizací sdružujících osoby za účelem prosazování společných zájmů</t>
  </si>
  <si>
    <t>Buchlovjánek- spolek</t>
  </si>
  <si>
    <t>Buchlovice, Hradišťská 4, PSČ 68708</t>
  </si>
  <si>
    <t>Budoucí tvůrčí skupina, z. s.</t>
  </si>
  <si>
    <t>Zlín, Kostelec, Lešenská 245, PSČ 76314</t>
  </si>
  <si>
    <t>Buffalo club, z.s.</t>
  </si>
  <si>
    <t>Němčice</t>
  </si>
  <si>
    <t>Němčice 46, PSČ 76843</t>
  </si>
  <si>
    <t>Bukovina z.s.</t>
  </si>
  <si>
    <t>Uherské Hradiště, Míkovice, Na Příkopě 271, PSČ 68609</t>
  </si>
  <si>
    <t>Buntaranta - přátelé pěstounských rodin</t>
  </si>
  <si>
    <t>Osvětimany</t>
  </si>
  <si>
    <t>Osvětimany 161, PSČ 68742</t>
  </si>
  <si>
    <t>Búřov Golf Club, z.s.</t>
  </si>
  <si>
    <t>Valašská Bystřice 203, PSČ 75627</t>
  </si>
  <si>
    <t>Bydlení na Záhonech, z.s.</t>
  </si>
  <si>
    <t>Kunovice, U Štreky 1746, PSČ 68604</t>
  </si>
  <si>
    <t>Bydlet a pracovat, z.s.</t>
  </si>
  <si>
    <t>Tlumačov, Nádražní 204, PSČ 76362</t>
  </si>
  <si>
    <t>BÝKEŘI - MORAVIAN BIKERS CLUB</t>
  </si>
  <si>
    <t>Holešov, Palackého 1634, PSČ 76901</t>
  </si>
  <si>
    <t>BYSTŘICA z.s.</t>
  </si>
  <si>
    <t>Bystřice pod Hostýnem, Lipnická 1149, PSČ 76861</t>
  </si>
  <si>
    <t>Bystřina, z. s.</t>
  </si>
  <si>
    <t>Malá Bystřice</t>
  </si>
  <si>
    <t>Malá Bystřice 95, PSČ 75627</t>
  </si>
  <si>
    <t>Skaštice</t>
  </si>
  <si>
    <t>Canisterapie srdcem, z.s.</t>
  </si>
  <si>
    <t>Zlín, Prštné, Nábřeží 143, PSČ 76001</t>
  </si>
  <si>
    <t>Cantiamo, z.s.</t>
  </si>
  <si>
    <t>Slušovice, Hřbitovní 26, PSČ 76315</t>
  </si>
  <si>
    <t>CANTICUM CAMERALE z.s.</t>
  </si>
  <si>
    <t>CARAVAN CLUB Strážnice v AČR</t>
  </si>
  <si>
    <t>Staré Město, Bratří Mrštíků 1591, PSČ 68603</t>
  </si>
  <si>
    <t>CARPE DIEM z.s.</t>
  </si>
  <si>
    <t>Hulín, Chrášťany 49, PSČ 76824</t>
  </si>
  <si>
    <t>Holešov, nám. F. X. Richtra 190, PSČ 76901</t>
  </si>
  <si>
    <t>Cekotapress, z. s.</t>
  </si>
  <si>
    <t>Celoživotní učení, z.s.</t>
  </si>
  <si>
    <t>Roštín</t>
  </si>
  <si>
    <t>Roštín 9, PSČ 76803</t>
  </si>
  <si>
    <t>Centrála cestovního ruchu Východní Moravy, o.p.s.</t>
  </si>
  <si>
    <t>Zlín, J. A. Bati 5520, PSČ 76001</t>
  </si>
  <si>
    <t>Činnosti v oblasti filmů, videozáznamů a televizních programů, pořizování zvukových nahrávek a hudební vydavatelské činnosti</t>
  </si>
  <si>
    <t>Ostatní informační činnosti</t>
  </si>
  <si>
    <t>Rozmnožování nahraných nosičů</t>
  </si>
  <si>
    <t>Centrum aplikace energetických inovací, z.s.</t>
  </si>
  <si>
    <t>Machová</t>
  </si>
  <si>
    <t>Machová 88, PSČ 76301</t>
  </si>
  <si>
    <t>Centrum Arkána o.p.s.</t>
  </si>
  <si>
    <t>Činnosti v oblasti filmů, videozáznamů a televizních programů</t>
  </si>
  <si>
    <t>Ostatní vydavatelské činnosti</t>
  </si>
  <si>
    <t>Centrum bojového umění z.s.</t>
  </si>
  <si>
    <t>Zlín, Nad Ovčírnou IV 344, PSČ 76001</t>
  </si>
  <si>
    <t>Centrum branných aktivit z.s.</t>
  </si>
  <si>
    <t>Centrum branných sportů z. s.</t>
  </si>
  <si>
    <t>Hulín, Záhlinice 42, PSČ 76824</t>
  </si>
  <si>
    <t>Centrum environmentálního výzkumu, z.s.</t>
  </si>
  <si>
    <t>Staré Město, Nerudova 2181, PSČ 68603</t>
  </si>
  <si>
    <t>Centrum experimentální archeologie a živé historie, o.s.</t>
  </si>
  <si>
    <t>Modrá 54, PSČ 68706</t>
  </si>
  <si>
    <t>centrum Hina o.s.</t>
  </si>
  <si>
    <t>Bystřice pod Lopeníkem</t>
  </si>
  <si>
    <t>Bystřice pod Lopeníkem 321, PSČ 68755</t>
  </si>
  <si>
    <t>Centrum Inspirace, z.ú.</t>
  </si>
  <si>
    <t>Zlín, Lešetín IV 707, PSČ 76001</t>
  </si>
  <si>
    <t>Centrum Kasárna z.s.</t>
  </si>
  <si>
    <t>Kroměříž, Obvodová 3789/28, PSČ 76701</t>
  </si>
  <si>
    <t>Centrum Kouzelný Vrch o.s.</t>
  </si>
  <si>
    <t>Ostrožská Nová Ves, Chylice, Osvobození 164, PSČ 68722</t>
  </si>
  <si>
    <t>CENTRUM MEDIACE ZLÍN, z.s.</t>
  </si>
  <si>
    <t>Zlín, třída Tomáše Bati 5213, PSČ 76001</t>
  </si>
  <si>
    <t>Centrum podpory marketingového vzdělávání, z.s.</t>
  </si>
  <si>
    <t>Zlín, Podvesná XVI 5652, PSČ 76001</t>
  </si>
  <si>
    <t>Centrum pro matky s dětmi Beruška</t>
  </si>
  <si>
    <t>Kunovice, Panská 24, PSČ 68604</t>
  </si>
  <si>
    <t>Centrum pro média a demokracii, z.s.</t>
  </si>
  <si>
    <t>Valašské Meziříčí, Vsetínská 680/48, PSČ 75701</t>
  </si>
  <si>
    <t>CENTRUM PRO PODPORU ROZVOJE REGIONU</t>
  </si>
  <si>
    <t>Zlín, Malenovice, Jar. Staši 1, PSČ 76302</t>
  </si>
  <si>
    <t>Centrum pro rodinu BERUŠKA</t>
  </si>
  <si>
    <t>Uherský Brod, U Plovárny 1502, PSČ 68801</t>
  </si>
  <si>
    <t>Centrum pro rodinu Spolu, z.s.</t>
  </si>
  <si>
    <t>Vsetín, Horní náměstí 134, PSČ 75501</t>
  </si>
  <si>
    <t>Centrum pro rodinu Studánka Kroměříž z.s.</t>
  </si>
  <si>
    <t>Kroměříž, Stojanovo náměstí 4/5, PSČ 76701</t>
  </si>
  <si>
    <t>Uherské Hradiště, Masarykovo náměstí 36, PSČ 68601</t>
  </si>
  <si>
    <t>Centrum pro rodinu Uherský Brod z.s.</t>
  </si>
  <si>
    <t>Uherský Brod, Masarykovo nám. 68, PSČ 68801</t>
  </si>
  <si>
    <t>Centrum pro rodinu Valašské Klobouky z.s.</t>
  </si>
  <si>
    <t>Valašské Klobouky, Smetanova 95, PSČ 76601</t>
  </si>
  <si>
    <t>Centrum pro rodinu Valašské Meziříčí z.s.</t>
  </si>
  <si>
    <t>Zašová 44, PSČ 75651</t>
  </si>
  <si>
    <t>Centrum pro rodinu Vizovice z.s.</t>
  </si>
  <si>
    <t>Vizovice, Palackého Nám. 365, PSČ 76312</t>
  </si>
  <si>
    <t>Centrum pro rodinu Vsetín, z. s.</t>
  </si>
  <si>
    <t>Centrum pro rodinu Zlín z.s.</t>
  </si>
  <si>
    <t>Zlín, Okružní 5298, PSČ 76005</t>
  </si>
  <si>
    <t>Centrum pro rozvoj informační společnosti o.s.</t>
  </si>
  <si>
    <t>Uherský Brod, Komenského 2033, PSČ 68801</t>
  </si>
  <si>
    <t>Centrum pro seniory Zachar, spolek</t>
  </si>
  <si>
    <t>Centrum pro seniory Zahrada, o.p.s.</t>
  </si>
  <si>
    <t>Bystřice pod Hostýnem, A. Bartoše 1700, PSČ 76861</t>
  </si>
  <si>
    <t>Sociální péče v domovech pro seniory a osoby se zdravotním postižením</t>
  </si>
  <si>
    <t>Ostatní činnosti související se zdravotní péčí</t>
  </si>
  <si>
    <t>Karolinka</t>
  </si>
  <si>
    <t>Centrum pro volný čas Zlaté šípy</t>
  </si>
  <si>
    <t>Valašské Meziříčí, Křížná 5888</t>
  </si>
  <si>
    <t>Centrum pro zdravotně postižené Zlínského kraje, o.p.s.</t>
  </si>
  <si>
    <t>Ambulantní nebo terénní sociální služby pro osoby se zdravotním postižením</t>
  </si>
  <si>
    <t>Centrum rodiny a zdraví</t>
  </si>
  <si>
    <t>Uherský Brod, Pod Valy 108, PSČ 68801</t>
  </si>
  <si>
    <t>Centrum sebepoznání z.s.</t>
  </si>
  <si>
    <t>Zlín, Kotěrova 901, PSČ 76001</t>
  </si>
  <si>
    <t>Centrum služeb a podpory Zlín, o.p.s.        s možností užívání zkrácené formy:  CSP Zlín, o.p.s.</t>
  </si>
  <si>
    <t>Zlín, Mostní 4058, PSČ 76001</t>
  </si>
  <si>
    <t>Výroba chemických látek a chemických přípravků</t>
  </si>
  <si>
    <t>Výroba výrobků z papíru a lepenky</t>
  </si>
  <si>
    <t>Ambulantní nebo terénní sociální služby pro seniory a osoby se zdravotním postižením</t>
  </si>
  <si>
    <t>Ostatní zpracovatelský průmysl j. n.</t>
  </si>
  <si>
    <t>Specializovaná ambulantní zdravotní péče</t>
  </si>
  <si>
    <t>CENTRUM ŠŤÁSTNÉ DÍTĚ, z.s.</t>
  </si>
  <si>
    <t>Zlín, Lorencova 5424, PSČ 76001</t>
  </si>
  <si>
    <t>Centrum ústní hygieny,obecně prospěšná společnost</t>
  </si>
  <si>
    <t>Hulín, nám. Míru 122, PSČ 76824</t>
  </si>
  <si>
    <t>Zlín, Kudlov, Filmová 174, PSČ 76001</t>
  </si>
  <si>
    <t>Centrum volnočasových aktivit - CVAK, z.s.</t>
  </si>
  <si>
    <t>Zlín, Mladcová, Vinohrádek 568, PSČ 76001</t>
  </si>
  <si>
    <t>Centrum vzdělávání pro Průmysl 4.0,z.ú.</t>
  </si>
  <si>
    <t>Zlín, Vavrečkova 5262, PSČ 76001</t>
  </si>
  <si>
    <t>CEPR Uherský Brod</t>
  </si>
  <si>
    <t>Uherský Brod, Partyzánů 2174, Poliklinika "C"</t>
  </si>
  <si>
    <t>Certifikace včelích produktů, z. s.</t>
  </si>
  <si>
    <t>Brumov-Bylnice, Bylnice č. ev. 75, PSČ 76331</t>
  </si>
  <si>
    <t>CERV run z.s.</t>
  </si>
  <si>
    <t>Kroměříž, Gorkého 3235/74, PSČ 76701</t>
  </si>
  <si>
    <t>Cesta k rovnováze, z.s.</t>
  </si>
  <si>
    <t>Rožnov pod Radhoštěm, U Revíru 1420, PSČ 75661</t>
  </si>
  <si>
    <t>Věžky 61, PSČ 76833</t>
  </si>
  <si>
    <t>Cesta kritického myšlení, z. s.</t>
  </si>
  <si>
    <t>Otrokovice, Kvítkovice, Hlavní 1549, PSČ 76502</t>
  </si>
  <si>
    <t>Cesta rozvoje, z.s.</t>
  </si>
  <si>
    <t>Cesta úspěšných, z.s.</t>
  </si>
  <si>
    <t>Uherské Hradiště, Na Morávce č. ev. 20, PSČ 68601</t>
  </si>
  <si>
    <t>Fotografické činnosti</t>
  </si>
  <si>
    <t>Cesta vzhůru z.s.</t>
  </si>
  <si>
    <t>Kroměříž, Kovářská 119/7, PSČ 76701</t>
  </si>
  <si>
    <t>Cesta za poznáním, o.s.</t>
  </si>
  <si>
    <t>Zlín, Příluky, Pod Mlýnem 310, PSČ 76001</t>
  </si>
  <si>
    <t>CESTA-P-občanské sdružení pro jednání o pravobřežní komunikaci Zlín</t>
  </si>
  <si>
    <t>Zlín, Jílová 4578, PSČ 76005</t>
  </si>
  <si>
    <t>Cestovatelský spolek</t>
  </si>
  <si>
    <t>Vsetín, Jabloňová 877, PSČ 75501</t>
  </si>
  <si>
    <t>Chamber of Commerce and Industry of West Africa and East Europe z.s.</t>
  </si>
  <si>
    <t>Babice</t>
  </si>
  <si>
    <t>Babice 411, PSČ 68703</t>
  </si>
  <si>
    <t>Charita Bystřice pod Hostýnem</t>
  </si>
  <si>
    <t>Bystřice pod Hostýnem, 6. května 1612, PSČ 76861</t>
  </si>
  <si>
    <t>Charita Holešov</t>
  </si>
  <si>
    <t>Holešov, Tovární 1407/28, PSČ 76901</t>
  </si>
  <si>
    <t>Ostatní činnosti související se zdravotní péčí j. n.</t>
  </si>
  <si>
    <t>Charita Kroměříž</t>
  </si>
  <si>
    <t>Kroměříž, Ztracená 63/1, PSČ 76701</t>
  </si>
  <si>
    <t>Charita Luhačovice</t>
  </si>
  <si>
    <t>Luhačovice, Hradisko 100, PSČ 76326</t>
  </si>
  <si>
    <t>Charita Nový Hrozenkov</t>
  </si>
  <si>
    <t>Nový Hrozenkov 504, PSČ 75604</t>
  </si>
  <si>
    <t>Ambulantní nebo terénní sociální služby pro seniory</t>
  </si>
  <si>
    <t>Charita Otrokovice</t>
  </si>
  <si>
    <t>Otrokovice, Na Uličce 1617, PSČ 76502</t>
  </si>
  <si>
    <t>Sociální péče v domovech pro seniory</t>
  </si>
  <si>
    <t>Ostatní pobytové služby sociální péče</t>
  </si>
  <si>
    <t>Sociální prevence</t>
  </si>
  <si>
    <t>Charita Slavičín</t>
  </si>
  <si>
    <t>Slavičín, Komenského 115, PSČ 76321</t>
  </si>
  <si>
    <t>Charita Uherské Hradiště</t>
  </si>
  <si>
    <t>Uherské Hradiště, Velehradská třída 247, PSČ 68601</t>
  </si>
  <si>
    <t>Výroba bižuterie a příbuzných výrobků</t>
  </si>
  <si>
    <t>Charita Uherský Brod</t>
  </si>
  <si>
    <t>Uherský Brod, Mariánské nám. 13, PSČ 68801</t>
  </si>
  <si>
    <t>Charita Valašské Klobouky</t>
  </si>
  <si>
    <t>Valašské Klobouky, Školní 944, PSČ 76601</t>
  </si>
  <si>
    <t>Charita Valašské Meziříčí</t>
  </si>
  <si>
    <t>Valašské Meziříčí, Kpt. Zavadila 1345, PSČ 75701</t>
  </si>
  <si>
    <t>Charita Vsetín</t>
  </si>
  <si>
    <t>Vsetín, Horní náměstí 135, PSČ 75501</t>
  </si>
  <si>
    <t>Charita Zlín</t>
  </si>
  <si>
    <t>Zlín, Burešov 4886, PSČ 76001</t>
  </si>
  <si>
    <t>Charitativní sdružení Slza</t>
  </si>
  <si>
    <t>Slušovice, Romanova 49</t>
  </si>
  <si>
    <t>Charity Jam z.s.</t>
  </si>
  <si>
    <t>Brumov-Bylnice, Bylnice, Vlárská 274, PSČ 76331</t>
  </si>
  <si>
    <t>Charon</t>
  </si>
  <si>
    <t>Tečovice 206, PSČ 76302</t>
  </si>
  <si>
    <t>Chata Bystřička z.s.</t>
  </si>
  <si>
    <t>CHATAŘI SALAŠ, z.s.</t>
  </si>
  <si>
    <t>Salaš</t>
  </si>
  <si>
    <t>Salaš 85, PSČ 68706</t>
  </si>
  <si>
    <t>Chatová osada Hustopeče</t>
  </si>
  <si>
    <t>Zašová 595, PSČ 75651</t>
  </si>
  <si>
    <t>Chatová osada Štěrkopísky</t>
  </si>
  <si>
    <t>Rožnov pod Radhoštěm, Julia Fučíka 922, PSČ 75661</t>
  </si>
  <si>
    <t>Chatoviště Zděchov-Vlčnov, z.s.</t>
  </si>
  <si>
    <t>Zděchov 175, PSČ 75607</t>
  </si>
  <si>
    <t>Chaty OBZOR z.s.</t>
  </si>
  <si>
    <t>Bystřička</t>
  </si>
  <si>
    <t>Bystřička č. ev. 245, PSČ 75624</t>
  </si>
  <si>
    <t>Chceme zpátky Edisonovu žárovku o.s.</t>
  </si>
  <si>
    <t>Chlapčiska ze Spytinova, z.s.</t>
  </si>
  <si>
    <t>Spytihněv 592, PSČ 76364</t>
  </si>
  <si>
    <t>CHLAPI V LETECH, spolek</t>
  </si>
  <si>
    <t>Uherské Hradiště, Sloupského 55, PSČ 68601</t>
  </si>
  <si>
    <t>Chovatelé, z.s.</t>
  </si>
  <si>
    <t>Jalubí</t>
  </si>
  <si>
    <t>Jalubí 58, PSČ 68705</t>
  </si>
  <si>
    <t>Chovatelská stanice Altaj, z.s.</t>
  </si>
  <si>
    <t>Slušovice 83, PSČ 76315</t>
  </si>
  <si>
    <t>Chrámový sbor Březolupy, z.s.</t>
  </si>
  <si>
    <t>Březolupy 252, PSČ 68713</t>
  </si>
  <si>
    <t>Chraňme zeleň z.s.</t>
  </si>
  <si>
    <t>Uherské Hradiště, Jana Blahoslava 371, PSČ 68601</t>
  </si>
  <si>
    <t>Chrastěšovský bál z.s.</t>
  </si>
  <si>
    <t>Vizovice, Chrastěšov 37, PSČ 76312</t>
  </si>
  <si>
    <t>Cifra, z.s.</t>
  </si>
  <si>
    <t>Uherské Hradiště, Hradební 1198, PSČ 68601</t>
  </si>
  <si>
    <t>Cimbálová asociace České republiky, z.s.</t>
  </si>
  <si>
    <t>Valašské Meziříčí, Krásno nad Bečvou, Růžová 153, PSČ 75701</t>
  </si>
  <si>
    <t>Cimbálová muzika Bálešáci, spolek</t>
  </si>
  <si>
    <t>Cimbálová muzika Bojkovjan, z. s.</t>
  </si>
  <si>
    <t>Bojkovice, Pitínská 120, PSČ 68771</t>
  </si>
  <si>
    <t>Cimbálová muzika Bukovinka z.s.</t>
  </si>
  <si>
    <t>Bystřice pod Hostýnem, Palackého 457, PSČ 76861</t>
  </si>
  <si>
    <t>Cimbálová muzika Burava, z. s.</t>
  </si>
  <si>
    <t>Topolná 118, PSČ 68711</t>
  </si>
  <si>
    <t>Cimbálová muzika Cifra, z. s.</t>
  </si>
  <si>
    <t>Uherské Hradiště, Mařatice, Pod Kostelem 1809, PSČ 68605</t>
  </si>
  <si>
    <t>Umělecká tvorba</t>
  </si>
  <si>
    <t>Cimbálová muzika Cyril, z.s.</t>
  </si>
  <si>
    <t>Vysoké Pole</t>
  </si>
  <si>
    <t>Vysoké Pole 278, PSČ 76325</t>
  </si>
  <si>
    <t>"Cimbálová muzika Hora, o.s."</t>
  </si>
  <si>
    <t>Hradčovice</t>
  </si>
  <si>
    <t>Hradčovice 268, PSČ 68733</t>
  </si>
  <si>
    <t>Cimbálová muzika Jaroslava Čecha, z.s.</t>
  </si>
  <si>
    <t>Cimbálová muzika Josefa Marečka, z. s.</t>
  </si>
  <si>
    <t>Uherské Hradiště, Stará Tenice 1199, PSČ 68601</t>
  </si>
  <si>
    <t>Cimbálová muzika JURÁŠ, z.s.</t>
  </si>
  <si>
    <t>Cimbálová muzika Kordulka, z. s.</t>
  </si>
  <si>
    <t>Ústí 115, PSČ 75501</t>
  </si>
  <si>
    <t>Cimbálová muzika Kyčerka,z.s.</t>
  </si>
  <si>
    <t>Velké Karlovice</t>
  </si>
  <si>
    <t>Velké Karlovice 865, PSČ 75606</t>
  </si>
  <si>
    <t>Cimbálová muzika LINDA</t>
  </si>
  <si>
    <t>Zlín, Slunečná 4559, PSČ 76005</t>
  </si>
  <si>
    <t>cimbálová muzika LIPINA</t>
  </si>
  <si>
    <t>Nivnice, Příčná 864, PSČ 68751</t>
  </si>
  <si>
    <t>Cimbálová muzika Marečci z.s.</t>
  </si>
  <si>
    <t>Uherské Hradiště, Husova 541, PSČ 68606</t>
  </si>
  <si>
    <t>CIMBÁLOVÁ MUZIKA OHNICA, z.s.</t>
  </si>
  <si>
    <t>Uherské Hradiště, náměstí Míru 430, PSČ 68601</t>
  </si>
  <si>
    <t>"Cimbálová muzika Olšavěnka, spolek"</t>
  </si>
  <si>
    <t>Cimbálová muzika Oskoruša, z. s.</t>
  </si>
  <si>
    <t>Hluk, Lánská 781, PSČ 68725</t>
  </si>
  <si>
    <t>Cimbálová muzika Paléska, z.s.</t>
  </si>
  <si>
    <t>Zlín, Sokolská 3937, PSČ 76001</t>
  </si>
  <si>
    <t>Cimbálová muzika POLAJKA z. s.</t>
  </si>
  <si>
    <t>Valašské Meziříčí, Hálkova 660, PSČ 75701</t>
  </si>
  <si>
    <t>Cimbálová muzika Rováš</t>
  </si>
  <si>
    <t>Zlín, Podlesí IV 5376, PSČ 76005</t>
  </si>
  <si>
    <t>Cimbálová muzika Rubáš, z. s.</t>
  </si>
  <si>
    <t>Buchlovice, Brněnská 16, PSČ 68708</t>
  </si>
  <si>
    <t>Cimbálová muzika Stanislava Gabriela, z.s.</t>
  </si>
  <si>
    <t>Babice 508, PSČ 68703</t>
  </si>
  <si>
    <t>Cimbálová muzika SUDOVJAN z.s.</t>
  </si>
  <si>
    <t>Uherské Hradiště, Mařatice, Kopánky 1521, PSČ 68605</t>
  </si>
  <si>
    <t>Cimbálová muzika Valášek Zlín, z. s.</t>
  </si>
  <si>
    <t>Zlín, Okružní 4685, PSČ 76005</t>
  </si>
  <si>
    <t>Cimbálová muzika VELEHRAD</t>
  </si>
  <si>
    <t>Kudlovice 280, PSČ 68703</t>
  </si>
  <si>
    <t>Cimbálová muzika Viléma Zahradníka</t>
  </si>
  <si>
    <t>„Cimbálová muzika Vincúch, o. s.”</t>
  </si>
  <si>
    <t>Valašské Klobouky, Koželužská 692, PSČ 76601</t>
  </si>
  <si>
    <t>Cimbálová muzika Vizovský Juráš,z.s.</t>
  </si>
  <si>
    <t>Vizovice, Komenského 789, PSČ 76312</t>
  </si>
  <si>
    <t>CIMEX SPORT CLUB o.s.</t>
  </si>
  <si>
    <t>Bystřice pod Hostýnem, Čs. brigády 91, PSČ 76861</t>
  </si>
  <si>
    <t>CIMO BIKE TEAM</t>
  </si>
  <si>
    <t>Vsetín, Mostecká 367, PSČ 75501</t>
  </si>
  <si>
    <t>Církev Nová naděje sbor Kroměříž</t>
  </si>
  <si>
    <t>Zlín, Kudlov, Formanka 34, PSČ 76001</t>
  </si>
  <si>
    <t>Církev Slovo života, sbor Kroměříž</t>
  </si>
  <si>
    <t>Kroměříž, Bílanská 3320/16B, PSČ 76701</t>
  </si>
  <si>
    <t>Zlín, Česká 4787, PSČ 76005</t>
  </si>
  <si>
    <t>Předškolní vzdělávání</t>
  </si>
  <si>
    <t>Stravování ve školních zařízeních, menzách</t>
  </si>
  <si>
    <t>CIRS - Centrum pro mezinárodní vztahy a bezpečnost</t>
  </si>
  <si>
    <t>Uherské Hradiště, Za Alejí 1008, PSČ 68606</t>
  </si>
  <si>
    <t>Ciruela,o.s.</t>
  </si>
  <si>
    <t>Vsetín, Semetín 899, PSČ 75501</t>
  </si>
  <si>
    <t>CITY BEACH UB, z.s.</t>
  </si>
  <si>
    <t>Uherský Brod, Rybářská 398, PSČ 68801</t>
  </si>
  <si>
    <t>Classic fire cars krůžek</t>
  </si>
  <si>
    <t>Uherský Brod, Za Humny 2172, PSČ 68801</t>
  </si>
  <si>
    <t>CLOUD z.s.</t>
  </si>
  <si>
    <t>Club - MMA VALACHY, z.s.</t>
  </si>
  <si>
    <t>Nový Hrozenkov 734, PSČ 75604</t>
  </si>
  <si>
    <t>CLUB EXTRÉMNÍCH SPORTŮ</t>
  </si>
  <si>
    <t>Kroměříž, Havlíčkova 3933/120, PSČ 76701</t>
  </si>
  <si>
    <t>Club přátel AMERICKÉHO POKRU</t>
  </si>
  <si>
    <t>Kroměříž, Riegrovo náměstí 132/67, PSČ 76701</t>
  </si>
  <si>
    <t>clubus z.s.</t>
  </si>
  <si>
    <t>Zlín, Obeciny X 3623, PSČ 76001</t>
  </si>
  <si>
    <t>CM Džbánek, z.s.</t>
  </si>
  <si>
    <t>Tupesy 250, PSČ 68707</t>
  </si>
  <si>
    <t>CM Hlaholica, z.s.</t>
  </si>
  <si>
    <t>Modrá 132, PSČ 68706</t>
  </si>
  <si>
    <t>CM Kunovjan, z.s.</t>
  </si>
  <si>
    <t>Uherské Hradiště, Sady, Pod Vinohrady 219, PSČ 68601</t>
  </si>
  <si>
    <t>CM Mladí Burčáci, z.s.</t>
  </si>
  <si>
    <t>Uherské Hradiště, Míkovice, U Mlýna 330, PSČ 68609</t>
  </si>
  <si>
    <t>Co přinese budoucnost z. s.</t>
  </si>
  <si>
    <t>Valašské Meziříčí, U Vodojemu 1235, PSČ 75701</t>
  </si>
  <si>
    <t>COBI MOTORSPORT KLUB V AČR</t>
  </si>
  <si>
    <t>Vizovice, Říční 412, PSČ 76312</t>
  </si>
  <si>
    <t>CODY´S FLYING TEAM,o.s.</t>
  </si>
  <si>
    <t>Bystřice pod Hostýnem, Masarykovo nám. 137, PSČ 76861</t>
  </si>
  <si>
    <t>CODY´S RACING TEAM JUNIOR, o.s.</t>
  </si>
  <si>
    <t>CODY´S RACING TEAM, o.s.</t>
  </si>
  <si>
    <t>Bystřice pod Hostýnem, Novosady 516, PSČ 76861</t>
  </si>
  <si>
    <t>Collegium musicale z. s.</t>
  </si>
  <si>
    <t>Kroměříž, náměstí Míru 350/2A, PSČ 76701</t>
  </si>
  <si>
    <t>Comenius z.s.</t>
  </si>
  <si>
    <t>Uherský Brod, Rtm. Křivdy 2079, PSČ 68801</t>
  </si>
  <si>
    <t>COMMUNIO VIATORUM, z.s.</t>
  </si>
  <si>
    <t>Valašské Meziříčí, Blahoslavova 430/3, PSČ 75701</t>
  </si>
  <si>
    <t>Communitas - spolek podporující komunitní rozvoj</t>
  </si>
  <si>
    <t>Otrokovice, Kvítkovice, Hlavní 1219, PSČ 76502</t>
  </si>
  <si>
    <t>Communitas auxilium - společenství pro pomoc, z.s.</t>
  </si>
  <si>
    <t>Zlín, Štefánikova 661/21, PSČ 76001</t>
  </si>
  <si>
    <t>Connect office o.s.</t>
  </si>
  <si>
    <t>Kroměříž, Tovačovského 2784/24, PSČ 76701</t>
  </si>
  <si>
    <t>Connect office plus delta o.s.</t>
  </si>
  <si>
    <t>Connect office plus gama z.s.</t>
  </si>
  <si>
    <t>Topolná 473, PSČ 68711</t>
  </si>
  <si>
    <t>conscinentia o.s.</t>
  </si>
  <si>
    <t>Žlutava 328, PSČ 76361</t>
  </si>
  <si>
    <t>Silniční nákladní doprava</t>
  </si>
  <si>
    <t>COO - ČR z.s. -Zlínský kraj</t>
  </si>
  <si>
    <t>Hulín, U Sv. Anny 1299, PSČ 76824</t>
  </si>
  <si>
    <t>Vsetín, Rokytnice, Okružní 454, PSČ 75501</t>
  </si>
  <si>
    <t>Coworkingové centrum Zlín, z. s.</t>
  </si>
  <si>
    <t>třída Tomáše Bati 5146, 760 01 Zlín</t>
  </si>
  <si>
    <t>CRAZY DREAM, z.s.</t>
  </si>
  <si>
    <t>Otrokovice, Dobrovského 9242, PSČ 76502</t>
  </si>
  <si>
    <t>CREDO CZ - nadace</t>
  </si>
  <si>
    <t>Nadace</t>
  </si>
  <si>
    <t>Zlín, třída Tomáše Bati 2132, PSČ 76001</t>
  </si>
  <si>
    <t>CRES</t>
  </si>
  <si>
    <t>Rožnov pod Radhoštěm, Pod Skalkou 956</t>
  </si>
  <si>
    <t>Crossathletic z.s.</t>
  </si>
  <si>
    <t>Uherský Brod, Vazová 2451, PSČ 68801</t>
  </si>
  <si>
    <t>CYKLISTICKÉ DRUŽSTVO HOLEŠOV</t>
  </si>
  <si>
    <t>Holešov, Masarykova 988/25, PSČ 76901</t>
  </si>
  <si>
    <t>cyklistický klub Rohálov</t>
  </si>
  <si>
    <t>Prusinovice, Díly 385, PSČ 76842</t>
  </si>
  <si>
    <t>Cyklistický oddíl Cyklosport Chropyně, sportovní spolek</t>
  </si>
  <si>
    <t>Chropyně, Komenského 348, PSČ 76811</t>
  </si>
  <si>
    <t>Cyklo Bulis z.s.</t>
  </si>
  <si>
    <t>Bystřice pod Hostýnem, Obchodní 1604, PSČ 76861</t>
  </si>
  <si>
    <t>CYKLO CLUB Slavičín</t>
  </si>
  <si>
    <t>Slavičín, Hasičská 576, PSČ 76321</t>
  </si>
  <si>
    <t>CYKLO ŽOPY amatér bajk tým, z.s.</t>
  </si>
  <si>
    <t>Holešov, Žopy 65, PSČ 76901</t>
  </si>
  <si>
    <t>Cykloch a Skipo team z.s.</t>
  </si>
  <si>
    <t>Chvalčov, U Vesničky 577, PSČ 76872</t>
  </si>
  <si>
    <t>CYKLOKLUB-Sdružení pro rozvoj cykloturistiky v České republice</t>
  </si>
  <si>
    <t>Vizovice, Masarykovo nám. 119, PSČ 76312</t>
  </si>
  <si>
    <t>Cyklokroužek Fryšták, z.s.</t>
  </si>
  <si>
    <t>Fryšták, Horní Ves, Korábová 82, PSČ 76316</t>
  </si>
  <si>
    <t>Cyklomira Racing, z.s.</t>
  </si>
  <si>
    <t>Lukov, U Pivovaru 300, PSČ 76317</t>
  </si>
  <si>
    <t>Cykloteam MXM Hulín z.s.</t>
  </si>
  <si>
    <t>Hulín, Žižkova 1296, PSČ 76824</t>
  </si>
  <si>
    <t>Cykloteam OD MORAVA, z.s.</t>
  </si>
  <si>
    <t>Holešov, nám. Dr. E. Beneše 7, PSČ 76901</t>
  </si>
  <si>
    <t>Cykloturistický oddíl NEKO Prusinovice</t>
  </si>
  <si>
    <t>Holešov, Sadová 1542, PSČ 76901</t>
  </si>
  <si>
    <t>"CYKLOTURISTIKA o.s."</t>
  </si>
  <si>
    <t>Kněžpole 315, PSČ 68712</t>
  </si>
  <si>
    <t>CYKOLOTEAM Zlín, z.s.</t>
  </si>
  <si>
    <t>Zlín, U Trojáku 4647, PSČ 76005</t>
  </si>
  <si>
    <t>Cymbelín</t>
  </si>
  <si>
    <t>Uherské Hradiště, Žerotínova 224, PSČ 68601</t>
  </si>
  <si>
    <t>cyrilek.net z.s.</t>
  </si>
  <si>
    <t>Kroměříž, Spáčilova 3194/38, PSČ 76701</t>
  </si>
  <si>
    <t>CYRILLOS</t>
  </si>
  <si>
    <t>Vsetín, Dětská 1840, PSČ 75501</t>
  </si>
  <si>
    <t>Czech Aerospace Export Alliance, z.s.</t>
  </si>
  <si>
    <t>Kunovice, Panská 25, PSČ 68604</t>
  </si>
  <si>
    <t>Czech Chamber of Commerce Leaders League, z. s.</t>
  </si>
  <si>
    <t>Vsetín, Generála Klapálka 2293, PSČ 75501</t>
  </si>
  <si>
    <t>Czech Downhill Academy z.s.</t>
  </si>
  <si>
    <t>Halenkovice</t>
  </si>
  <si>
    <t>Halenkovice 487, PSČ 76363</t>
  </si>
  <si>
    <t>Czech Ensemble Baroque, z.s.</t>
  </si>
  <si>
    <t>Loučka u Valašského Meziříčí, Lázy 14</t>
  </si>
  <si>
    <t>Czech Marine Cluster, z.s.</t>
  </si>
  <si>
    <t>Zlín, Louky, Růžová 307, PSČ 76302</t>
  </si>
  <si>
    <t>Czech Mix Team o.s.</t>
  </si>
  <si>
    <t>Koryčany</t>
  </si>
  <si>
    <t>Koryčany, Blišice 38, PSČ 76805</t>
  </si>
  <si>
    <t>CZECH SHOES, z.s.</t>
  </si>
  <si>
    <t>Zlín, třída Tomáše Bati 5267, PSČ 76001</t>
  </si>
  <si>
    <t>Czech Ski &amp; Cross Academy z. s.</t>
  </si>
  <si>
    <t>Velké Karlovice č. ev. 346, PSČ 75606</t>
  </si>
  <si>
    <t>Czech Tennis School, z.s.</t>
  </si>
  <si>
    <t>CzechBikers, spolek</t>
  </si>
  <si>
    <t>Otrokovice, Hložkova 1906, PSČ 76502</t>
  </si>
  <si>
    <t>CzechoSlovakia Feeder Team z. s.</t>
  </si>
  <si>
    <t>Lidečko 84, PSČ 75612</t>
  </si>
  <si>
    <t>Časopis NEZBEDA a CVRČEK o.p.s.</t>
  </si>
  <si>
    <t>Zlín, Divadelní 3242, PSČ 76001</t>
  </si>
  <si>
    <t>Vydávání časopisů a ostatních periodických publikací</t>
  </si>
  <si>
    <t>Častkovjan, z.s.</t>
  </si>
  <si>
    <t>Částkov</t>
  </si>
  <si>
    <t>Částkov 86, PSČ 68712</t>
  </si>
  <si>
    <t>Čerňava,z.s.</t>
  </si>
  <si>
    <t>Hulín, Smetanova 549, PSČ 76824</t>
  </si>
  <si>
    <t>Černí Salamandři, z. s.</t>
  </si>
  <si>
    <t>Pržno</t>
  </si>
  <si>
    <t>Pržno 73, PSČ 75623</t>
  </si>
  <si>
    <t>Uherské Hradiště, Svatoplukova 288, PSČ 68601</t>
  </si>
  <si>
    <t>Červený kříž Všemina z. s.</t>
  </si>
  <si>
    <t>Všemina 244, PSČ 76315</t>
  </si>
  <si>
    <t>Česká asociace moderní apiterapie z. s.</t>
  </si>
  <si>
    <t>Slavkov pod Hostýnem</t>
  </si>
  <si>
    <t>Slavkov pod Hostýnem 203, PSČ 76861</t>
  </si>
  <si>
    <t>Česká asociace Route 66 o. s.</t>
  </si>
  <si>
    <t>Zlín, Na Kopci 5350, PSČ 76001</t>
  </si>
  <si>
    <t>Česká asociace stolního hokeje z.s.</t>
  </si>
  <si>
    <t>Vsetín, Jasenická 726, PSČ 75501</t>
  </si>
  <si>
    <t>ČESKÁ ASOCIACE ZHONG YUAN QIGONGU z.s .</t>
  </si>
  <si>
    <t>Zubří, Hlavní 60, PSČ 75654</t>
  </si>
  <si>
    <t>Česká federace ASAT - Zlínský kraj, pobočný spolek</t>
  </si>
  <si>
    <t>Napajedla, Komenského 270, PSČ 76361</t>
  </si>
  <si>
    <t>Česká federace nordic walking o. s.</t>
  </si>
  <si>
    <t>Zlín, M. Knesla 4024, PSČ 76001</t>
  </si>
  <si>
    <t>Česká Federace Sportovní Střelby, z.s. - KS Zlínský kraj</t>
  </si>
  <si>
    <t>Fryšták, Horní Ves, Hornoveská 36, PSČ 76316</t>
  </si>
  <si>
    <t>Česká lesnická společnost, základní pobočka při LČR, LS Bystřice pod Hostýnem</t>
  </si>
  <si>
    <t>Bystřice pod Hostýnem, Čs. brigády 81, PSČ 76861</t>
  </si>
  <si>
    <t>Česká lesnická společnost, Základní pobočka Vsetín (při LČR LS Vsetín)</t>
  </si>
  <si>
    <t>Vsetín, U Skláren 781, PSČ 75501</t>
  </si>
  <si>
    <t>Česká numismatická společnost, z.s. pobočka v Kroměříži</t>
  </si>
  <si>
    <t>Kroměříž, Vážany, Lesní 296/26, PSČ 76701</t>
  </si>
  <si>
    <t>Česká numismatická společnost, z.s. pobočka v Uherském Hradišti</t>
  </si>
  <si>
    <t>Česká numismatická společnost, z.s. pobočka ve Vsetíně</t>
  </si>
  <si>
    <t>Choryně</t>
  </si>
  <si>
    <t>Choryně 115, PSČ 75642</t>
  </si>
  <si>
    <t>Česká numismatická společnost, z.s. pobočka ve Zlíně</t>
  </si>
  <si>
    <t>Zlín, Křiby 4713, PSČ 76005</t>
  </si>
  <si>
    <t>Česká provincie Kongregace Milosrdných sester sv. Kříže</t>
  </si>
  <si>
    <t>Kroměříž, Koperníkova 1446/3, PSČ 76701</t>
  </si>
  <si>
    <t>Česká provincie Kongregace Milosrdných sester sv. Vincence de Paul</t>
  </si>
  <si>
    <t>Kroměříž, Malý val 1553/2, PSČ 76701</t>
  </si>
  <si>
    <t>Ambulantní a zubní zdravotní péče</t>
  </si>
  <si>
    <t>Ústavní zdravotní péče</t>
  </si>
  <si>
    <t>Česká silniční společnost při Správě a údržbě silnic Kroměřížska, z.s.</t>
  </si>
  <si>
    <t>Kroměříž, Kotojedy 56, PSČ 76701</t>
  </si>
  <si>
    <t>Česká společnost kognitivně behaviorální terapie, z.s.</t>
  </si>
  <si>
    <t>Kroměříž, Havlíčkova 1265/50, PSČ 76701</t>
  </si>
  <si>
    <t>Česká střelecká nadace</t>
  </si>
  <si>
    <t>Uherský Brod, Svat. Čecha 1283, PSČ 68801</t>
  </si>
  <si>
    <t>Česká tábornická unie - T.K. Dakota Uherský Brod, p.s.</t>
  </si>
  <si>
    <t>Uherský Brod, Údolní 1541, PSČ 68801</t>
  </si>
  <si>
    <t>Česká tábornická unie - T.K. Foxis Brno, p.s.</t>
  </si>
  <si>
    <t>Želechovice nad Dřevnicí</t>
  </si>
  <si>
    <t>Želechovice nad Dřevnicí, Batalická 596, PSČ 76311</t>
  </si>
  <si>
    <t>Česká tábornická unie - Velká rada oblasti Chřibsko-karpatské, p.s.</t>
  </si>
  <si>
    <t>Česko - anglický klub Uherské Hradiště</t>
  </si>
  <si>
    <t>Poradenství v oblasti řízení</t>
  </si>
  <si>
    <t>Českomoravská asociace podnikatelek a manažerek - regionální klub Zlín, z.s.</t>
  </si>
  <si>
    <t>Zlín, náměstí Míru 65, PSČ 76001</t>
  </si>
  <si>
    <t>Českomoravská myslivecká jednota, z.s. - okresní myslivecký spolek Kroměříž</t>
  </si>
  <si>
    <t>Kroměříž, Velké náměstí 40/25, PSČ 76701</t>
  </si>
  <si>
    <t>Lov a odchyt divokých zvířat a související činnosti</t>
  </si>
  <si>
    <t>Českomoravská myslivecká jednota, z.s., okresní myslivecký spolek Uherské Hradiště</t>
  </si>
  <si>
    <t>Českomoravská myslivecká jednota, z.s., okresní myslivecký spolek Vsetín</t>
  </si>
  <si>
    <t>Vsetín, Smetanova 1462, PSČ 75501</t>
  </si>
  <si>
    <t>Českomoravská myslivecká jednota,o.s, okresní myslivecký spolek Zlín</t>
  </si>
  <si>
    <t>Zlín, Kostelec, Fryštácká 495, PSČ 76314</t>
  </si>
  <si>
    <t>Českomoravská unie neslyšících z.s., oblastní pobočný spolek Kroměříž</t>
  </si>
  <si>
    <t>Kroměříž, Štítného 2227/27, PSČ 76701</t>
  </si>
  <si>
    <t>Českomoravské sdružení pro ochranu přírody z.s.</t>
  </si>
  <si>
    <t>Chvalčov, Poutní 588, PSČ 76872</t>
  </si>
  <si>
    <t>"ČESKOMORAVSKÝ ČESNEK"</t>
  </si>
  <si>
    <t>Buchlovice, Rechtorka 544, PSČ 68708</t>
  </si>
  <si>
    <t>Českomoravský svaz chovatelů poštovních holubů - Oblastní sdružení Bílé Karpaty</t>
  </si>
  <si>
    <t>Bojkovice, Bezručova 553</t>
  </si>
  <si>
    <t>Českomoravský svaz chovatelů poštovních holubů, místní spolek Babice, z.s.</t>
  </si>
  <si>
    <t>Českomoravský svaz chovatelů poštovních holubů, místní spolek Bezměrov, z.s.</t>
  </si>
  <si>
    <t>Bezměrov, 18</t>
  </si>
  <si>
    <t>Českomoravský svaz chovatelů poštovních holubů, místní spolek Bylnice, z.s.</t>
  </si>
  <si>
    <t>Brumov-Bylnice, Brumov, Družba 1188, PSČ 76331</t>
  </si>
  <si>
    <t>Českomoravský svaz chovatelů poštovních holubů, místní spolek Havřice, z.s.</t>
  </si>
  <si>
    <t>Uherský Brod, Trávníky 489, PSČ 68801</t>
  </si>
  <si>
    <t>Českomoravský svaz chovatelů poštovních holubů, místní spolek Holešov, z.s.</t>
  </si>
  <si>
    <t>Holešov, Plačkov 1637, PSČ 76901</t>
  </si>
  <si>
    <t>Českomoravský svaz chovatelů poštovních holubů, místní spolek Horní Lapač, z.s.</t>
  </si>
  <si>
    <t>Horní Lapač</t>
  </si>
  <si>
    <t>Horní Lapač 77, PSČ 76901</t>
  </si>
  <si>
    <t>Českomoravský svaz chovatelů poštovních holubů, místní spolek Kroměříž, z.s.</t>
  </si>
  <si>
    <t>Kroměříž, Axmanova 3247/19, PSČ 76701</t>
  </si>
  <si>
    <t>Českomoravský svaz chovatelů poštovních holubů, místní spolek Kunovice, z.s.</t>
  </si>
  <si>
    <t>Uherské Hradiště, Vésky, Na Dědině 71, PSČ 68601</t>
  </si>
  <si>
    <t>Českomoravský svaz chovatelů poštovních holubů, místní spolek Kurovice, z.s.</t>
  </si>
  <si>
    <t>Kurovice</t>
  </si>
  <si>
    <t>Kurovice, 96</t>
  </si>
  <si>
    <t>Českomoravský svaz chovatelů poštovních holubů, místní spolek Lukov, z.s.</t>
  </si>
  <si>
    <t>Zlín, Kostelec, Májová 268, PSČ 76314</t>
  </si>
  <si>
    <t>Českomoravský svaz chovatelů poštovních holubů, místní spolek Napajedla, z.s.</t>
  </si>
  <si>
    <t>Spytihněv 455, PSČ 76364</t>
  </si>
  <si>
    <t>Českomoravský svaz chovatelů poštovních holubů, místní spolek Otrokovice, z.s.</t>
  </si>
  <si>
    <t>Otrokovice, Hálkova 239</t>
  </si>
  <si>
    <t>Českomoravský svaz chovatelů poštovních holubů, místní spolek Prasklice, z.s.</t>
  </si>
  <si>
    <t>Prasklice 77, PSČ 76833</t>
  </si>
  <si>
    <t>Českomoravský svaz chovatelů poštovních holubů, místní spolek Rataje, z.s.</t>
  </si>
  <si>
    <t>Rataje 84, PSČ 76812</t>
  </si>
  <si>
    <t>Českomoravský svaz chovatelů poštovních holubů, místní spolek Rymice, z.s.</t>
  </si>
  <si>
    <t>Rymice</t>
  </si>
  <si>
    <t>Rymice 192, PSČ 76901</t>
  </si>
  <si>
    <t>Českomoravský svaz chovatelů poštovních holubů, místní spolek Tlumačov, z.s.</t>
  </si>
  <si>
    <t>Tlumačov, Sportovní 803</t>
  </si>
  <si>
    <t>Českomoravský svaz chovatelů poštovních holubů, místní spolek Uherský Ostroh, z.s.</t>
  </si>
  <si>
    <t>Uherský Ostroh, Kvačice, Hliníky 78, PSČ 68724</t>
  </si>
  <si>
    <t>Českomoravský svaz chovatelů poštovních holubů, místní spolek Zlín, z.s.</t>
  </si>
  <si>
    <t>Zlín, Hrabůvky</t>
  </si>
  <si>
    <t>Českomoravský svaz chovatelů poštovních holubů, oblastní spolek Uherské Hradiště, z.s.</t>
  </si>
  <si>
    <t>Českomoravský svaz chovatelů poštovních holubů, oblastní spolek Valašsko, z.s.</t>
  </si>
  <si>
    <t>Jasenná</t>
  </si>
  <si>
    <t>Jasenná 101, PSČ 76313</t>
  </si>
  <si>
    <t>Českomoravský svaz chovatelů poštovních holubů, oblastní spolek Zlín, z.s.</t>
  </si>
  <si>
    <t>Česko-Polská solidarita</t>
  </si>
  <si>
    <t>Zlín, Padělky I 3644, PSČ 76001</t>
  </si>
  <si>
    <t>Česko-rumunská společnost na Kroměřížsku</t>
  </si>
  <si>
    <t>Kroměříž, Slovanské náměstí 3920/1, PSČ 76701</t>
  </si>
  <si>
    <t>Československý DX klub, z.s.</t>
  </si>
  <si>
    <t>Československý federální výbor z.s.</t>
  </si>
  <si>
    <t>Zlín, Podvesná XII 5900, PSČ 76001</t>
  </si>
  <si>
    <t>Český biblický institut, z.s.</t>
  </si>
  <si>
    <t>Český dům, z.s.</t>
  </si>
  <si>
    <t>Zubří, Sídliště 6. května 1047, PSČ 75654</t>
  </si>
  <si>
    <t>Český kynologický svaz základní kynologická organizace Jarcová</t>
  </si>
  <si>
    <t>Jarcová</t>
  </si>
  <si>
    <t>Jarcová, Jarcová 144</t>
  </si>
  <si>
    <t>Český kynologický svaz ZKO BEDEA Kroměříž - 609, pobočný spolek</t>
  </si>
  <si>
    <t>Kroměříž, Kotojedy 84, PSČ 76701</t>
  </si>
  <si>
    <t>Český kynologický svaz ZKO Bystřička - 044</t>
  </si>
  <si>
    <t>Jablůnka 483, PSČ 75623</t>
  </si>
  <si>
    <t>Český kynologický svaz ZKO Drahotuše - 287</t>
  </si>
  <si>
    <t>Osíčko</t>
  </si>
  <si>
    <t>Osíčko 30, PSČ 76861</t>
  </si>
  <si>
    <t>Český kynologický svaz ZKO Horní Lideč - 613</t>
  </si>
  <si>
    <t>Horní Lideč 83, PSČ 75612</t>
  </si>
  <si>
    <t>Český kynologický svaz ZKO Klečůvka - 1064</t>
  </si>
  <si>
    <t>Lípa</t>
  </si>
  <si>
    <t>Lípa 82, PSČ 76311</t>
  </si>
  <si>
    <t>Český kynologický svaz ZKO Ratiboř - 050</t>
  </si>
  <si>
    <t>Ratiboř 75, PSČ 75621</t>
  </si>
  <si>
    <t>Český kynologický svaz ZKO Rožnov pod Radhoštěm - 027</t>
  </si>
  <si>
    <t>Rožnov pod Radhoštěm, 5. května 1348, PSČ 75661</t>
  </si>
  <si>
    <t>Český kynologický svaz ZKO Valašské Meziříčí - 026</t>
  </si>
  <si>
    <t>Kelč, Němetice 66, PSČ 75643</t>
  </si>
  <si>
    <t>Český kynologický svaz ZKO Vidče - 018</t>
  </si>
  <si>
    <t>Vidče</t>
  </si>
  <si>
    <t>Vidče 96, PSČ 75653</t>
  </si>
  <si>
    <t>Český kynologický svaz ZKO Vysoké Pole - 649</t>
  </si>
  <si>
    <t>Vysoké Pole 118, PSČ 76325</t>
  </si>
  <si>
    <t>Český kynologický svaz ZKO Zašová - 045</t>
  </si>
  <si>
    <t>Zašová 799, PSČ 75651</t>
  </si>
  <si>
    <t>Český kynologický svaz ZKO Zlín Mladcová - 778</t>
  </si>
  <si>
    <t>Zlín, Zálešná VIII 1347, PSČ 76001</t>
  </si>
  <si>
    <t>Český kynologický svaz ZKO Želechovice nad Dřevnicí - 1079</t>
  </si>
  <si>
    <t>Želechovice nad Dřevnicí, Podřevnická 405, PSČ 76311</t>
  </si>
  <si>
    <t>Český radioklub - Radioklub OK2KRT, pobočný spolek</t>
  </si>
  <si>
    <t>Rožnov pod Radhoštěm, Chodská 532, PSČ 75661</t>
  </si>
  <si>
    <t>Český rybářský svaz, z. s., místní organizace Choryně</t>
  </si>
  <si>
    <t>Choryně 223, PSČ 75642</t>
  </si>
  <si>
    <t>Sladkovodní akvakultura</t>
  </si>
  <si>
    <t>Český rybářský svaz, z. s., místní organizace Kelč</t>
  </si>
  <si>
    <t>Kelč 241, PSČ 75643</t>
  </si>
  <si>
    <t>Český rybářský svaz, z. s., místní organizace Rožnov pod Radhoštěm</t>
  </si>
  <si>
    <t>Rožnov pod Radhoštěm, Lázeňská 2678, PSČ 75661</t>
  </si>
  <si>
    <t>Český rybářský svaz, z. s., místní organizace Valašské Meziříčí</t>
  </si>
  <si>
    <t>Valašské Meziříčí, Podlesí 279, PSČ 75701</t>
  </si>
  <si>
    <t>Český rybářský svaz, z. s., místní organizace Vsetín</t>
  </si>
  <si>
    <t>Vsetín, Rokytnice, Na Dolansku 477, PSČ 75501</t>
  </si>
  <si>
    <t>Český sportovní klub Uherský Brod - fotbal, spolek</t>
  </si>
  <si>
    <t>Uherský Brod, Obchodní 1567, PSČ 68801</t>
  </si>
  <si>
    <t>Český sportovní klub Uherský Brod, spolek</t>
  </si>
  <si>
    <t>Uherský Brod, Prakšická 1421, PSČ 68801</t>
  </si>
  <si>
    <t>Český svaz bojovníků za svobodu, Oblastní organizace Valašské Meziříčí</t>
  </si>
  <si>
    <t>Valašské Meziříčí, Poláškova 409, PSČ 75701</t>
  </si>
  <si>
    <t>Český svaz chovatelů Základní oganizace Tlumačov</t>
  </si>
  <si>
    <t>Tlumačov, Skály 833, PSČ 76362</t>
  </si>
  <si>
    <t>ČESKÝ SVAZ CHOVATELŮ, Základní organizace Hradčovice</t>
  </si>
  <si>
    <t>Veletiny</t>
  </si>
  <si>
    <t>Veletiny, Vlčnovská 132</t>
  </si>
  <si>
    <t>ČESKÝ SVAZ CHOVATELŮ, Základní organizace Kostelany nad Moravou</t>
  </si>
  <si>
    <t>Kostelany nad Moravou</t>
  </si>
  <si>
    <t>Kostelany nad Moravou 270, PSČ 68601</t>
  </si>
  <si>
    <t>Počenice-Tetětice</t>
  </si>
  <si>
    <t>Český svaz chovatelů Základní organizace 2 Otrokovice</t>
  </si>
  <si>
    <t>Otrokovice, B. Němcové 1179, PSČ 76502</t>
  </si>
  <si>
    <t>Český svaz chovatelů, z.s.,  Základní organizace Doubravy</t>
  </si>
  <si>
    <t>Doubravy</t>
  </si>
  <si>
    <t>Doubravy 136, PSČ 76345</t>
  </si>
  <si>
    <t>Český svaz chovatelů, z.s., Klub chovatelů drůbeže sebritek</t>
  </si>
  <si>
    <t>Veletiny 132, PSČ 68733</t>
  </si>
  <si>
    <t>Zborovice</t>
  </si>
  <si>
    <t>Český svaz chovatelů, z.s., Okresní organizace Uherské Hradiště</t>
  </si>
  <si>
    <t>Kunovice, Hliněná 489, PSČ 68604</t>
  </si>
  <si>
    <t>Český svaz chovatelů, z.s., Okresní organizace Vsetín</t>
  </si>
  <si>
    <t>Rožnov pod Radhoštěm, Tylovice 2818, PSČ 75661</t>
  </si>
  <si>
    <t>Český svaz chovatelů, z.s., Okresní organizace Zlín</t>
  </si>
  <si>
    <t>Zlín, M. Knesla 4019, PSČ 76001</t>
  </si>
  <si>
    <t>Český svaz chovatelů, z.s., Základní organizace Bojkovice</t>
  </si>
  <si>
    <t>Bojkovice, Sušilova 952, PSČ 68771</t>
  </si>
  <si>
    <t>Český svaz chovatelů, z.s., Základní organizace Brumov-Bylnice</t>
  </si>
  <si>
    <t>Český svaz chovatelů, z.s., Základní organizace Choryně</t>
  </si>
  <si>
    <t>Choryně 206, PSČ 75642</t>
  </si>
  <si>
    <t>Český svaz chovatelů, z.s., Základní organizace Hluk</t>
  </si>
  <si>
    <t>Hluk, Antonínská 1169, PSČ 68725</t>
  </si>
  <si>
    <t>Český svaz chovatelů, z.s., Základní organizace Holešov</t>
  </si>
  <si>
    <t>Holešov, Plačkov 607, PSČ 76901</t>
  </si>
  <si>
    <t>Český svaz chovatelů, z.s., Základní organizace Hošťálková</t>
  </si>
  <si>
    <t>Hošťálková 3, PSČ 75622</t>
  </si>
  <si>
    <t>Český svaz chovatelů, z.s., Základní organizace Hutisko-Solanec</t>
  </si>
  <si>
    <t>Hutisko-Solanec</t>
  </si>
  <si>
    <t>Hutisko-Solanec, Hutisko 222, PSČ 75662</t>
  </si>
  <si>
    <t>Český svaz chovatelů, z.s., Základní organizace Hvozdná</t>
  </si>
  <si>
    <t>Hvozdná</t>
  </si>
  <si>
    <t>Hvozdná, Hlavní 159, PSČ 76310</t>
  </si>
  <si>
    <t>Český svaz chovatelů, z.s., Základní organizace Kelč</t>
  </si>
  <si>
    <t>Kelč 5, PSČ 75643</t>
  </si>
  <si>
    <t>Český svaz chovatelů, z.s., Základní organizace Kroměříž</t>
  </si>
  <si>
    <t>Kroměříž, Chropyňská 1646/178, PSČ 76701</t>
  </si>
  <si>
    <t>Český svaz chovatelů, z.s., Základní organizace Kunovice</t>
  </si>
  <si>
    <t>Kunovice, Pekařská 1621</t>
  </si>
  <si>
    <t>Český svaz chovatelů, z.s., Základní organizace Malenovice</t>
  </si>
  <si>
    <t>Zlín, Malenovice, Brigádnická 986, PSČ 76302</t>
  </si>
  <si>
    <t>Český svaz chovatelů, z.s., Základní organizace Míškovice</t>
  </si>
  <si>
    <t>Míškovice 164, PSČ 76852</t>
  </si>
  <si>
    <t>Český svaz chovatelů, z.s., Základní organizace Míškovice 1</t>
  </si>
  <si>
    <t>Míškovice 46, PSČ 76852</t>
  </si>
  <si>
    <t>Český svaz chovatelů, z.s., Základní organizace Morkovice</t>
  </si>
  <si>
    <t>Morkovice-Slížany, Morkovice, Náměstí 29, PSČ 76833</t>
  </si>
  <si>
    <t>Český svaz chovatelů, z.s., Základní organizace Nivnice</t>
  </si>
  <si>
    <t>Nivnice, Sídliště 1000, PSČ 68751</t>
  </si>
  <si>
    <t>Český svaz chovatelů, z.s., Základní organizace Ostrožská Lhota</t>
  </si>
  <si>
    <t>Ostrožská Lhota</t>
  </si>
  <si>
    <t>Ostrožská Lhota 148, PSČ 68723</t>
  </si>
  <si>
    <t>Český svaz chovatelů, z.s., Základní organizace Polešovice</t>
  </si>
  <si>
    <t>Polešovice</t>
  </si>
  <si>
    <t>Polešovice 1, PSČ 68737</t>
  </si>
  <si>
    <t>Český svaz chovatelů, z.s., Základní organizace Pravčice</t>
  </si>
  <si>
    <t>Hulín, Palackého 92, PSČ 76824</t>
  </si>
  <si>
    <t>Český svaz chovatelů, z.s., Základní organizace Rožnov 4</t>
  </si>
  <si>
    <t>Hutisko-Solanec, Solanec pod Soláněm 438, PSČ 75662</t>
  </si>
  <si>
    <t>Český svaz chovatelů, z.s., Základní organizace Rymice</t>
  </si>
  <si>
    <t>Český svaz chovatelů, z.s., Základní organizace Slušovice</t>
  </si>
  <si>
    <t>Slušovice, Osvoboditelů 64, PSČ 76315</t>
  </si>
  <si>
    <t>Český svaz chovatelů, z.s., Základní organizace Tečovice</t>
  </si>
  <si>
    <t>Tečovice 363, PSČ 76302</t>
  </si>
  <si>
    <t>Český svaz chovatelů, z.s., Základní organizace Troubky-Zdislavice</t>
  </si>
  <si>
    <t>Troubky-Zdislavice</t>
  </si>
  <si>
    <t>Troubky-Zdislavice, Troubky 10, PSČ 76802</t>
  </si>
  <si>
    <t>Český svaz chovatelů, z.s., Základní organizace Uherské Hradiště 1</t>
  </si>
  <si>
    <t>Český svaz chovatelů, z.s., Základní organizace Uherský Brod</t>
  </si>
  <si>
    <t>Český svaz chovatelů, z.s., Základní organizace Valašské Klobouky</t>
  </si>
  <si>
    <t>Český svaz chovatelů, z.s., Základní organizace Velký Ořechov</t>
  </si>
  <si>
    <t>Velký Ořechov</t>
  </si>
  <si>
    <t>Velký Ořechov 129, PSČ 76307</t>
  </si>
  <si>
    <t>Český svaz chovatelů, z.s., Základní organizace Vizovice</t>
  </si>
  <si>
    <t>Vizovice, Chrastěšovská 185, PSČ 76312</t>
  </si>
  <si>
    <t>Český svaz chovatelů, z.s., Základní organizace Vsetín 1</t>
  </si>
  <si>
    <t>Vsetín, Rokytnice, Janišov 43, PSČ 75501</t>
  </si>
  <si>
    <t>Český svaz chovatelů, z.s., Základní organizace Zašová</t>
  </si>
  <si>
    <t>Zašová 291, PSČ 75651</t>
  </si>
  <si>
    <t>Český svaz chovatelů, z.s., Základní organizace Zdounky</t>
  </si>
  <si>
    <t>Zdounky 27, PSČ 76802</t>
  </si>
  <si>
    <t>Český svaz chovatelů, z.s., Základní organizace Zlín</t>
  </si>
  <si>
    <t>Zlín, Dolní 2290, PSČ 76001</t>
  </si>
  <si>
    <t>Český svaz chovatelů, z.s., Základní organizace Zubří</t>
  </si>
  <si>
    <t>Zubří, Chovatelská 8</t>
  </si>
  <si>
    <t>Český svaz chovatelů, z.s., Základní organizace Žlutava</t>
  </si>
  <si>
    <t>Žlutava 233, PSČ 76361</t>
  </si>
  <si>
    <t>Český svaz chovatelů, z.s., Základní organizace Žlutava 2</t>
  </si>
  <si>
    <t>Žlutava 11, PSČ 76361</t>
  </si>
  <si>
    <t>ČESKÝ SVAZ GYMNASTICKÝCH SPORTŮ z.s.</t>
  </si>
  <si>
    <t>Lešná, Vysoká 54, PSČ 75641</t>
  </si>
  <si>
    <t>Český svaz Jóga v denním životě, z. s.</t>
  </si>
  <si>
    <t>Střílky</t>
  </si>
  <si>
    <t>Střílky, Zámecká 202, PSČ 76804</t>
  </si>
  <si>
    <t>Český svaz kuší, z.s.</t>
  </si>
  <si>
    <t>Otrokovice, Sport. areál TJ Jiskra 1297, PSČ 76502</t>
  </si>
  <si>
    <t>Český svaz muzeí v přírodě, zapsaný spolek</t>
  </si>
  <si>
    <t>Rožnov pod Radhoštěm, Palackého 147, PSČ 75661</t>
  </si>
  <si>
    <t>Český svaz ochránců přírody " Choryňská stráž "</t>
  </si>
  <si>
    <t>CHORYNĚ, Choryně  206</t>
  </si>
  <si>
    <t>Český svaz ochránců přírody Brody</t>
  </si>
  <si>
    <t>Šumice 123, PSČ 68731</t>
  </si>
  <si>
    <t>Český svaz ochránců přírody DOHOKRA</t>
  </si>
  <si>
    <t>Hostětín</t>
  </si>
  <si>
    <t>Hostětín 6, PSČ 68771</t>
  </si>
  <si>
    <t>Český svaz ochránců přírody Hluk</t>
  </si>
  <si>
    <t>Hluk, nám. Komenského 158, PSČ 68725</t>
  </si>
  <si>
    <t>Český svaz ochránců přírody Na Háji Lutonina</t>
  </si>
  <si>
    <t>Lutonina</t>
  </si>
  <si>
    <t>Lutonina 95, PSČ 76312</t>
  </si>
  <si>
    <t>Český svaz ochránců přírody Pulčín</t>
  </si>
  <si>
    <t>Francova Lhota, Pulčín 30, PSČ 75612</t>
  </si>
  <si>
    <t>Český svaz ochránců přírody Strážci Beskyd</t>
  </si>
  <si>
    <t>Český svaz ochránců přírody Vlčí prameny</t>
  </si>
  <si>
    <t>Vyškovec</t>
  </si>
  <si>
    <t>Vyškovec 36, PSČ 68774</t>
  </si>
  <si>
    <t>Český svaz ochránců přírody ZO Dolní Bečva</t>
  </si>
  <si>
    <t>Dolní Bečva 346, PSČ 75655</t>
  </si>
  <si>
    <t>Český svaz pro film a video z.s.</t>
  </si>
  <si>
    <t>Kroměříž, Tovačovského 2828/22, PSČ 76701</t>
  </si>
  <si>
    <t>ČESKÝ SVAZ STAVEBNÍCH INŽENÝRŮ, oblastní pobočka Zlín, z.s.</t>
  </si>
  <si>
    <t>Český svaz včelařů, o.s., základní organizace Medůvka</t>
  </si>
  <si>
    <t>Velká Lhota č. ev. 128, PSČ 75701</t>
  </si>
  <si>
    <t>Český svaz včelařů, o.s. Základní organizace Šumice</t>
  </si>
  <si>
    <t>Šumice 18, PSČ 68731</t>
  </si>
  <si>
    <t>Český svaz včelařů, z.s., okresní organizace Kroměříž</t>
  </si>
  <si>
    <t>Rataje 143, PSČ 76812</t>
  </si>
  <si>
    <t>Český svaz včelařů, z.s., okresní organizace Uherské Hradiště</t>
  </si>
  <si>
    <t>Uherský Brod, Přemysla Otakara II. 38, PSČ 68801</t>
  </si>
  <si>
    <t>Český svaz včelařů, z.s., okresní organizace Vsetín</t>
  </si>
  <si>
    <t>Ratiboř 287, PSČ 75621</t>
  </si>
  <si>
    <t>Český svaz včelařů, z.s., okresní organizace Zlín</t>
  </si>
  <si>
    <t>Ostrata</t>
  </si>
  <si>
    <t>Ostrata 115, PSČ 76311</t>
  </si>
  <si>
    <t>Český svaz včelařů, z.s., základní organizace Bánov</t>
  </si>
  <si>
    <t>Bánov 700, PSČ 68754</t>
  </si>
  <si>
    <t>Český svaz včelařů, z.s., základní organizace Bílovice u Uherského Hradiště</t>
  </si>
  <si>
    <t>Bílovice 70, PSČ 68712</t>
  </si>
  <si>
    <t>Český svaz včelařů, z.s., základní organizace Bojkovice</t>
  </si>
  <si>
    <t>Pitín</t>
  </si>
  <si>
    <t>Pitín 305, PSČ 68771</t>
  </si>
  <si>
    <t>Český svaz včelařů, z.s., základní organizace Boršice</t>
  </si>
  <si>
    <t>Boršice 497, PSČ 68709</t>
  </si>
  <si>
    <t>Český svaz včelařů, z.s., základní organizace Boršice u Blat.</t>
  </si>
  <si>
    <t>Boršice u Blatnice 299, PSČ 68763</t>
  </si>
  <si>
    <t>Český svaz včelařů, z.s., základní organizace Brumov-Bylnice</t>
  </si>
  <si>
    <t>Český svaz včelařů, z.s., základní organizace Březová</t>
  </si>
  <si>
    <t>Březová</t>
  </si>
  <si>
    <t>Březová 323, PSČ 68767</t>
  </si>
  <si>
    <t>Český svaz včelařů, z.s., základní organizace Buchlovice</t>
  </si>
  <si>
    <t>Buchlovice, Váhovy 620, PSČ 68708</t>
  </si>
  <si>
    <t>Český svaz včelařů, z.s., základní organizace Bystřice pod Hostýnem</t>
  </si>
  <si>
    <t>Přílepy</t>
  </si>
  <si>
    <t>Přílepy 216, PSČ 76901</t>
  </si>
  <si>
    <t>Český svaz včelařů, z.s., základní organizace Bystřice pod Lopeníkem</t>
  </si>
  <si>
    <t>Bystřice pod Lopeníkem 262, PSČ 68755</t>
  </si>
  <si>
    <t>Český svaz včelařů, z.s., základní organizace Bystřička</t>
  </si>
  <si>
    <t>Oznice</t>
  </si>
  <si>
    <t>Oznice 109, PSČ 75624</t>
  </si>
  <si>
    <t>Český svaz včelařů, z.s., základní organizace Chvalčov-Podhostýnsko</t>
  </si>
  <si>
    <t>Chvalčov, Obřanská 145, PSČ 76872</t>
  </si>
  <si>
    <t>Český svaz včelařů, z.s., základní organizace Dolní Němčí</t>
  </si>
  <si>
    <t>Dolní Němčí</t>
  </si>
  <si>
    <t>Dolní Němčí, Hlucká 108, PSČ 68762</t>
  </si>
  <si>
    <t>Český svaz včelařů, z.s., základní organizace Francova Lhota</t>
  </si>
  <si>
    <t>Valašská Senice</t>
  </si>
  <si>
    <t>Valašská Senice 145, PSČ 75614</t>
  </si>
  <si>
    <t>Český svaz včelařů, z.s., základní organizace Fryšták</t>
  </si>
  <si>
    <t>Fryšták, Přehradní 388, PSČ 76316</t>
  </si>
  <si>
    <t>Český svaz včelařů, z.s., základní organizace Halenkov</t>
  </si>
  <si>
    <t>Halenkov</t>
  </si>
  <si>
    <t>Halenkov 71, PSČ 75603</t>
  </si>
  <si>
    <t>Český svaz včelařů, z.s., základní organizace Hluk</t>
  </si>
  <si>
    <t>Hluk, Hřbitovní 140, PSČ 68725</t>
  </si>
  <si>
    <t>Český svaz včelařů, z.s., základní organizace Holešov</t>
  </si>
  <si>
    <t>Holešov, Dlažánky 321, PSČ 76901</t>
  </si>
  <si>
    <t>Český svaz včelařů, z.s., základní organizace Horní Bečva</t>
  </si>
  <si>
    <t>Horní Bečva 680, PSČ 75657</t>
  </si>
  <si>
    <t>Český svaz včelařů, z.s., základní organizace Horní Jasenka</t>
  </si>
  <si>
    <t>Vsetín, Horní Jasenka 42, PSČ 75501</t>
  </si>
  <si>
    <t>Český svaz včelařů, z.s., základní organizace Horní Lideč</t>
  </si>
  <si>
    <t>Horní Lideč 292, PSČ 75612</t>
  </si>
  <si>
    <t>Český svaz včelařů, z.s., základní organizace Hošťálková</t>
  </si>
  <si>
    <t>Český svaz včelařů, z.s., základní organizace Hovězí</t>
  </si>
  <si>
    <t>Hovězí</t>
  </si>
  <si>
    <t>Hovězí 274, PSČ 75601</t>
  </si>
  <si>
    <t>Český svaz včelařů, z.s., základní organizace Hradčovice</t>
  </si>
  <si>
    <t>Hradčovice 168, PSČ 68733</t>
  </si>
  <si>
    <t>Český svaz včelařů, z.s., základní organizace Hřivínův Újezd</t>
  </si>
  <si>
    <t>Hřivínův Újezd</t>
  </si>
  <si>
    <t>Hřivínův Újezd 192, PSČ 76307</t>
  </si>
  <si>
    <t>Český svaz včelařů, z.s., základní organizace Huslenky</t>
  </si>
  <si>
    <t>Huslenky 610, PSČ 75602</t>
  </si>
  <si>
    <t>Český svaz včelařů, z.s., základní organizace Hutisko-Solanec</t>
  </si>
  <si>
    <t>Hutisko-Solanec, Hutisko 512, PSČ 75662</t>
  </si>
  <si>
    <t>Český svaz včelařů, z.s., základní organizace Jablůnka</t>
  </si>
  <si>
    <t>Jablůnka 358, PSČ 75623</t>
  </si>
  <si>
    <t>Český svaz včelařů, z.s., základní organizace Janová</t>
  </si>
  <si>
    <t>Janová 75, PSČ 75501</t>
  </si>
  <si>
    <t>Český svaz včelařů, z.s., základní organizace Kelč</t>
  </si>
  <si>
    <t>Český svaz včelařů, z.s., základní organizace Koryčany</t>
  </si>
  <si>
    <t>Koryčany, Lískovec 122, PSČ 76805</t>
  </si>
  <si>
    <t>Český svaz včelařů, z.s., základní organizace Korytná</t>
  </si>
  <si>
    <t>Korytná</t>
  </si>
  <si>
    <t>Korytná 309, PSČ 68752</t>
  </si>
  <si>
    <t>Český svaz včelařů, z.s., základní organizace Kroměříž</t>
  </si>
  <si>
    <t>Kroměříž, 17. listopadu 3982/8, PSČ 76701</t>
  </si>
  <si>
    <t>Český svaz včelařů, z.s., základní organizace Kvasice</t>
  </si>
  <si>
    <t>Kroměříž, Trávník 125, PSČ 76701</t>
  </si>
  <si>
    <t>Český svaz včelařů, z.s., základní organizace Lačnov</t>
  </si>
  <si>
    <t>Lačnov</t>
  </si>
  <si>
    <t>Lačnov 286, PSČ 75612</t>
  </si>
  <si>
    <t>Český svaz včelařů, z.s., základní organizace Leskovec</t>
  </si>
  <si>
    <t>Leskovec</t>
  </si>
  <si>
    <t>Leskovec 141, PSČ 75611</t>
  </si>
  <si>
    <t>Český svaz včelařů, z.s., základní organizace Lešná</t>
  </si>
  <si>
    <t>Lešná 30, PSČ 75641</t>
  </si>
  <si>
    <t>Český svaz včelařů, z.s., základní organizace Lidečko</t>
  </si>
  <si>
    <t>Lidečko 467, PSČ 75612</t>
  </si>
  <si>
    <t>Český svaz včelařů, z.s., základní organizace Litenčice</t>
  </si>
  <si>
    <t>Litenčice</t>
  </si>
  <si>
    <t>Litenčice 64, PSČ 76813</t>
  </si>
  <si>
    <t>Český svaz včelařů, z.s., základní organizace Luhačovice</t>
  </si>
  <si>
    <t>Luhačovice, nám. 28. října 543, PSČ 76326</t>
  </si>
  <si>
    <t>Český svaz včelařů, z.s., základní organizace Lukov</t>
  </si>
  <si>
    <t>Lukov, Hradská 246</t>
  </si>
  <si>
    <t>Český svaz včelařů, z.s., základní organizace Morkovice-Slížany</t>
  </si>
  <si>
    <t>Morkovice-Slížany, Morkovice, Náměstí 900, PSČ 76833</t>
  </si>
  <si>
    <t>Český svaz včelařů, z.s., základní organizace Napajedla</t>
  </si>
  <si>
    <t>Napajedla, Komenského 304, PSČ 76361</t>
  </si>
  <si>
    <t>Český svaz včelařů, z.s., základní organizace Nezdenice</t>
  </si>
  <si>
    <t>Nezdenice</t>
  </si>
  <si>
    <t>Nezdenice 64, PSČ 68732</t>
  </si>
  <si>
    <t>Český svaz včelařů, z.s., základní organizace Nivnice</t>
  </si>
  <si>
    <t>Český svaz včelařů, z.s., základní organizace Nový Hrozenkov</t>
  </si>
  <si>
    <t>Karolinka, U hřiště 123, PSČ 75605</t>
  </si>
  <si>
    <t>Český svaz včelařů, z.s., základní organizace Ostrožská Nová Ves</t>
  </si>
  <si>
    <t>Ostrožská Nová Ves, Hřbitovní 263, PSČ 68722</t>
  </si>
  <si>
    <t>Český svaz včelařů, z.s., základní organizace Otrokovice</t>
  </si>
  <si>
    <t>Otrokovice, Svobodova 1314, PSČ 76502</t>
  </si>
  <si>
    <t>Český svaz včelařů, z.s., základní organizace Pačlavice</t>
  </si>
  <si>
    <t>Pačlavice</t>
  </si>
  <si>
    <t>Pačlavice, Lhota 122, PSČ 76834</t>
  </si>
  <si>
    <t>Český svaz včelařů, z.s., základní organizace Polešovice</t>
  </si>
  <si>
    <t>Polešovice 242, PSČ 68737</t>
  </si>
  <si>
    <t>Český svaz včelařů, z.s., základní organizace Popovice</t>
  </si>
  <si>
    <t>Popovice 142, PSČ 68604</t>
  </si>
  <si>
    <t>Český svaz včelařů, z.s., základní organizace Pozděchov</t>
  </si>
  <si>
    <t>Pozděchov</t>
  </si>
  <si>
    <t>Pozděchov 215, PSČ 75611</t>
  </si>
  <si>
    <t>Český svaz včelařů, z.s., základní organizace Pozlovice</t>
  </si>
  <si>
    <t>Pozlovice</t>
  </si>
  <si>
    <t>Pozlovice, Hlavní 51, PSČ 76326</t>
  </si>
  <si>
    <t>Český svaz včelařů, z.s., základní organizace Provodov</t>
  </si>
  <si>
    <t>Provodov</t>
  </si>
  <si>
    <t>Provodov 28, PSČ 76345</t>
  </si>
  <si>
    <t>Český svaz včelařů, z.s., základní organizace Rožnov pod Radhoštěm</t>
  </si>
  <si>
    <t>Rožnov pod Radhoštěm, nábřeží Dukelských hrdinů 570, PSČ 75661</t>
  </si>
  <si>
    <t>Český svaz včelařů, z.s., základní organizace Sehradice</t>
  </si>
  <si>
    <t>Dolní Lhota</t>
  </si>
  <si>
    <t>Dolní Lhota 129, PSČ 76323</t>
  </si>
  <si>
    <t>Český svaz včelařů, z.s., základní organizace Seninka</t>
  </si>
  <si>
    <t>Seninka</t>
  </si>
  <si>
    <t>Seninka 49, PSČ 75611</t>
  </si>
  <si>
    <t>Český svaz včelařů, z.s., základní organizace Slavičín</t>
  </si>
  <si>
    <t>Český svaz včelařů, z.s., základní organizace Slušovice</t>
  </si>
  <si>
    <t>Slušovice, nám. Svobody 160, PSČ 76315</t>
  </si>
  <si>
    <t>Český svaz včelařů, z.s., základní organizace Starý Hrozenkov</t>
  </si>
  <si>
    <t>Starý Hrozenkov</t>
  </si>
  <si>
    <t>Starý Hrozenkov 200, PSČ 68774</t>
  </si>
  <si>
    <t>Český svaz včelařů, z.s., základní organizace Strání - Květná</t>
  </si>
  <si>
    <t>Strání, Dolina 1083, PSČ 68765</t>
  </si>
  <si>
    <t>Český svaz včelařů, z.s., základní organizace Střítež nad Bečvou</t>
  </si>
  <si>
    <t>Střítež nad Bečvou</t>
  </si>
  <si>
    <t>Střítež nad Bečvou 193, PSČ 75652</t>
  </si>
  <si>
    <t>Český svaz včelařů, z.s., základní organizace Suchá Loz</t>
  </si>
  <si>
    <t>Suchá Loz</t>
  </si>
  <si>
    <t>Suchá Loz 348, PSČ 68753</t>
  </si>
  <si>
    <t>Český svaz včelařů, z.s., základní organizace Štítná nad Vláří</t>
  </si>
  <si>
    <t>Štítná nad Vláří-Popov, Štítná nad Vláří 72, PSČ 76333</t>
  </si>
  <si>
    <t>Český svaz včelařů, z.s., základní organizace Šumice</t>
  </si>
  <si>
    <t>Český svaz včelařů, z.s., základní organizace Traplice</t>
  </si>
  <si>
    <t>Traplice</t>
  </si>
  <si>
    <t>Traplice 404, PSČ 68704</t>
  </si>
  <si>
    <t>Český svaz včelařů, z.s., základní organizace Trnava</t>
  </si>
  <si>
    <t>Trnava 156, PSČ 76318</t>
  </si>
  <si>
    <t>Český svaz včelařů, z.s., základní organizace Uherské Hradiště</t>
  </si>
  <si>
    <t>Český svaz včelařů, z.s., základní organizace Uherský Brod</t>
  </si>
  <si>
    <t>Český svaz včelařů, z.s., základní organizace Uherský Ostroh</t>
  </si>
  <si>
    <t>Uherský Ostroh, Zámecká 24, PSČ 68724</t>
  </si>
  <si>
    <t>Český svaz včelařů, z.s., základní organizace Újezd</t>
  </si>
  <si>
    <t>Újezd</t>
  </si>
  <si>
    <t>Újezd 5, PSČ 76325</t>
  </si>
  <si>
    <t>Český svaz včelařů, z.s., základní organizace Valašská Bystřice</t>
  </si>
  <si>
    <t>Valašská Bystřice 795, PSČ 75627</t>
  </si>
  <si>
    <t>Český svaz včelařů, z.s., základní organizace Valašská Polanka</t>
  </si>
  <si>
    <t>Valašská Polanka</t>
  </si>
  <si>
    <t>Valašská Polanka 270, PSČ 75611</t>
  </si>
  <si>
    <t>Český svaz včelařů, z.s., základní organizace Valašské Klobouky</t>
  </si>
  <si>
    <t>Český svaz včelařů, z.s., základní organizace Valašské Meziříčí</t>
  </si>
  <si>
    <t>Krhová</t>
  </si>
  <si>
    <t>Krhová, Luční 658, PSČ 75663</t>
  </si>
  <si>
    <t>Český svaz včelařů, z.s., základní organizace Velké Karlovice</t>
  </si>
  <si>
    <t>Velké Karlovice 1, PSČ 75606</t>
  </si>
  <si>
    <t>Český svaz včelařů, z.s., základní organizace Velký Ořechov</t>
  </si>
  <si>
    <t>Velký Ořechov 218, PSČ 76307</t>
  </si>
  <si>
    <t>Český svaz včelařů, z.s., základní organizace Vizovice</t>
  </si>
  <si>
    <t>Vizovice, Lípová 588, PSČ 76312</t>
  </si>
  <si>
    <t>Český svaz včelařů, z.s., základní organizace Vlachovice-Vrbětice</t>
  </si>
  <si>
    <t>Vlachovice</t>
  </si>
  <si>
    <t>Vlachovice 50, PSČ 76324</t>
  </si>
  <si>
    <t>Český svaz včelařů, z.s., základní organizace Vlčnov</t>
  </si>
  <si>
    <t>Vlčnov 14, PSČ 68761</t>
  </si>
  <si>
    <t>Český svaz včelařů, z.s., základní organizace Vsetín</t>
  </si>
  <si>
    <t>Vsetín, MUDr. Františka Sovy 1722, PSČ 75501</t>
  </si>
  <si>
    <t>Český svaz včelařů, z.s., základní organizace Zděchov</t>
  </si>
  <si>
    <t>Český svaz včelařů, z.s., základní organizace Zdounky</t>
  </si>
  <si>
    <t>Zdounky, Zákostelí 250, PSČ 76802</t>
  </si>
  <si>
    <t>Český svaz včelařů, z.s., základní organizace Zlín</t>
  </si>
  <si>
    <t>Lípa 26, PSČ 76311</t>
  </si>
  <si>
    <t>Český svaz včelařů, z.s., základní organizace Zlín-Malenovice</t>
  </si>
  <si>
    <t>Zlín, Malenovice, Bezručova 41, PSČ 76302</t>
  </si>
  <si>
    <t>Český svaz včelařů, z.s., základní organizace Zubří</t>
  </si>
  <si>
    <t>Zubří, U Domoviny 234, PSČ 75654</t>
  </si>
  <si>
    <t>Český svaz včelařů, z.s., základní organizace Žítková</t>
  </si>
  <si>
    <t>Uherský Brod, Zátiší 1103, PSČ 68801</t>
  </si>
  <si>
    <t>Český zahrádkářský svaz základní organizace Horní Lhota</t>
  </si>
  <si>
    <t>Horní Lhota</t>
  </si>
  <si>
    <t>Horní Lhota 176, PSČ 76323</t>
  </si>
  <si>
    <t>Prakšice</t>
  </si>
  <si>
    <t>Prakšice 29, PSČ 68756</t>
  </si>
  <si>
    <t>„Čisté Zástřizly”</t>
  </si>
  <si>
    <t>Zástřizly</t>
  </si>
  <si>
    <t>Zástřizly 49, PSČ 76805</t>
  </si>
  <si>
    <t>ČISTÍME VZDUCH o. s.</t>
  </si>
  <si>
    <t>Zlín, Zálešná VII 5857, PSČ 76001</t>
  </si>
  <si>
    <t>ČISTÝ ŽIVOT o.s.</t>
  </si>
  <si>
    <t>Rožnov pod Radhoštěm, Televizní 2614, PSČ 75661</t>
  </si>
  <si>
    <t>Člověk v pohybu, z.s.</t>
  </si>
  <si>
    <t>Zlín, Lešetín VI 671, PSČ 76001</t>
  </si>
  <si>
    <t>ČMP MX team z.s.</t>
  </si>
  <si>
    <t>Ratiboř 604, PSČ 75621</t>
  </si>
  <si>
    <t>ČSS, z.s. - sportovně střelecký klub Březolupy</t>
  </si>
  <si>
    <t>Březolupy 586, PSČ 68713</t>
  </si>
  <si>
    <t>ČSS, z.s. - sportovně střelecký klub Buchlovice</t>
  </si>
  <si>
    <t>Buchlovice, Suchý řádek 767, PSČ 68708</t>
  </si>
  <si>
    <t>ČSS, z.s. - sportovně střelecký klub Drslavice</t>
  </si>
  <si>
    <t>Drslavice</t>
  </si>
  <si>
    <t>Drslavice 93, PSČ 68733</t>
  </si>
  <si>
    <t>ČSS, z.s. - sportovně střelecký klub JUNIOR Chropyně</t>
  </si>
  <si>
    <t>Chropyně, J. Fučíka 675, PSČ 76811</t>
  </si>
  <si>
    <t>ČSS, z.s. - sportovně střelecký klub Míškovice</t>
  </si>
  <si>
    <t>Míškovice 128, PSČ 76852</t>
  </si>
  <si>
    <t>Nivnice, Hůrka č. ev. 1024, PSČ 68751</t>
  </si>
  <si>
    <t>ČSS, z.s. - sportovně střelecký klub Poličná</t>
  </si>
  <si>
    <t>Valašské Meziříčí, Krásno nad Bečvou, Ulička 851, PSČ 75701</t>
  </si>
  <si>
    <t>ČSS, z.s. - sportovně střelecký klub Rožnov</t>
  </si>
  <si>
    <t>Zubří, Rožnovská 925, PSČ 75654</t>
  </si>
  <si>
    <t>ČSS, z.s. - sportovně střelecký klub Uherský Ostroh</t>
  </si>
  <si>
    <t>Uherský Ostroh, Ostrožské Předměstí, Veselská 1, PSČ 68724</t>
  </si>
  <si>
    <t>ČSS, z.s. - sportovně střelecký klub Valašské Klobouky</t>
  </si>
  <si>
    <t>Valašské Klobouky, Luční 899, PSČ 76601</t>
  </si>
  <si>
    <t>ČSS, z.s. - sportovně střelecký klub Zlín</t>
  </si>
  <si>
    <t>Zlín, Vršava I 3688, PSČ 76001</t>
  </si>
  <si>
    <t>ČSS, z.s. - sportovně střelecký klub ZŠ Trnava</t>
  </si>
  <si>
    <t>Trnava 85, PSČ 76318</t>
  </si>
  <si>
    <t>ČSS, z.s. - sportovní střelecký klub 0428 Lešná</t>
  </si>
  <si>
    <t>Lešná 3, PSČ 75641</t>
  </si>
  <si>
    <t>ČSS, z.s. - SSK Kelč</t>
  </si>
  <si>
    <t>ČSS, z.s. - SSK Uherský Brod</t>
  </si>
  <si>
    <t>Uherský Brod, Prakšická 1780, PSČ 68801</t>
  </si>
  <si>
    <t>ČSS, z.s. Zlínské krajské sdružení</t>
  </si>
  <si>
    <t>"Čtvrtá opice, o. s."</t>
  </si>
  <si>
    <t>Vsetín, Sychrov 89, Michaela Petřkovská</t>
  </si>
  <si>
    <t>D centrum z.s.</t>
  </si>
  <si>
    <t>Zlín, Louky, Chlumská 453, PSČ 76302</t>
  </si>
  <si>
    <t>DAIMONION</t>
  </si>
  <si>
    <t>Zlín, Gahurova 1563, PSČ 76001</t>
  </si>
  <si>
    <t>Dámský Házenkářský Klub Kunovice</t>
  </si>
  <si>
    <t>Kunovice, Červená cesta 1476, PSČ 68604</t>
  </si>
  <si>
    <t>Dámský Házenkářský Klub Uherské Hradiště</t>
  </si>
  <si>
    <t>Uherské Hradiště, Mařatice, Jižní 1421, PSČ 68605</t>
  </si>
  <si>
    <t>Dámský klub Kostelany nad Moravou, z.s.</t>
  </si>
  <si>
    <t>Kostelany nad Moravou 211, PSČ 68601</t>
  </si>
  <si>
    <t>DANCE CLUB VEGAS</t>
  </si>
  <si>
    <t>Holešov, Masarykova 65/3, PSČ 76901</t>
  </si>
  <si>
    <t>Dance Rebels z.s.</t>
  </si>
  <si>
    <t>Horní Bečva 845, PSČ 75657</t>
  </si>
  <si>
    <t>Scénická umění</t>
  </si>
  <si>
    <t>Dance Studio Starlight, z.s.</t>
  </si>
  <si>
    <t>Zlín, Prštné, Jateční 169, PSČ 76001</t>
  </si>
  <si>
    <t>Dance Talent Academy, z.s.</t>
  </si>
  <si>
    <t>Otrokovice, nám. 3. května 1302, PSČ 76502</t>
  </si>
  <si>
    <t>DANTIEN z.s. Společnost pro studium lidského potenciálu a tradičních metod rozvoje osobnosti</t>
  </si>
  <si>
    <t>Vsetín, Jiráskova 1817, PSČ 75501</t>
  </si>
  <si>
    <t>Dareband z.s.</t>
  </si>
  <si>
    <t>Vsetín, V Zahrádkách č. ev. 24, PSČ 75501</t>
  </si>
  <si>
    <t>DC HRAD CHROPYNĚ</t>
  </si>
  <si>
    <t>Chropyně, Hrad 482, PSČ 76811</t>
  </si>
  <si>
    <t>D.C. SLAVÍC PIGS´ PARADISE KROMĚŘÍŽ</t>
  </si>
  <si>
    <t>Kroměříž, 17. listopadu 3980, Jiří Koutňák</t>
  </si>
  <si>
    <t>DC SLOVAN Kroměříž</t>
  </si>
  <si>
    <t>Kroměříž, Slovanské nám. 3283, Restaurace Slovan</t>
  </si>
  <si>
    <t>DC Sniper Horní Bečva z.s.</t>
  </si>
  <si>
    <t>Horní Bečva 161, PSČ 75657</t>
  </si>
  <si>
    <t>DC TROUBKY</t>
  </si>
  <si>
    <t>Troubky-Zdislavice, Zdislavice 89, PSČ 76802</t>
  </si>
  <si>
    <t>DEAF SKI TEAM, z.s.</t>
  </si>
  <si>
    <t>Fryšták, Horní Ves, Korábová 78, PSČ 76316</t>
  </si>
  <si>
    <t>Dechová hudba DÚBRAVANKA, z.s.</t>
  </si>
  <si>
    <t>Valašské Klobouky, Záhumení 677, PSČ 76601</t>
  </si>
  <si>
    <t>DECHOVÁ HUDBA KOMŇANÉ z. s.</t>
  </si>
  <si>
    <t>Komňa</t>
  </si>
  <si>
    <t>Komňa 290, PSČ 68771</t>
  </si>
  <si>
    <t>Dechová hudba Lhoťanka</t>
  </si>
  <si>
    <t>Dolní Lhota 148, PSČ 76323</t>
  </si>
  <si>
    <t>Dechová hudba Nivničanka, z. s.</t>
  </si>
  <si>
    <t>Dechová hudba NOVOVEŠŤANKA z.s.</t>
  </si>
  <si>
    <t>Ostrožská Nová Ves, Dědina 161, PSČ 68722</t>
  </si>
  <si>
    <t>Dechová hudba Polančanka, z.s.</t>
  </si>
  <si>
    <t>Valašská Polanka 277, PSČ 75611</t>
  </si>
  <si>
    <t>Dechová hudba Šarovec z.s.</t>
  </si>
  <si>
    <t>Hluk, Sadová 1323, PSČ 68725</t>
  </si>
  <si>
    <t>Dechová hudba Záhořané z Valašska z. s.</t>
  </si>
  <si>
    <t>Prostřední Bečva 271, PSČ 75656</t>
  </si>
  <si>
    <t>Dechová hudba Zubřanka, spolek</t>
  </si>
  <si>
    <t>Zubří, Starozuberská 1082, PSČ 75654</t>
  </si>
  <si>
    <t>Děcka z Buchlovic z.s.</t>
  </si>
  <si>
    <t>Děcka z Nedakonic z. s.</t>
  </si>
  <si>
    <t>Nedakonice 556, PSČ 68738</t>
  </si>
  <si>
    <t>Dědictví Velkých Karlovic z.s.</t>
  </si>
  <si>
    <t>Velké Karlovice 267, PSČ 75606</t>
  </si>
  <si>
    <t>Dědiny pod horama,o.s.</t>
  </si>
  <si>
    <t>Defect-rock</t>
  </si>
  <si>
    <t>Hovězí 514, PSČ 75601</t>
  </si>
  <si>
    <t>DEFEND-LOCK MOTORSPORT</t>
  </si>
  <si>
    <t>Fryšták, Holešovská 166, PSČ 76316</t>
  </si>
  <si>
    <t>DEFORMA z.s.</t>
  </si>
  <si>
    <t>Břestek 224, PSČ 68708</t>
  </si>
  <si>
    <t>DELFÍNEK</t>
  </si>
  <si>
    <t>Zdounky, Farská 420, PSČ 76802</t>
  </si>
  <si>
    <t>Dělnická tělocvičná jednota Květná, z.s.</t>
  </si>
  <si>
    <t>Strání, Květná, Slovenská 440, PSČ 68766</t>
  </si>
  <si>
    <t>Maloobchod s nápoji</t>
  </si>
  <si>
    <t>DELTA klub Bystřice pod Hostýnem</t>
  </si>
  <si>
    <t>DeMo z. s.</t>
  </si>
  <si>
    <t>Pašovice</t>
  </si>
  <si>
    <t>Pašovice 98, PSČ 68756</t>
  </si>
  <si>
    <t>Demokratická aliance Romů ČR z.s.</t>
  </si>
  <si>
    <t>Valašské Meziříčí, Náměstí 8/6, PSČ 75701</t>
  </si>
  <si>
    <t>”DEN 1”</t>
  </si>
  <si>
    <t>Kroměříž, Trávník 1, PSČ 76701</t>
  </si>
  <si>
    <t>Horní Němčí</t>
  </si>
  <si>
    <t>Derby Golf Club Slušovice, z.s.</t>
  </si>
  <si>
    <t>Slušovice, Dostihová 671, PSČ 76315</t>
  </si>
  <si>
    <t>Derfla Klub z.s.</t>
  </si>
  <si>
    <t>Uherské Hradiště, Mařatice, Jaroslava Staňka 861, PSČ 68605</t>
  </si>
  <si>
    <t>Deskol, z.s.</t>
  </si>
  <si>
    <t>Ostrožská Lhota 331, PSČ 68723</t>
  </si>
  <si>
    <t>Destinace Slovácká jezera z.s.</t>
  </si>
  <si>
    <t>Ostrožská Nová Ves, Nádražní 1010, PSČ 68722</t>
  </si>
  <si>
    <t>"DĚTEM", obecně prospěšná společnost</t>
  </si>
  <si>
    <t>Zlín, Kvítková 3958, PSČ 76001</t>
  </si>
  <si>
    <t>Děti - naše naděje, z. s.</t>
  </si>
  <si>
    <t>Valašské Meziříčí, Křížkovského 60/8, PSČ 75701</t>
  </si>
  <si>
    <t>DĚTI ČERNÉ HORY, z.s.</t>
  </si>
  <si>
    <t>Dolní Bečva 318, PSČ 75655</t>
  </si>
  <si>
    <t>Děti Valu, z. s.</t>
  </si>
  <si>
    <t>Valašské Meziříčí, U Abácie 1571, PSČ 75701</t>
  </si>
  <si>
    <t>Dětská skupina - Konec nudy z.s.</t>
  </si>
  <si>
    <t>Zlín, Hluboká 789, PSČ 76001</t>
  </si>
  <si>
    <t>Dětské centrum Beruška z.s.</t>
  </si>
  <si>
    <t>Zlín, Ševcovská 3350, PSČ 76001</t>
  </si>
  <si>
    <t>Dětské centrum VLNKA z.s.</t>
  </si>
  <si>
    <t>Zlín, Okružní 5491, PSČ 76005</t>
  </si>
  <si>
    <t>Dětské sportovní centrum KOŤATA A KOCOUŘI ZLÍN z.ú.</t>
  </si>
  <si>
    <t>Zlín, Slunečná 4560, PSČ 76005</t>
  </si>
  <si>
    <t>„Dětské studio BAMBINO”</t>
  </si>
  <si>
    <t>Buchlovice, K Buchlovu 694, PSČ 68708</t>
  </si>
  <si>
    <t>Dětský folklorní soubor Bílovjánek, z.s.</t>
  </si>
  <si>
    <t>Dětský folklorní soubor Dolinečka, spolek</t>
  </si>
  <si>
    <t>Dětský folklorní soubor Klimentek, z.s.</t>
  </si>
  <si>
    <t>Osvětimany 350, PSČ 68742</t>
  </si>
  <si>
    <t>Dětský folklórní soubor KOPANIČÁREK, spolek, Starý Hrozenkov</t>
  </si>
  <si>
    <t>Dětský folklórní soubor OLŠAVĚNKA z. s.</t>
  </si>
  <si>
    <t>Dětský folklorní soubor Omladinka, z.s.</t>
  </si>
  <si>
    <t>Uherské Hradiště, Vodní 110, PSČ 68601</t>
  </si>
  <si>
    <t>Dětský folklorní soubor Ovečky, zapsaný spolek</t>
  </si>
  <si>
    <t>Valašské Meziříčí, Nerudova 635/29, PSČ 75701</t>
  </si>
  <si>
    <t>Dětský folklorní soubor VRANEČKA z.s.</t>
  </si>
  <si>
    <t>Nový Hrozenkov 845, PSČ 75604</t>
  </si>
  <si>
    <t>Dětský hokej, z.s.</t>
  </si>
  <si>
    <t>Bílovice 460, PSČ 68712</t>
  </si>
  <si>
    <t>Dětský lesní klub Jabloňka, z.s.</t>
  </si>
  <si>
    <t>Uherský Brod, Újezdec, 1. května 226, PSČ 68734</t>
  </si>
  <si>
    <t>DĚTSKÝ SPORTOVNÍ KLUB DRÁČEK z.s.</t>
  </si>
  <si>
    <t>Kroměříž, Kotojedská 2590/6, PSČ 76701</t>
  </si>
  <si>
    <t>Dětský svět, z.s.</t>
  </si>
  <si>
    <t>Uherský Brod, nám. Svobody 937, PSČ 68801</t>
  </si>
  <si>
    <t>Dětský valašský soubor Malá Rusava, z.s.</t>
  </si>
  <si>
    <t>Bystřice pod Hostýnem, Fryčajova 901, PSČ 76861</t>
  </si>
  <si>
    <t>Děvčice z Kněžpola z.s.</t>
  </si>
  <si>
    <t>Kněžpole 336, PSČ 68712</t>
  </si>
  <si>
    <t>DEVERTICULUM o.s.</t>
  </si>
  <si>
    <t>DEVILS BIKES</t>
  </si>
  <si>
    <t>Uherské Hradiště, náměstí Republiky 941, PSČ 686 01</t>
  </si>
  <si>
    <t>DH Březovjané, z.s.</t>
  </si>
  <si>
    <t>Březová 26, PSČ 68767</t>
  </si>
  <si>
    <t>DH Dolněmčanka, z.s.</t>
  </si>
  <si>
    <t>"Diabetes a já o.s."</t>
  </si>
  <si>
    <t>Kroměříž, Vážany, Osvoboditelů 67/34, PSČ 76701</t>
  </si>
  <si>
    <t>Diakonie ČCE - středisko CESTA</t>
  </si>
  <si>
    <t>Uherské Hradiště, Na Stavidle 1266, PSČ 68601</t>
  </si>
  <si>
    <t>Diakonie ČCE - středisko Vsetín</t>
  </si>
  <si>
    <t>Vsetín, Strmá 34, PSČ 75501</t>
  </si>
  <si>
    <t>Diakonie Valašské Meziříčí</t>
  </si>
  <si>
    <t>Valašské Meziříčí, Žerotínova 1421, PSČ 75701</t>
  </si>
  <si>
    <t>DIALOGO O.S.</t>
  </si>
  <si>
    <t>Bystřice pod Hostýnem, Topolová 1510, PSČ 76861</t>
  </si>
  <si>
    <t>Didasko, z. s.</t>
  </si>
  <si>
    <t>DiscGolf Club Zlín, z. s.</t>
  </si>
  <si>
    <t>Zlín, Na Honech I 4902, PSČ 76005</t>
  </si>
  <si>
    <t>DISPEČERKA ZLÍN, o.s.</t>
  </si>
  <si>
    <t>Valašské Meziříčí, Žerotínova 226, PSČ 75701</t>
  </si>
  <si>
    <t>Dispozitiv, z. s.</t>
  </si>
  <si>
    <t>Valašské Meziříčí, Bynina 145, PSČ 75701</t>
  </si>
  <si>
    <t>Divadelní Luhačovice, z.s.</t>
  </si>
  <si>
    <t>Luhačovice, Masarykova 185, PSČ 76326</t>
  </si>
  <si>
    <t>Divadelní soubor VIDLO Vizovice</t>
  </si>
  <si>
    <t>Vizovice, Chrastěšovská 781, PSČ 76312</t>
  </si>
  <si>
    <t>Divadelní soubor XNĚDKU VSETÍN</t>
  </si>
  <si>
    <t>Vsetín, Jiráskova 1813, PSČ 75501</t>
  </si>
  <si>
    <t>Divadelní společnost J.K.Tyla Buchlovice, z.s.</t>
  </si>
  <si>
    <t>Buchlovice, Boženy Němcové 584, PSČ 68708</t>
  </si>
  <si>
    <t>Divadelní spolek Břest</t>
  </si>
  <si>
    <t>Břest 87, PSČ 76823</t>
  </si>
  <si>
    <t>divadelní spolek BUMBÁC</t>
  </si>
  <si>
    <t>Hluk, Mladá 779, PSČ 68725</t>
  </si>
  <si>
    <t>Divadelní spolek CHAOS</t>
  </si>
  <si>
    <t>Valašská Bystřice 222, PSČ 75627</t>
  </si>
  <si>
    <t>Divadelní spolek D6K</t>
  </si>
  <si>
    <t>Holešov, Střelnice 202/10, PSČ 76901</t>
  </si>
  <si>
    <t>Divadelní spolek Haleny, z. s.</t>
  </si>
  <si>
    <t>Halenkovice 787, PSČ 76363</t>
  </si>
  <si>
    <t>Divadelní spolek Jana Honsy Karolinka</t>
  </si>
  <si>
    <t>Karolinka, Radniční náměstí 42, PSČ 75605</t>
  </si>
  <si>
    <t>Divadelní spolek Jestli vůbec</t>
  </si>
  <si>
    <t>Valašské Meziříčí, Havlíčkova 1180, PSČ 75701</t>
  </si>
  <si>
    <t>Divadelní spolek Kroměříž z.s.</t>
  </si>
  <si>
    <t>Kroměříž, Prusinovského 114/2, PSČ 76701</t>
  </si>
  <si>
    <t>Divadelní spolek Neřešto</t>
  </si>
  <si>
    <t>Police</t>
  </si>
  <si>
    <t>Police 142, PSČ 75644</t>
  </si>
  <si>
    <t>Divadelní spolek "Pod lampú" Bánov, z.s.</t>
  </si>
  <si>
    <t>“Divadelní spolek pro povznesení kulturní negramotnosti”</t>
  </si>
  <si>
    <t>Uherské Hradiště, Míkovice, Na Příkopě 12, PSČ 68609</t>
  </si>
  <si>
    <t>Divadelní spolek Slavkov pod Hostýnem</t>
  </si>
  <si>
    <t>Slavkov pod Hostýnem 57, PSČ 76861</t>
  </si>
  <si>
    <t>Divadelní spolek Studio T, z.s.</t>
  </si>
  <si>
    <t>Divadelní spolek UH, o.s.</t>
  </si>
  <si>
    <t>Divadelní studio Viktorka z.s.</t>
  </si>
  <si>
    <t>Holešov, Všetuly, Družby 1381, PSČ 76901</t>
  </si>
  <si>
    <t>Divadelní studio Yvetty Tannenbergerové, o.p.s.</t>
  </si>
  <si>
    <t>Uherské Hradiště, Tř. Maršála Malinovského 790, PSČ 68601</t>
  </si>
  <si>
    <t>Divadlo BLIC, z. s.</t>
  </si>
  <si>
    <t>Ostrožská Nová Ves, Záhumení 754, PSČ 68722</t>
  </si>
  <si>
    <t>DIVADLO BROD, spolek</t>
  </si>
  <si>
    <t>Divadlo Hulín z.s.</t>
  </si>
  <si>
    <t>Hulín, Poštovní 480, PSČ 76824</t>
  </si>
  <si>
    <t>Divadlo kamaráda Toma</t>
  </si>
  <si>
    <t>Valašské Klobouky, Cyrilometodějská 645, PSČ 76601</t>
  </si>
  <si>
    <t>Divadlo Meteora, z.s.</t>
  </si>
  <si>
    <t>Vsetín, Lidická 1969, PSČ 75501</t>
  </si>
  <si>
    <t>Divadlo OPONA, z. s.</t>
  </si>
  <si>
    <t>Želechovice nad Dřevnicí, 4. května 68, PSČ 76311</t>
  </si>
  <si>
    <t>Divadlo PAŘEZ</t>
  </si>
  <si>
    <t>Slavičín, Družstevní 670, PSČ 76321</t>
  </si>
  <si>
    <t>DIVADLO PRO RADOST</t>
  </si>
  <si>
    <t>Uherské Hradiště, Mařatice, Konečná 983, PSČ 68605</t>
  </si>
  <si>
    <t>„Divadlo Příběh Otrokovice, o.s.”</t>
  </si>
  <si>
    <t>Otrokovice, Prostřední 444, PSČ 76502</t>
  </si>
  <si>
    <t>Divadlo Schod z.s.</t>
  </si>
  <si>
    <t>Zašová 472, PSČ 75651</t>
  </si>
  <si>
    <t>Divadlo v Lidovém domě, z.s.</t>
  </si>
  <si>
    <t>Vsetín, Mostecká 362, PSČ 75501</t>
  </si>
  <si>
    <t>Diva-ženy, z. s.</t>
  </si>
  <si>
    <t>Brumov-Bylnice, Brumov, Rozkvět 707, PSČ 76331</t>
  </si>
  <si>
    <t>Dívčí fotbalový klub Holešov, z.s.</t>
  </si>
  <si>
    <t>Holešov, Tyršova 1561, PSČ 76901</t>
  </si>
  <si>
    <t>Dívčí saxofonový orchestr, z.s.</t>
  </si>
  <si>
    <t>Luhačovice, Leoše Janáčka 854, PSČ 76326</t>
  </si>
  <si>
    <t>DiveClub Vsetín, z.s.</t>
  </si>
  <si>
    <t>Vsetín, Josefa Sousedíka 1730, PSČ 75501</t>
  </si>
  <si>
    <t>Divinum Wallachian Choir ženský pěvecký sbor, z.s.</t>
  </si>
  <si>
    <t>Prlov</t>
  </si>
  <si>
    <t>Prlov 162, PSČ 75611</t>
  </si>
  <si>
    <t>Dixseal, o.s.</t>
  </si>
  <si>
    <t>D+K Valašské Meziříčí</t>
  </si>
  <si>
    <t>Valašské Meziříčí, Vsetínská 553, PSČ 75701</t>
  </si>
  <si>
    <t>Dlaně, z.s.</t>
  </si>
  <si>
    <t>Hulín, Kostelní 139, PSČ 76824</t>
  </si>
  <si>
    <t>DMFM z. s.</t>
  </si>
  <si>
    <t>Morkovice-Slížany, Morkovice, Nádražní 17, PSČ 76833</t>
  </si>
  <si>
    <t>Halenkovice 680, PSČ 76363</t>
  </si>
  <si>
    <t>Dobrá nálada Vítová</t>
  </si>
  <si>
    <t>Fryšták, Vítová 26, PSČ 76316</t>
  </si>
  <si>
    <t>DOBRÁ neziskovka z.s.</t>
  </si>
  <si>
    <t>Programování</t>
  </si>
  <si>
    <t>Dobré ruce, z.s.</t>
  </si>
  <si>
    <t>Zlín, Nad Vývozem 4822, PSČ 76005</t>
  </si>
  <si>
    <t>Dobrovolná záchranářská brigáda UTB</t>
  </si>
  <si>
    <t>Uherské Hradiště, Mařatice, Studentské náměstí 1532, PSČ 68601</t>
  </si>
  <si>
    <t>Dobrovolné rybářské sdružení Skaštice, z.s.</t>
  </si>
  <si>
    <t>Skaštice 3, PSČ 76701</t>
  </si>
  <si>
    <t>DOCK O.S.</t>
  </si>
  <si>
    <t>Kostelany nad Moravou 72, PSČ 68601</t>
  </si>
  <si>
    <t>Dodgeball Olomouc z. s.</t>
  </si>
  <si>
    <t>Zlín, Mladcová, Návesní 14, PSČ 76001</t>
  </si>
  <si>
    <t>DOGSWELL z.s.</t>
  </si>
  <si>
    <t>Kelč, Babice 34, PSČ 75643</t>
  </si>
  <si>
    <t>Dohled na dosah, z.s.</t>
  </si>
  <si>
    <t>DOK</t>
  </si>
  <si>
    <t>Dokkálfar z. s.</t>
  </si>
  <si>
    <t>Šumice 245, PSČ 68731</t>
  </si>
  <si>
    <t>Dokopy, zapsaný spolek</t>
  </si>
  <si>
    <t>Vlachovice 115, PSČ 76324</t>
  </si>
  <si>
    <t>Dolly Team Otrokovice 1992</t>
  </si>
  <si>
    <t>Otrokovice, K. Čapka 1256, PSČ 76502</t>
  </si>
  <si>
    <t>"Dolňáci cimbálová muzika, z.s."</t>
  </si>
  <si>
    <t>Staré Město, Nerudova 1406, PSČ 68603</t>
  </si>
  <si>
    <t>Dolní Kudlov, z.s.</t>
  </si>
  <si>
    <t>Holešov, Osvobození 1378, PSČ 76901</t>
  </si>
  <si>
    <t>Dolnolhotský triatlon, z.s.</t>
  </si>
  <si>
    <t>Dolní Lhota 158, PSČ 76323</t>
  </si>
  <si>
    <t>Doma v srdci, z. s.</t>
  </si>
  <si>
    <t>Uherské Hradiště, Otakarova 1523, PSČ 68601</t>
  </si>
  <si>
    <t>Domek - prevence, podpora, výchova, vzdělávání, terapie, z. s.</t>
  </si>
  <si>
    <t>Zlín, Lužkovice, Pod Tvrzí 62, PSČ 76311</t>
  </si>
  <si>
    <t>DOMINO cz, o. p. s.</t>
  </si>
  <si>
    <t>Zlín, třída Tomáše Bati 3244, PSČ 76001</t>
  </si>
  <si>
    <t>Domkářský singulární spolek v Komni</t>
  </si>
  <si>
    <t>Lesnictví a těžba dřeva</t>
  </si>
  <si>
    <t>Domov Důstojnost  - Kout na Šumavě z.ú.</t>
  </si>
  <si>
    <t>Kroměříž, náměstí Míru 3287/13, PSČ 76701</t>
  </si>
  <si>
    <t>Domov Důstojnost - Kroměříž z.ú.</t>
  </si>
  <si>
    <t>Vsetín, Jasenická 1362, PSČ 75501</t>
  </si>
  <si>
    <t>Dotační servis o.s.</t>
  </si>
  <si>
    <t>Zlín, Prštné, Jiráskova 577, PSČ 76001</t>
  </si>
  <si>
    <t>Dovolte Nám platit dluhy z.s.</t>
  </si>
  <si>
    <t>Uherské Hradiště, náměstí Republiky 956, PSČ 68601</t>
  </si>
  <si>
    <t>dp Lukostřelba Zlín z.s.</t>
  </si>
  <si>
    <t>Zlín, Osvoboditelů 3778, PSČ 76001</t>
  </si>
  <si>
    <t>Dračí lodě Ostrožská Nová Ves</t>
  </si>
  <si>
    <t>Ostrožská Nová Ves, Chylice, Na rybníčku 284, PSČ 68722</t>
  </si>
  <si>
    <t>DRÁSAL TEAM HOLEŠOV z.s.</t>
  </si>
  <si>
    <t>Holešov, Střelnice 208/47, PSČ 76901</t>
  </si>
  <si>
    <t>Dreams Country Zlín</t>
  </si>
  <si>
    <t>Zlín, Na Honech 4899, PSČ 760 01</t>
  </si>
  <si>
    <t>Drgis Racing Team z.s.</t>
  </si>
  <si>
    <t>Újezd 390, PSČ 76325</t>
  </si>
  <si>
    <t>DRIVER ZONE</t>
  </si>
  <si>
    <t>Valašské Meziříčí, Poláškova 76/8, PSČ 75701</t>
  </si>
  <si>
    <t>"Dr.Range o.s."</t>
  </si>
  <si>
    <t>Staré Město, Kopánky 1725, PSČ 68603</t>
  </si>
  <si>
    <t>Družstevník Střílky, z.s.</t>
  </si>
  <si>
    <t>Střílky, Zámecká 317, PSČ 76804</t>
  </si>
  <si>
    <t>Družstvo lidového domu v Novém Hrozenkově</t>
  </si>
  <si>
    <t>Drymtym Holešov</t>
  </si>
  <si>
    <t>Holešov, Novosady 1366, PSČ 76901</t>
  </si>
  <si>
    <t>Dřínovský spolek pro místní historii</t>
  </si>
  <si>
    <t>Dřínov</t>
  </si>
  <si>
    <t>Dřínov 28, PSČ 76833</t>
  </si>
  <si>
    <t>DS Jednička z. s.</t>
  </si>
  <si>
    <t>Staré Město, Salašská 2182, PSČ 68603</t>
  </si>
  <si>
    <t>Činnosti cestovních agentur</t>
  </si>
  <si>
    <t>DSK Rybníček z. s.</t>
  </si>
  <si>
    <t>DT Swiss Bike Team</t>
  </si>
  <si>
    <t>Otrokovice, Wolkerova 1273, PSČ 76502</t>
  </si>
  <si>
    <t>DTJ Krhová-Valašské Meziříčí</t>
  </si>
  <si>
    <t>DTJ Valašské Meziříčí</t>
  </si>
  <si>
    <t>Valašské Meziříčí, Sokolská 1089, PSČ 75701</t>
  </si>
  <si>
    <t>DTJ Zubří</t>
  </si>
  <si>
    <t>"DUCHÁRNA"</t>
  </si>
  <si>
    <t>Zlín, Družstevní 4510, PSČ 76005</t>
  </si>
  <si>
    <t>Duha Děti slunce</t>
  </si>
  <si>
    <t>Kunovice, Záhumní 602, PSČ 68604</t>
  </si>
  <si>
    <t>Duha Keška</t>
  </si>
  <si>
    <t>Kroměříž, Purkyňova 501/1C, PSČ 76701</t>
  </si>
  <si>
    <t>Duha Světlov Bojkovice</t>
  </si>
  <si>
    <t>Bojkovice, Štefánikova 640, PSČ 68771</t>
  </si>
  <si>
    <t>DUKLASPORT-Zlín</t>
  </si>
  <si>
    <t>Dům Ludkovice, z.s.</t>
  </si>
  <si>
    <t>Ludkovice</t>
  </si>
  <si>
    <t>Ludkovice 9, PSČ 76341</t>
  </si>
  <si>
    <t>Dům modlitby, z. s.</t>
  </si>
  <si>
    <t>Duša ZEmě, z.s.</t>
  </si>
  <si>
    <t>Horní Bečva 992, PSČ 75657</t>
  </si>
  <si>
    <t>Maloobchod s převahou potravin, nápojů a tabákových výrobků v nespecializovaných prodejnách</t>
  </si>
  <si>
    <t>DUŠE ZPÍVEJ, z.s., centrum pro podporu kulturních aktivit</t>
  </si>
  <si>
    <t>Zlín, A. Randýskové 1733, PSČ 76001</t>
  </si>
  <si>
    <t>DVD Klub</t>
  </si>
  <si>
    <t>Vsetín, Svornosti 1664, PSČ 75501</t>
  </si>
  <si>
    <t>Dynamic Fryšták, z.s.</t>
  </si>
  <si>
    <t>Fryšták, náměstí Míru 6, PSČ 76316</t>
  </si>
  <si>
    <t>DYSKLUB Kroměříž</t>
  </si>
  <si>
    <t>Kroměříž, Jánská 197/9, PSČ 76701</t>
  </si>
  <si>
    <t>Džas jekhetane jekhe dromeha</t>
  </si>
  <si>
    <t>Valašské Meziříčí, Krásno nad Bečvou, Václavkova 817, PSČ 75701</t>
  </si>
  <si>
    <t>Dživ Lačes z.s.</t>
  </si>
  <si>
    <t>Vsetín, Jiráskova 1126, PSČ 75501</t>
  </si>
  <si>
    <t>E - line</t>
  </si>
  <si>
    <t>Zlín, Prštné, Nerudova 167, PSČ 76001</t>
  </si>
  <si>
    <t>easymove, z.s.</t>
  </si>
  <si>
    <t>Zlín, nám. T. G. Masaryka 588, PSČ 76001</t>
  </si>
  <si>
    <t>Překladatelské a tlumočnické činnosti</t>
  </si>
  <si>
    <t>Ecce homo - Nadace na podporu hospiců</t>
  </si>
  <si>
    <t>Staré Město, Huštěnovská 492, PSČ 68603</t>
  </si>
  <si>
    <t>ECOCENT o.s.</t>
  </si>
  <si>
    <t>Zlín, Na honech 4932</t>
  </si>
  <si>
    <t>ECOsmile, z.s.</t>
  </si>
  <si>
    <t>Uherské Hradiště, Nádražní 29, PSČ 68601</t>
  </si>
  <si>
    <t>Výroba potravinářských výrobků</t>
  </si>
  <si>
    <t>Výroba oděvů</t>
  </si>
  <si>
    <t>Výroba papíru a výrobků z papíru</t>
  </si>
  <si>
    <t>Podpůrné činnosti pro zemědělství a posklizňové činnosti</t>
  </si>
  <si>
    <t>Výroba skla a skleněných výrobků</t>
  </si>
  <si>
    <t>Povrchová úprava a zušlechťování kovů; obrábění</t>
  </si>
  <si>
    <t>Lesní hospodářství a jiné činnosti v oblasti lesnictví</t>
  </si>
  <si>
    <t>Eda Nezbeda a spol., z.s.</t>
  </si>
  <si>
    <t>Zlín, Příluky, Přílucká 4119, PSČ 76001</t>
  </si>
  <si>
    <t>Edu Consulting, z.ú.</t>
  </si>
  <si>
    <t>Záhorovice 92, PSČ 68771</t>
  </si>
  <si>
    <t>Opravy kovodělných výrobků, strojů a zařízení</t>
  </si>
  <si>
    <t>EDU Rožnov z.s.</t>
  </si>
  <si>
    <t>Rožnov pod Radhoštěm, Polanského 1625, PSČ 75661</t>
  </si>
  <si>
    <t>Educational group, z. s.</t>
  </si>
  <si>
    <t>Otrokovice, Čechova 1381, PSČ 76502</t>
  </si>
  <si>
    <t>EDUCOL, o. p. s.</t>
  </si>
  <si>
    <t>eduKačka, nadační fond</t>
  </si>
  <si>
    <t>Kateřinice 242, PSČ 75621</t>
  </si>
  <si>
    <t>EDUKAČNÍ CENTRUM HVĚZDA, o.p.s.</t>
  </si>
  <si>
    <t>Zlín, Obeciny XII 3639, PSČ 76001</t>
  </si>
  <si>
    <t>EDUKRO, z. s.</t>
  </si>
  <si>
    <t>Kroměříž, U Rejdiště 3498/8, PSČ 76701</t>
  </si>
  <si>
    <t>EDU-SCHOOL CONSULTANT, z. s.</t>
  </si>
  <si>
    <t>Uherské Hradiště, Jarošov, Pivovarská 273, PSČ 68601</t>
  </si>
  <si>
    <t>EFEKT, o.s.</t>
  </si>
  <si>
    <t>Jasenná 176, PSČ 76313</t>
  </si>
  <si>
    <t>Egeria, z. s.</t>
  </si>
  <si>
    <t>Otrokovice, Obchodní 1324, PSČ 76502</t>
  </si>
  <si>
    <t>EK-OÁZA</t>
  </si>
  <si>
    <t>Vápenice</t>
  </si>
  <si>
    <t>Vápenice 73, PSČ 68774</t>
  </si>
  <si>
    <t>Ekocentrum BESKYDY</t>
  </si>
  <si>
    <t>Rožnov pod Radhoštěm, Kulturní 1764, PSČ 75661</t>
  </si>
  <si>
    <t>Ekologické sdružení obce Skaštice, o.s.</t>
  </si>
  <si>
    <t>Skaštice 108, PSČ 76701</t>
  </si>
  <si>
    <t>Ekologické sdružení Zahrada Moravy Boršice,  z.s.</t>
  </si>
  <si>
    <t>Ekostudio, o.s.</t>
  </si>
  <si>
    <t>Elektrica Musica z. s.</t>
  </si>
  <si>
    <t>Tečovice 323, PSČ 76302</t>
  </si>
  <si>
    <t>Elim Vsetín, o.p.s.</t>
  </si>
  <si>
    <t>Vsetín, Horní Jasenka 119, PSČ 75501</t>
  </si>
  <si>
    <t>Elite swim, z.s.</t>
  </si>
  <si>
    <t>Uherské Hradiště, Mařatice, Slovácká 1717, PSČ 68601</t>
  </si>
  <si>
    <t>EMBAYA o.s.</t>
  </si>
  <si>
    <t>Prostřední Bečva 413, PSČ 75656</t>
  </si>
  <si>
    <t>EMDEST</t>
  </si>
  <si>
    <t>Zlín - Kostelec 286, PSČ 763 14</t>
  </si>
  <si>
    <t>eM-NET</t>
  </si>
  <si>
    <t>Horní Němčí 252, PSČ 68764</t>
  </si>
  <si>
    <t>ENDOCHIRURGIE - 31, nadační fond</t>
  </si>
  <si>
    <t>Zlín, Kvítková 540, PSČ 76001</t>
  </si>
  <si>
    <t>ENDURO TEAM SLOVÁCKO z.s.</t>
  </si>
  <si>
    <t>Ořechov</t>
  </si>
  <si>
    <t>Ořechov 305, PSČ 68737</t>
  </si>
  <si>
    <t>Energetická agentura Zlínského kraje, o.p.s.</t>
  </si>
  <si>
    <t>Zlín, třída Tomáše Bati 21, PSČ 76001</t>
  </si>
  <si>
    <t>Energetické společenství Zlín, z.s.</t>
  </si>
  <si>
    <t>Zlín, Družstevní 4651, PSČ 76005</t>
  </si>
  <si>
    <t>Energie pro všechny</t>
  </si>
  <si>
    <t>ENERKOM Buchlov, z. s.</t>
  </si>
  <si>
    <t>Buchlovice, náměstí Svobody 800, PSČ 68708</t>
  </si>
  <si>
    <t>ENERKOM Moštěnka, z.s.</t>
  </si>
  <si>
    <t>Rymice 4, PSČ 76901</t>
  </si>
  <si>
    <t>ENERKOM Slovácko, z. s.</t>
  </si>
  <si>
    <t>Suchá Loz 72, PSČ 68753</t>
  </si>
  <si>
    <t>ENERKOM Valašsko, z.s.</t>
  </si>
  <si>
    <t>Zašová 523, PSČ 75651</t>
  </si>
  <si>
    <t>Výroba a rozvod elektřiny, plynu, tepla a klimatizovaného vzduchu</t>
  </si>
  <si>
    <t>Výroba, přenos a rozvod elektřiny</t>
  </si>
  <si>
    <t>Inženýrské činnosti a související technické poradenství</t>
  </si>
  <si>
    <t>Instalace průmyslových strojů a zařízení</t>
  </si>
  <si>
    <t>Obchod s elektřinou</t>
  </si>
  <si>
    <t>Výstavba nebytových budov</t>
  </si>
  <si>
    <t>Činnosti vedení podniků</t>
  </si>
  <si>
    <t>ENERSOL CZECH, z. s.</t>
  </si>
  <si>
    <t>Ludslavice</t>
  </si>
  <si>
    <t>Ludslavice 133, PSČ 76852</t>
  </si>
  <si>
    <t>ENVIROMENTAL PROTECTION ENTITY z.s.</t>
  </si>
  <si>
    <t>Suchá Loz 421, PSČ 68753</t>
  </si>
  <si>
    <t>Environmentální ústav KOTVICE, z.ú.</t>
  </si>
  <si>
    <t>„Envitrio - zdravé Mysločovice o.s.”</t>
  </si>
  <si>
    <t>Mysločovice</t>
  </si>
  <si>
    <t>Mysločovice 119, PSČ 76301</t>
  </si>
  <si>
    <t>EPS aktivity, z.s.</t>
  </si>
  <si>
    <t>Kunovice, V Pastouškách 205, PSČ 68604</t>
  </si>
  <si>
    <t>Geologický průzkum</t>
  </si>
  <si>
    <t>EQUIFEED TEAM z. s.</t>
  </si>
  <si>
    <t>Holešov, Všetuly, Sokolská 506, PSČ 76901</t>
  </si>
  <si>
    <t>Erasmus Student Network Zlin, z.s.</t>
  </si>
  <si>
    <t>Zlín, Růmy 4046, PSČ 76001</t>
  </si>
  <si>
    <t>Lešná, Vysoká 46, PSČ 75641</t>
  </si>
  <si>
    <t>eridani energy, z.s.</t>
  </si>
  <si>
    <t>Vsetín, Horní náměstí 3, PSČ 75501</t>
  </si>
  <si>
    <t>E-RIVALS z.s.</t>
  </si>
  <si>
    <t>Nivnice, Sadová 202, PSČ 68751</t>
  </si>
  <si>
    <t>ERKO Esports z. s.</t>
  </si>
  <si>
    <t>Napajedla, Smetanova 1500, PSČ 76361</t>
  </si>
  <si>
    <t>ES Česko z. s.</t>
  </si>
  <si>
    <t>Uherské Hradiště, Stojanova 508, PSČ 68601</t>
  </si>
  <si>
    <t>ES Česko z.s. pobočný spolek Electra</t>
  </si>
  <si>
    <t>Escargot, o.p.s.</t>
  </si>
  <si>
    <t>Zlín, Prštné, Nábřeží 216, PSČ 76001</t>
  </si>
  <si>
    <t>EUnity z. s.</t>
  </si>
  <si>
    <t>Hluk, Novoveská 987, PSČ 68725</t>
  </si>
  <si>
    <t>EUNOMIE</t>
  </si>
  <si>
    <t>Zlín, Obeciny XII 3636, PSČ 76001</t>
  </si>
  <si>
    <t>Výstavba bytových a nebytových budov</t>
  </si>
  <si>
    <t>Euro RC Rally Challenge z. s.</t>
  </si>
  <si>
    <t>Valašské Klobouky, Žaboskřeky 530, PSČ 76601</t>
  </si>
  <si>
    <t>EUROČÍNSKÁ ASOCIACE, z.s.</t>
  </si>
  <si>
    <t>Zlín, třída Tomáše Bati 87, PSČ 76001</t>
  </si>
  <si>
    <t>Nespecializovaný velkoobchod</t>
  </si>
  <si>
    <t>EUROFACTUM o.p.s.</t>
  </si>
  <si>
    <t>Suchá Loz 37, PSČ 68753</t>
  </si>
  <si>
    <t>EURO-WALLACHIA</t>
  </si>
  <si>
    <t>Valašské Meziříčí, Tolstého 466/1, PSČ 75701</t>
  </si>
  <si>
    <t>Eurythmea z.s.</t>
  </si>
  <si>
    <t>Zlín, Prštné, K. Světlé 488, PSČ 76001</t>
  </si>
  <si>
    <t>EVENTIS, o.p.s.</t>
  </si>
  <si>
    <t>Kelníky</t>
  </si>
  <si>
    <t>Kelníky 6, PSČ 76307</t>
  </si>
  <si>
    <t>EVOLVE GLOBAL, z. s.</t>
  </si>
  <si>
    <t>Koryčany, Blišice 151, PSČ 76805</t>
  </si>
  <si>
    <t>Evropa doma z.s.</t>
  </si>
  <si>
    <t>Kroměříž, Malý val 1539/49, PSČ 76701</t>
  </si>
  <si>
    <t>Evropská asociace výrobců lehkých letadel</t>
  </si>
  <si>
    <t>Slušovice, Zahradní 603, PSČ 76315</t>
  </si>
  <si>
    <t>EWH REJNOCI Zlín o.s.</t>
  </si>
  <si>
    <t>Vsetín, Luh 1806, PSČ 75501</t>
  </si>
  <si>
    <t>„EXEFIS„</t>
  </si>
  <si>
    <t>Zlín, Malenovice, I. Veselkové 984, PSČ 76302</t>
  </si>
  <si>
    <t>Expeleo z. s.</t>
  </si>
  <si>
    <t>Luhačovice, Družstevní 90, PSČ 76326</t>
  </si>
  <si>
    <t>Experiments.cz, z. s.</t>
  </si>
  <si>
    <t>Extreme Wheels Rožnov, z.s.</t>
  </si>
  <si>
    <t>FACE HOLEŠOV o.p.s.</t>
  </si>
  <si>
    <t>Holešov, Nerudova 320/18, PSČ 76901</t>
  </si>
  <si>
    <t>Fair Play Fryšták z.s.</t>
  </si>
  <si>
    <t>Fryšták, Holešovská 380, PSČ 76316</t>
  </si>
  <si>
    <t>Falcon Klub, z. s.</t>
  </si>
  <si>
    <t>Kvasice, Včelín 168, PSČ 76821</t>
  </si>
  <si>
    <t>Fan club Panthers Otrokovice</t>
  </si>
  <si>
    <t>Holešov, Havlíčkova 1220/8, PSČ 76901</t>
  </si>
  <si>
    <t>Fan klub EXARGEMA 1982-89, o.s.</t>
  </si>
  <si>
    <t>Tupesy 268, PSČ 68707</t>
  </si>
  <si>
    <t>FanClub Slovácko, z.s.</t>
  </si>
  <si>
    <t>Uherský Brod, Kpt. Kubíčka 1634, PSČ 68801</t>
  </si>
  <si>
    <t>FAN-HOR Nezdenice</t>
  </si>
  <si>
    <t>Nezdenice 191, PSČ 68732</t>
  </si>
  <si>
    <t>FAN´S CLUB HOKEJOVÉHO KLUBU VSETÍN</t>
  </si>
  <si>
    <t>FANTASIA</t>
  </si>
  <si>
    <t>Fantasy klub Dračí oko</t>
  </si>
  <si>
    <t>Koryčany, Kyjovská 83, PSČ 76805</t>
  </si>
  <si>
    <t>Farma pod Hostýnem z.s.</t>
  </si>
  <si>
    <t>Osíčko 160, PSČ 76861</t>
  </si>
  <si>
    <t>Farma pod Janovou horou z.s.</t>
  </si>
  <si>
    <t>Vizovice, Janova hora 466, PSČ 76312</t>
  </si>
  <si>
    <t>Farní sbor Českobratrské církve evangelické v Hošťálkové u Vsetína</t>
  </si>
  <si>
    <t>Hošťálková 23, PSČ 75622</t>
  </si>
  <si>
    <t>Farní sbor Českobratrské církve evangelické v Huslenkách</t>
  </si>
  <si>
    <t>Huslenky 439, PSČ 75602</t>
  </si>
  <si>
    <t>Farní sbor Českobratrské církve evangelické v Jablůnce</t>
  </si>
  <si>
    <t>Jablůnka 45, PSČ 75623</t>
  </si>
  <si>
    <t>Farní sbor Českobratrské církve evangelické v Jasenné</t>
  </si>
  <si>
    <t>Jasenná 108, PSČ 76313</t>
  </si>
  <si>
    <t>Farní sbor Českobratrské církve evangelické v Kateřinicích</t>
  </si>
  <si>
    <t>Kateřinice 226, PSČ 75621</t>
  </si>
  <si>
    <t>Farní sbor Českobratrské církve evangelické v Kroměříži</t>
  </si>
  <si>
    <t>Kroměříž, Riegrovo náměstí 147/37, PSČ 76701</t>
  </si>
  <si>
    <t>Farní sbor Českobratrské církve evangelické v Leskovci</t>
  </si>
  <si>
    <t>Leskovec 156, PSČ 75611</t>
  </si>
  <si>
    <t>Farní sbor Českobratrské církve evangelické v Liptálu</t>
  </si>
  <si>
    <t>Liptál 8, PSČ 75631</t>
  </si>
  <si>
    <t>Farní sbor Českobratrské církve evangelické v Pozděchově</t>
  </si>
  <si>
    <t>Pozděchov 121, PSČ 75611</t>
  </si>
  <si>
    <t>Farní sbor Českobratrské církve evangelické v Prusinovicích</t>
  </si>
  <si>
    <t>Prusinovice, Přerovská 174, PSČ 76842</t>
  </si>
  <si>
    <t>Farní sbor Českobratrské církve evangelické v Pržně</t>
  </si>
  <si>
    <t>Pržno 32, PSČ 75623</t>
  </si>
  <si>
    <t>Farní sbor Českobratrské církve evangelické v Ratiboři u Vsetína</t>
  </si>
  <si>
    <t>Ratiboř 221, PSČ 75621</t>
  </si>
  <si>
    <t>Farní sbor Českobratrské církve evangelické v Rusavě</t>
  </si>
  <si>
    <t>Rusava 28, PSČ 76841</t>
  </si>
  <si>
    <t>Farní sbor Českobratrské církve evangelické v Růžďce</t>
  </si>
  <si>
    <t>Růžďka</t>
  </si>
  <si>
    <t>Růžďka 138, PSČ 75625</t>
  </si>
  <si>
    <t>Farní sbor Českobratrské církve evangelické v Uherském Hradišti</t>
  </si>
  <si>
    <t>Uherské Hradiště, Jana Blahoslava 419, PSČ 68601</t>
  </si>
  <si>
    <t>Rekreační a ostatní krátkodobé ubytování</t>
  </si>
  <si>
    <t>Farní sbor Českobratrské církve evangelické v Zádveřicích - Rakové</t>
  </si>
  <si>
    <t>Zádveřice-Raková, Zádveřice 139, PSČ 76312</t>
  </si>
  <si>
    <t>Farní sbor Českobratrské církve evangelické ve Stříteži nad Bečvou</t>
  </si>
  <si>
    <t>Střítež nad Bečvou 120, PSČ 75652</t>
  </si>
  <si>
    <t>Farní sbor Českobratrské církve evangelické ve Valašském Meziříčí</t>
  </si>
  <si>
    <t>Farní sbor Českobratrské církve evangelické ve Velké Lhotě</t>
  </si>
  <si>
    <t>Velká Lhota 30, PSČ 75701</t>
  </si>
  <si>
    <t>Farní sbor Českobratrské církve evangelické ve Vizovicích</t>
  </si>
  <si>
    <t>Vizovice, Palackého Nám. 364, PSČ 76312</t>
  </si>
  <si>
    <t>Farní sbor Českobratrské církve evangelické ve Vsetíně (dolní sbor)</t>
  </si>
  <si>
    <t>Vsetín, Palackého 153, PSČ 75501</t>
  </si>
  <si>
    <t>Farní sbor Českobratrské církve evangelické ve Vsetíně (horní sbor)</t>
  </si>
  <si>
    <t>Vsetín, Palackého 156, PSČ 75501</t>
  </si>
  <si>
    <t>Farní sbor Českobratrské církve evangelické ve Zlíně</t>
  </si>
  <si>
    <t>Zlín, Slovenská 3063, PSČ 76001</t>
  </si>
  <si>
    <t>Fast piston's Bynina, spolek</t>
  </si>
  <si>
    <t>Valašské Meziříčí, Bynina 202, PSČ 75701</t>
  </si>
  <si>
    <t>Fauna park - dětský ráj, z.s.</t>
  </si>
  <si>
    <t>Valašské Meziříčí, Ve Stráni 347, PSČ 75701</t>
  </si>
  <si>
    <t>FAVORIT, sportovní cyklistický klub</t>
  </si>
  <si>
    <t>Kunovice, Letecká 1110, PSČ 68604</t>
  </si>
  <si>
    <t>FbC Dolní Němčí</t>
  </si>
  <si>
    <t>Dolní Němčí, Na Výsluní III 704, PSČ 68762</t>
  </si>
  <si>
    <t>FBC SLOVÁCKO</t>
  </si>
  <si>
    <t>Uherské Hradiště, Revoluční 747, PSČ 68606</t>
  </si>
  <si>
    <t>FBC Slušovice, z.s.</t>
  </si>
  <si>
    <t>Slušovice, Slunečná 310, PSČ 76315</t>
  </si>
  <si>
    <t>FBK Valašské Meziříčí z.s.</t>
  </si>
  <si>
    <t>Valašské Meziříčí, Šafaříkova 726/9, PSČ 75701</t>
  </si>
  <si>
    <t>FC AJAX Bezměrov z.s.</t>
  </si>
  <si>
    <t>Bezměrov 224, PSČ 76701</t>
  </si>
  <si>
    <t>FC Bánov z.s.</t>
  </si>
  <si>
    <t>Bánov 677, PSČ 68754</t>
  </si>
  <si>
    <t>„FC Berry Zlín”, o.s.</t>
  </si>
  <si>
    <t>Zlín, Na Honech I 4901, PSČ 76005</t>
  </si>
  <si>
    <t>FC Bizoni Uherské Hradiště, z.s.</t>
  </si>
  <si>
    <t>Uherské Hradiště, Sady, Tř. Maršála Malinovského 884, PSČ 68601</t>
  </si>
  <si>
    <t>FC Brumov, z.s.</t>
  </si>
  <si>
    <t>Brumov-Bylnice, Brumov, Družba 1177, PSČ 76331</t>
  </si>
  <si>
    <t>FC Dolní Bečva, spolek</t>
  </si>
  <si>
    <t>Dolní Bečva 340, PSČ 75655</t>
  </si>
  <si>
    <t>FC Doubravy, z.s.</t>
  </si>
  <si>
    <t>Doubravy 45, PSČ 76345</t>
  </si>
  <si>
    <t>FC Fastav Vsetín, z.s.</t>
  </si>
  <si>
    <t>Vsetín, Tyršova 2237, PSČ 75501</t>
  </si>
  <si>
    <t>FC Fryšták, z.s.</t>
  </si>
  <si>
    <t>Fryšták, Zlínská 260, PSČ 76316</t>
  </si>
  <si>
    <t>FC Koryčany z.s.</t>
  </si>
  <si>
    <t>Koryčany, Nad Zahradami 722, PSČ 76805</t>
  </si>
  <si>
    <t>FC Krhová 1940 z. s.</t>
  </si>
  <si>
    <t>Krhová, Bří Podmolů 441, PSČ 75663</t>
  </si>
  <si>
    <t>FC Kvasice z.s.</t>
  </si>
  <si>
    <t>Kvasice, Tlumačovská 681, PSČ 76821</t>
  </si>
  <si>
    <t>FC Lhota u Vsetína, z.s.</t>
  </si>
  <si>
    <t>Lhota u Vsetína</t>
  </si>
  <si>
    <t>Lhota u Vsetína 269, PSČ 75501</t>
  </si>
  <si>
    <t>FC Lhotka n.B., z.s.</t>
  </si>
  <si>
    <t>Lešná 36, PSČ 75641</t>
  </si>
  <si>
    <t>FC Malenovice, z.s.</t>
  </si>
  <si>
    <t>Zlín, Malenovice, třída Svobody 737, PSČ 76302</t>
  </si>
  <si>
    <t>FC Morkovice, z.s.</t>
  </si>
  <si>
    <t>Morkovice-Slížany, Morkovice, Kolaříkova 692, PSČ 76833</t>
  </si>
  <si>
    <t>Ostatní maloobchod v nespecializovaných prodejnách</t>
  </si>
  <si>
    <t>F.C. OLDSTARS Kroměříž</t>
  </si>
  <si>
    <t>Kroměříž, Francouzská 4021/4, PSČ 76701</t>
  </si>
  <si>
    <t>FC Plačkov</t>
  </si>
  <si>
    <t>Kroměříž, Nerudova 452/9, PSČ 76701</t>
  </si>
  <si>
    <t>FC RAK Provodov, z.s.</t>
  </si>
  <si>
    <t>FC Semetín, z.s.</t>
  </si>
  <si>
    <t>Vsetín, Semetín 1656, PSČ 75501</t>
  </si>
  <si>
    <t>FC Slovácko z.s.</t>
  </si>
  <si>
    <t>Uherské Hradiště, Stonky 566, PSČ 68601</t>
  </si>
  <si>
    <t>FC Slušovice z.s.</t>
  </si>
  <si>
    <t>Slušovice, Dlouhá 680</t>
  </si>
  <si>
    <t>FC START Mirošov, z.s.</t>
  </si>
  <si>
    <t>Valašské Klobouky, Mirošov 29, PSČ 76601</t>
  </si>
  <si>
    <t>FC Strání z.s.</t>
  </si>
  <si>
    <t>Strání, Rubanice 1093, PSČ 68765</t>
  </si>
  <si>
    <t>FC TOPOL OTROKOVICE</t>
  </si>
  <si>
    <t>Otrokovice, Dr. Stojana 492, PSČ 76502</t>
  </si>
  <si>
    <t>FC TVD Slavičín z.s.</t>
  </si>
  <si>
    <t>Slavičín, Školní 881, PSČ 76321</t>
  </si>
  <si>
    <t>FC Valašské Příkazy, z.s.</t>
  </si>
  <si>
    <t>Valašské Příkazy</t>
  </si>
  <si>
    <t>Valašské Příkazy 50, PSČ 75612</t>
  </si>
  <si>
    <t>FC Velké Karlovice + Karolinka z.s.</t>
  </si>
  <si>
    <t>F.C. VICTORIA KROMĚŘÍŽ</t>
  </si>
  <si>
    <t>Kroměříž, Rumunská 4046/12, PSČ 76701</t>
  </si>
  <si>
    <t>FC Vodafix Žítková, z.s.</t>
  </si>
  <si>
    <t>Žítková</t>
  </si>
  <si>
    <t>Žítková 194, PSČ 68774</t>
  </si>
  <si>
    <t>FC ZLÍNSKO, spolek</t>
  </si>
  <si>
    <t>Otrokovice, Kvítkovice, Zlínská 240, PSČ 76502</t>
  </si>
  <si>
    <t>Činnosti v oblasti nemovitostí</t>
  </si>
  <si>
    <t>FC ZUBŘÍ, z.s.</t>
  </si>
  <si>
    <t>Zubří, Sídliště 6. května 491, PSČ 75654</t>
  </si>
  <si>
    <t>FC Žlutava, z.s.</t>
  </si>
  <si>
    <t>Žlutava 191, PSČ 76361</t>
  </si>
  <si>
    <t>F-dur jazzband z. s.</t>
  </si>
  <si>
    <t>Zlín, Štefánikova 2987/91, PSČ 76001</t>
  </si>
  <si>
    <t>Fechtl team Břestek o.s.</t>
  </si>
  <si>
    <t>Břestek 182, PSČ 68708</t>
  </si>
  <si>
    <t>Federation of Bobcross International z.s.</t>
  </si>
  <si>
    <t>Rožnov pod Radhoštěm, Pionýrská 2819, PSČ 75661</t>
  </si>
  <si>
    <t>FÉNIX Kunovice - modelářský klub p. s.</t>
  </si>
  <si>
    <t>Kunovice, Novoveská 170, PSČ 68604</t>
  </si>
  <si>
    <t>Férové informace spotřebitelům, z.s.</t>
  </si>
  <si>
    <t>Zlín, Prštné, Vinohrady 62, PSČ 76001</t>
  </si>
  <si>
    <t>"FEST"</t>
  </si>
  <si>
    <t>Otrokovice, Hložkova 394, PSČ 76502</t>
  </si>
  <si>
    <t>FESŤÁČEK z.s.</t>
  </si>
  <si>
    <t>Liptál 395, PSČ 75631</t>
  </si>
  <si>
    <t>Festival světel Valašsko z.s.</t>
  </si>
  <si>
    <t>Valašské Meziříčí, Krásno nad Bečvou, Hranická 93, PSČ 75701</t>
  </si>
  <si>
    <t>FG DRIFT, z. s.</t>
  </si>
  <si>
    <t>Brumov-Bylnice, Brumov, J. Středovského 1078, PSČ 76331</t>
  </si>
  <si>
    <t>Fifty-Fifty z.s.</t>
  </si>
  <si>
    <t>Zlín, Větrná 4663, PSČ 76005</t>
  </si>
  <si>
    <t>Fighters centrum Spartakus Vsetín, spolek</t>
  </si>
  <si>
    <t>Vsetín, Na Hrázi 1570, PSČ 75501</t>
  </si>
  <si>
    <t>Filharmonie Bohuslava Martinů, o.p.s.</t>
  </si>
  <si>
    <t>Zlín, nám. T. G. Masaryka 5556, PSČ 76001</t>
  </si>
  <si>
    <t>Zprostředkovatelské činnosti realitních agentur</t>
  </si>
  <si>
    <t>Filia centrum, o.p.s.</t>
  </si>
  <si>
    <t>Leskovec 210, PSČ 75611</t>
  </si>
  <si>
    <t>Filmový klub Polešovice</t>
  </si>
  <si>
    <t>Polešovice 141, PSČ 68737</t>
  </si>
  <si>
    <t>Filmový klub ve Vsetíně z.s.</t>
  </si>
  <si>
    <t>Vsetín, nám. Svobody 2076, PSČ 75501</t>
  </si>
  <si>
    <t>Filmový klub Zlín o.s.</t>
  </si>
  <si>
    <t>Fireside Gatherings, z. s.</t>
  </si>
  <si>
    <t>Napajedla, třída Tomáše Bati 946, PSČ 76361</t>
  </si>
  <si>
    <t>Fish Team Dorado o.s.</t>
  </si>
  <si>
    <t>Ostrožská Nová Ves, Chylice, Na hrázi 275, PSČ 68722</t>
  </si>
  <si>
    <t>FIT JANA DANCE,z.s.</t>
  </si>
  <si>
    <t>Bystřice pod Hostýnem, Rychlov, Přerovská 165, PSČ 76861</t>
  </si>
  <si>
    <t>Fit klub Santa Monica</t>
  </si>
  <si>
    <t>Soběsuky</t>
  </si>
  <si>
    <t>Soběsuky 18, PSČ 76802</t>
  </si>
  <si>
    <t>Fit packy Kudlov, z.s.</t>
  </si>
  <si>
    <t>Zlín, Kudlov 97, PSČ 76001</t>
  </si>
  <si>
    <t>FIT-K.O. klub kulturistiky, fitness a bojových sportů z.s.</t>
  </si>
  <si>
    <t>Staré Město, Hradišťská 1955, PSČ 68603</t>
  </si>
  <si>
    <t>Fitness Trinity Holešov</t>
  </si>
  <si>
    <t>Holešov, Novosady 470/23, PSČ 76901</t>
  </si>
  <si>
    <t>Fit4life, z. s.</t>
  </si>
  <si>
    <t>Uherské Hradiště, Tyršovo náměstí 470, PSČ 68601</t>
  </si>
  <si>
    <t>FK - NEMATANT</t>
  </si>
  <si>
    <t>Hulín, U Stavu II 1251, PSČ 76824</t>
  </si>
  <si>
    <t>FK ARSENAL, o. s.</t>
  </si>
  <si>
    <t>Rožnov pod Radhoštěm, Čs. armády 1242, PSČ 75661</t>
  </si>
  <si>
    <t>FK Boršice u Blatnice z.s.</t>
  </si>
  <si>
    <t>Boršice u Blatnice 5, PSČ 68763</t>
  </si>
  <si>
    <t>FK Březová z.s.</t>
  </si>
  <si>
    <t>Březová 379, PSČ 68767</t>
  </si>
  <si>
    <t>FK Bystřice pod Hostýnem, z.s.</t>
  </si>
  <si>
    <t>Bystřice pod Hostýnem, Sportovní 1560, PSČ 76861</t>
  </si>
  <si>
    <t>FK Dolní Němčí, z.s.</t>
  </si>
  <si>
    <t>Dolní Němčí, U Stadionu 880, PSČ 68762</t>
  </si>
  <si>
    <t>FK Hřiban Salaš</t>
  </si>
  <si>
    <t>Salaš 145, Velehrad</t>
  </si>
  <si>
    <t>FK Hřiban Salaš 2022 z. s.</t>
  </si>
  <si>
    <t>FK Javořina, z.s.</t>
  </si>
  <si>
    <t>Slavkov</t>
  </si>
  <si>
    <t>Slavkov 114, PSČ 68764</t>
  </si>
  <si>
    <t>FK Komárno-Osíčko, z. s.</t>
  </si>
  <si>
    <t>Komárno</t>
  </si>
  <si>
    <t>Komárno 49, PSČ 76871</t>
  </si>
  <si>
    <t>FK Lhota, z. s.</t>
  </si>
  <si>
    <t>Lhota</t>
  </si>
  <si>
    <t>Lhota 247, PSČ 76302</t>
  </si>
  <si>
    <t>FK Luhačovice, z.s.</t>
  </si>
  <si>
    <t>Luhačovice, Hradisko 1029, PSČ 76326</t>
  </si>
  <si>
    <t>FK Lutonina, z.s.</t>
  </si>
  <si>
    <t>Lutonina 158, PSČ 76312</t>
  </si>
  <si>
    <t>FK Lužkovice - Želechovice, z.s.</t>
  </si>
  <si>
    <t>Zlín, Lužkovice, Pod Kopcem 234, PSČ 76311</t>
  </si>
  <si>
    <t>FK Ostrožská Nová Ves,z.s.</t>
  </si>
  <si>
    <t>Ostrožská Nová Ves, Nádražní 842, PSČ 68722</t>
  </si>
  <si>
    <t>FK Poteč z.s.</t>
  </si>
  <si>
    <t>Poteč</t>
  </si>
  <si>
    <t>Poteč 276, PSČ 76601</t>
  </si>
  <si>
    <t>FK Prostřední Bečva, z.s.</t>
  </si>
  <si>
    <t>Prostřední Bečva 427, PSČ 75656</t>
  </si>
  <si>
    <t>FK Příluky,spolek</t>
  </si>
  <si>
    <t>Zlín, Příluky, Cecilka 125, PSČ 76001</t>
  </si>
  <si>
    <t>FK Regmont Valašské Meziříčí</t>
  </si>
  <si>
    <t>Střítež nad Bečvou 242, PSČ 75652</t>
  </si>
  <si>
    <t>FK SMOLINA z.s.</t>
  </si>
  <si>
    <t>Valašské Klobouky, Smolina 90, PSČ 76601</t>
  </si>
  <si>
    <t>FK Starý Hrozenkov, z.s.</t>
  </si>
  <si>
    <t>Starý Hrozenkov 1, PSČ 68774</t>
  </si>
  <si>
    <t>FK Štípa, z.s.</t>
  </si>
  <si>
    <t>Zlín, Štípa, Ke Hřišti 665, PSČ 76314</t>
  </si>
  <si>
    <t>FK Uherský Ostroh, z.s.</t>
  </si>
  <si>
    <t>Uherský Ostroh, Ostrožské Předměstí, Na Zámecké 868, PSČ 68724</t>
  </si>
  <si>
    <t>FK Vigantice z. s.</t>
  </si>
  <si>
    <t>Vigantice 44, PSČ 75661</t>
  </si>
  <si>
    <t>FLK Zlechov z.s.</t>
  </si>
  <si>
    <t>Zlechov</t>
  </si>
  <si>
    <t>Zlechov 331, PSČ 68710</t>
  </si>
  <si>
    <t>Floorball Club Jablůnka, z. s.</t>
  </si>
  <si>
    <t>Jablůnka 365, PSČ 75623</t>
  </si>
  <si>
    <t>Florbal Holešov, z.s.</t>
  </si>
  <si>
    <t>Holešov, Sadová 1548, PSČ 76901</t>
  </si>
  <si>
    <t>Florbal Snipers Slavičín, z.s.</t>
  </si>
  <si>
    <t>Florbal Vsetín, z.s.</t>
  </si>
  <si>
    <t>Vsetín, Lázky 652, PSČ 75501</t>
  </si>
  <si>
    <t>„Florbalový klub Bánov, o. s.”</t>
  </si>
  <si>
    <t>Bánov 659, PSČ 68754</t>
  </si>
  <si>
    <t>Florbalový klub FbC Kohouti Olomouc o.s.</t>
  </si>
  <si>
    <t>Třebětice</t>
  </si>
  <si>
    <t>Třebětice 15, PSČ 76901</t>
  </si>
  <si>
    <t>Florbalový klub PANTHERS OTROKOVICE, z.s.</t>
  </si>
  <si>
    <t>Otrokovice, Mánesova 665, PSČ 76502</t>
  </si>
  <si>
    <t>Florbalový klub Zlín Lions, z. s.</t>
  </si>
  <si>
    <t>Zlín, Prštné, K. Světlé 422, PSČ 76001</t>
  </si>
  <si>
    <t>Florbalový klub Zlín, z.s.</t>
  </si>
  <si>
    <t>Zlín, Malenovice, Sokolovská 1154, PSČ 76302</t>
  </si>
  <si>
    <t>FogoHogo z.s.</t>
  </si>
  <si>
    <t>Holešov, U Letiště 1149/5, PSČ 76901</t>
  </si>
  <si>
    <t>Folklor a kultura v Podolí - Spolek</t>
  </si>
  <si>
    <t>Podolí 190, PSČ 68604</t>
  </si>
  <si>
    <t>Folklorní agentura Buchlov</t>
  </si>
  <si>
    <t>FOLKLÓRNÍ SDRUŽENÍ BABICA</t>
  </si>
  <si>
    <t>Hluk, Růžová 1122, PSČ 68725</t>
  </si>
  <si>
    <t>Folklórní sdružení CM Rusava</t>
  </si>
  <si>
    <t>Bystřice pod Hostýnem, Palackého 575, PSČ 76861</t>
  </si>
  <si>
    <t>Folklórní sdružení Polešovice, z.s.</t>
  </si>
  <si>
    <t>Polešovice 658, PSČ 68737</t>
  </si>
  <si>
    <t>Folklorní sdružení Prameny Fryšták</t>
  </si>
  <si>
    <t>Fryšták, náměstí Míru 2, PSČ 76316</t>
  </si>
  <si>
    <t>Folklorní sdružení Uherskobrodska</t>
  </si>
  <si>
    <t>Folklorní skupina Míkovice, z. s.</t>
  </si>
  <si>
    <t>Uherské Hradiště, Míkovice, Hlavní 292, PSČ 68609</t>
  </si>
  <si>
    <t>Folklorní soubor Cifra Uherské Hradiště, z.s.</t>
  </si>
  <si>
    <t>„Folklórní soubor Doliňáci”</t>
  </si>
  <si>
    <t>Staré Město, Sées 1992, PSČ 68603</t>
  </si>
  <si>
    <t>Folklorní soubor Horněmčí, z.s.</t>
  </si>
  <si>
    <t>Horní Němčí 108, PSČ 68764</t>
  </si>
  <si>
    <t>Folklorní soubor KALINA, z. s.</t>
  </si>
  <si>
    <t>Folklorní soubor Kohútek, z. s.</t>
  </si>
  <si>
    <t>Folklorní soubor Kunovjan, z.s.</t>
  </si>
  <si>
    <t>Folklorní soubor Lintava, z.s.</t>
  </si>
  <si>
    <t>Kunovice, Hliněná 1646, PSČ 68604</t>
  </si>
  <si>
    <t>Folklorní soubor Míkovjan z. s.</t>
  </si>
  <si>
    <t>Uherské Hradiště, Míkovice, Hlavní 233, PSČ 68609</t>
  </si>
  <si>
    <t>Folklorní soubor PENTLA, spolek</t>
  </si>
  <si>
    <t>Boršice 161, PSČ 68709</t>
  </si>
  <si>
    <t>Folklórní soubor Střešňa, z. s.</t>
  </si>
  <si>
    <t>Jalubí 392, PSČ 68705</t>
  </si>
  <si>
    <t>Folklorní soubor SVĚTLOVAN, z.s.</t>
  </si>
  <si>
    <t>Bojkovice, Husova 684, PSČ 68771</t>
  </si>
  <si>
    <t>Folklorní soubor Včelaran, z.s.</t>
  </si>
  <si>
    <t>Folklórní soubor VONICA 80 z.s.</t>
  </si>
  <si>
    <t>Folklorní spolek Holomňa</t>
  </si>
  <si>
    <t>Prakšice 167, PSČ 68756</t>
  </si>
  <si>
    <t>Folklorní spolek Jankovice</t>
  </si>
  <si>
    <t>Jankovice</t>
  </si>
  <si>
    <t>Jankovice 15, PSČ 68704</t>
  </si>
  <si>
    <t>Folklorní spolek Jasénka</t>
  </si>
  <si>
    <t>Vsetín, Svárov 1055, PSČ 75501</t>
  </si>
  <si>
    <t>Činnosti občanských iniciativ, protestních hnutí</t>
  </si>
  <si>
    <t>Folklorní spolek Lipta Liptál</t>
  </si>
  <si>
    <t>Liptál 83, PSČ 75631</t>
  </si>
  <si>
    <t>Folklórní spolek NOVOVEŠŤAN</t>
  </si>
  <si>
    <t>Folklórní spolek Ořechov</t>
  </si>
  <si>
    <t>Ořechov 217, PSČ 68737</t>
  </si>
  <si>
    <t>Folklorní spolek Vážany, z.s.</t>
  </si>
  <si>
    <t>Vážany</t>
  </si>
  <si>
    <t>Vážany 20, PSČ 68737</t>
  </si>
  <si>
    <t>Folklorní spolek Vsacan</t>
  </si>
  <si>
    <t>Folklorní studio Buchlovice z.s.</t>
  </si>
  <si>
    <t>Fonto, z. s.</t>
  </si>
  <si>
    <t>Zlín, Nivy I 436, PSČ 76001</t>
  </si>
  <si>
    <t>FoosForLife Team z.s.</t>
  </si>
  <si>
    <t>Rožnov pod Radhoštěm, Meziříčská 2304, PSČ 75661</t>
  </si>
  <si>
    <t>FOROS z.s.</t>
  </si>
  <si>
    <t>Valašské Meziříčí, Dvořákova 887/14, PSČ 75701</t>
  </si>
  <si>
    <t>FOTBAL KUNOVICE z. s.</t>
  </si>
  <si>
    <t>Kunovice, Panská 1140, PSČ 68604</t>
  </si>
  <si>
    <t>Fotbalová akademie GOFotbal Zlín, z.s.</t>
  </si>
  <si>
    <t>Zlín, Budovatelská 4798, PSČ 76005</t>
  </si>
  <si>
    <t>Fotbalová akademie Luhačovice o.s.</t>
  </si>
  <si>
    <t>Doubravy 178, PSČ 76345</t>
  </si>
  <si>
    <t>Fotbalová akademie Milana Petržely, z.s.</t>
  </si>
  <si>
    <t>Kněžpole 1, PSČ 68712</t>
  </si>
  <si>
    <t>Fotbalová akademie Zlechov z.s.</t>
  </si>
  <si>
    <t>Zlechov 118, PSČ 68710</t>
  </si>
  <si>
    <t>Fotbalová kultura Bystřička, z. s.</t>
  </si>
  <si>
    <t>Bystřička 140, PSČ 75624</t>
  </si>
  <si>
    <t>Fotbalový club FC Rožnov pod Radhoštěm, z.s.</t>
  </si>
  <si>
    <t>Rožnov pod Radhoštěm, Pod strání 2268, PSČ 75661</t>
  </si>
  <si>
    <t>Fotbalový club Zlín, z.s.</t>
  </si>
  <si>
    <t>Fotbalový klub Chropyně, z.s.</t>
  </si>
  <si>
    <t>Chropyně, Hanácké náměstí 551, PSČ 76811</t>
  </si>
  <si>
    <t>Fotbalový klub FC Babice z. s.</t>
  </si>
  <si>
    <t>Babice 87, PSČ 68703</t>
  </si>
  <si>
    <t>Fotbalový klub Holešovské holky z.s.</t>
  </si>
  <si>
    <t>Holešov, nám. Svobody 128/25, PSČ 76901</t>
  </si>
  <si>
    <t>Fotbalový klub Jablůnka z.s.</t>
  </si>
  <si>
    <t>Fotbalový klub Komňa, z.s.</t>
  </si>
  <si>
    <t>Komňa 299, PSČ 68771</t>
  </si>
  <si>
    <t>Fotbalový klub Leskovec, z.s.</t>
  </si>
  <si>
    <t>Leskovec 67, PSČ 75611</t>
  </si>
  <si>
    <t>Fotbalový klub Liptál, z.s.</t>
  </si>
  <si>
    <t>Liptál 493, PSČ 75631</t>
  </si>
  <si>
    <t>Fotbalový klub Lubná 1959, z. s.</t>
  </si>
  <si>
    <t>Lubná</t>
  </si>
  <si>
    <t>Lubná 177, PSČ 76701</t>
  </si>
  <si>
    <t>Fotbalový klub Mladcová, z. s.</t>
  </si>
  <si>
    <t>Zlín, Mladcová, U Hřiště 276, PSČ 76001</t>
  </si>
  <si>
    <t>Fotbalový klub Rychlov-Lipová United</t>
  </si>
  <si>
    <t>Bystřice pod Hostýnem, Rychlov, Trávníky 267, PSČ 76861</t>
  </si>
  <si>
    <t>Foto-film-klub RPR</t>
  </si>
  <si>
    <t>Fotoklub Beseda Otrokovice z.s.</t>
  </si>
  <si>
    <t>Otrokovice, nám. 3. května 1302, Otrokovická Beseda</t>
  </si>
  <si>
    <t>"Fotoklub DK Kroměříž", z.s.</t>
  </si>
  <si>
    <t>Fotoklub KFA Brumov-Bylnice, z. s.</t>
  </si>
  <si>
    <t>Brumov-Bylnice, Brumov, Na Vyhlídce 792, PSČ 76331</t>
  </si>
  <si>
    <t>Fotoklub Vsetín, z.s.</t>
  </si>
  <si>
    <t>Vsetín, Sychrov 59, PSČ 75501</t>
  </si>
  <si>
    <t>FotoMosty</t>
  </si>
  <si>
    <t>Hluk, Antonínská 634, PSČ 68725</t>
  </si>
  <si>
    <t>Fotoskupina ANDROMEDA Brumov-Bylnice</t>
  </si>
  <si>
    <t>Brumov-Bylnice, Brumov, Družba 1210, PSČ 76331</t>
  </si>
  <si>
    <t>Francovka o.p.s.</t>
  </si>
  <si>
    <t>Francova Lhota 377, PSČ 75614</t>
  </si>
  <si>
    <t>Fryštácká Javořina z.s.</t>
  </si>
  <si>
    <t>Fryštácké mažoretky, z.s.</t>
  </si>
  <si>
    <t>Fryšták, Potoky 283, PSČ 76316</t>
  </si>
  <si>
    <t>Fryšták dětem z.s.</t>
  </si>
  <si>
    <t>Fryšták, Dolní Ves, Stolařská 40, PSČ 76316</t>
  </si>
  <si>
    <t>Fryšták jede! z.s.</t>
  </si>
  <si>
    <t>Fryšták, Horní Ves, Ke Skalce 335, PSČ 76316</t>
  </si>
  <si>
    <t>FS Oldněmčan z.s.</t>
  </si>
  <si>
    <t>FS ROZMARÝN, z. s.</t>
  </si>
  <si>
    <t>Uherský Brod, Těšov, Těšovská 170, PSČ 68734</t>
  </si>
  <si>
    <t>Fuerza del Fuego, z.s.</t>
  </si>
  <si>
    <t>Fujaré, z. s.</t>
  </si>
  <si>
    <t>Rožnov pod Radhoštěm, Javornická 686, PSČ 75661</t>
  </si>
  <si>
    <t>Futsal klub Kroměříž, občanské sdružení</t>
  </si>
  <si>
    <t>Kroměříž, Kazimíra Rudého 3841/48, PSČ 76701</t>
  </si>
  <si>
    <t>Futsal Zlín z. s.</t>
  </si>
  <si>
    <t>Zlín, Kostelec, Jetelová 580, PSČ 76314</t>
  </si>
  <si>
    <t>Future of Europe, z.s.</t>
  </si>
  <si>
    <t>Ublo</t>
  </si>
  <si>
    <t>Ublo 121, PSČ 76312</t>
  </si>
  <si>
    <t>GAIA OTROKOVICE z.s.</t>
  </si>
  <si>
    <t>Otrokovice, Kvítkovice, Kpt. Nálepky 1227, PSČ 76502</t>
  </si>
  <si>
    <t>Galerie FARA TĚŠNOVICE</t>
  </si>
  <si>
    <t>Kroměříž, FARA Těšnovice č.5</t>
  </si>
  <si>
    <t>Galerie Jako doma, z.s.</t>
  </si>
  <si>
    <t>Valašské Meziříčí, Smetanova 975/40, PSČ 75701</t>
  </si>
  <si>
    <t>Galerie mínus jedna z.s.</t>
  </si>
  <si>
    <t>Zlín, Družstevní 4516, PSČ 76005</t>
  </si>
  <si>
    <t>Specializované návrhářské činnosti</t>
  </si>
  <si>
    <t>GALERIE ORLOVNA z.s.</t>
  </si>
  <si>
    <t>Kroměříž, Na Sladovnách 1492/8, PSČ 76701</t>
  </si>
  <si>
    <t>Galuškovo Slovácko</t>
  </si>
  <si>
    <t>Uherský Ostroh, Třebízského 216, PSČ 68724</t>
  </si>
  <si>
    <t>Game of life</t>
  </si>
  <si>
    <t>Rožnov pod Radhoštěm, Masarykovo náměstí 128, PSČ 75661</t>
  </si>
  <si>
    <t>"Garáže - Luční"</t>
  </si>
  <si>
    <t>Valašské Klobouky, Luční 912, PSČ 76601</t>
  </si>
  <si>
    <t>GARÁŽE Stará Tenice spolek</t>
  </si>
  <si>
    <t>Uherské Hradiště, Stará Tenice č. ev. 1121, PSČ 68601</t>
  </si>
  <si>
    <t>GaSe, o. s.</t>
  </si>
  <si>
    <t>Zlín, Slezská 5258, PSČ 76005</t>
  </si>
  <si>
    <t>Gaso Motor Sport klub v AČR</t>
  </si>
  <si>
    <t>GB Draculino Kroměříž, z.s.</t>
  </si>
  <si>
    <t>Kroměříž, Spáčilova 3337/40, PSČ 76701</t>
  </si>
  <si>
    <t>GB Draculino Zlín, z.s.</t>
  </si>
  <si>
    <t>Holešov, Partyzánská 1104/2, PSČ 76901</t>
  </si>
  <si>
    <t>Geimi z.s.</t>
  </si>
  <si>
    <t>Luhačovice, Polichno 36, PSČ 76341</t>
  </si>
  <si>
    <t>GEMMA MARATHON ORIENTEERING</t>
  </si>
  <si>
    <t>Vizovice, nám. TGM 119</t>
  </si>
  <si>
    <t>GeoSlovácko, z.s.</t>
  </si>
  <si>
    <t>Uherské Hradiště, Kollárova 445, PSČ 68601</t>
  </si>
  <si>
    <t>GERANIE, z. s.</t>
  </si>
  <si>
    <t>Zlín, Bratří Sousedíků 6023, PSČ 76001</t>
  </si>
  <si>
    <t>GET ART!, z.s.</t>
  </si>
  <si>
    <t>GH 100 Holešov, z.s.</t>
  </si>
  <si>
    <t>Gitano Drom, z.s.</t>
  </si>
  <si>
    <t>Valašské Meziříčí, Bynina 107, PSČ 75701</t>
  </si>
  <si>
    <t>Gnothi, o. s.</t>
  </si>
  <si>
    <t>Valašská Bystřice 261, PSČ 75627</t>
  </si>
  <si>
    <t>GODZZILABIKES</t>
  </si>
  <si>
    <t>Vsetín, Svornosti 1811, PSČ 75501</t>
  </si>
  <si>
    <t>GO-ED!, z.s.</t>
  </si>
  <si>
    <t>Kroměříž, Spáčilova 3372/46, PSČ 76701</t>
  </si>
  <si>
    <t>Golf a Tenis o.s.</t>
  </si>
  <si>
    <t>Kroměříž, Švabinského 2025</t>
  </si>
  <si>
    <t>Golf Club Horal Velké Karlovice z. s.</t>
  </si>
  <si>
    <t>Zlín, náměstí Práce 2523, PSČ 76001</t>
  </si>
  <si>
    <t>Golf Club Lázně Kostelec u Zlína, spolek</t>
  </si>
  <si>
    <t>Zlín, Kostelec, Lázně 493, PSČ 76314</t>
  </si>
  <si>
    <t>Golf club Uherské Hradiště z.s.</t>
  </si>
  <si>
    <t>Ostrožská Nová Ves, Nádražní 982, PSČ 68722</t>
  </si>
  <si>
    <t>Golf Klub Komárno, z. s.</t>
  </si>
  <si>
    <t>Vsetín, Ohýřov 2125, PSČ 75501</t>
  </si>
  <si>
    <t>Golf klub Valmez, z.s.</t>
  </si>
  <si>
    <t>Valašské Meziříčí, Kouty 1280, PSČ 75701</t>
  </si>
  <si>
    <t>GOLF SPORT CLUB ZLÍN z.s.</t>
  </si>
  <si>
    <t>Zlín, Čepkovská 1792, PSČ 76001</t>
  </si>
  <si>
    <t>Golfový klub Holešov z.s.</t>
  </si>
  <si>
    <t>Holešov, Žopy 191, PSČ 76901</t>
  </si>
  <si>
    <t>Gombík z.s.</t>
  </si>
  <si>
    <t>Staré Město, Sochorcova 940, PSČ 68603</t>
  </si>
  <si>
    <t>GRADDO, nadační fond</t>
  </si>
  <si>
    <t>Zlín, Růmy 1598, PSČ 76001</t>
  </si>
  <si>
    <t>Gradual consulting z.s.</t>
  </si>
  <si>
    <t>Brumov-Bylnice, Sidonie 110, PSČ 76334</t>
  </si>
  <si>
    <t>Granum, z.s.</t>
  </si>
  <si>
    <t>Kroměříž, Koperníkova 1429/22, PSČ 76701</t>
  </si>
  <si>
    <t>GREEN POKER CLUB o.s.</t>
  </si>
  <si>
    <t>Uherské Hradiště, Jiřího z Poděbrad 315, PSČ 68601</t>
  </si>
  <si>
    <t>GREEN REGIMENT z.s.</t>
  </si>
  <si>
    <t>Uherské Hradiště, Sady, Pod Lipkami 327, PSČ 68601</t>
  </si>
  <si>
    <t>GRUNT</t>
  </si>
  <si>
    <t>Zlín, Štefánikova 3818, PSČ 76001</t>
  </si>
  <si>
    <t>GS4Adventure o.s.</t>
  </si>
  <si>
    <t>Otrokovice, Tylova 1203, PSČ 76502</t>
  </si>
  <si>
    <t>GYM - K. O., zapsaný spolek</t>
  </si>
  <si>
    <t>Uherské Hradiště, Zelené náměstí 1290, PSČ 68601</t>
  </si>
  <si>
    <t>GYMNASTICKÝ AEROBIK - BK - OTROKOVICE, z.s.</t>
  </si>
  <si>
    <t>Otrokovice, Kvítkovice, Hlavní 1247, PSČ 76502</t>
  </si>
  <si>
    <t>GYMNASTICKÝ KLUB HULÍN z.s.</t>
  </si>
  <si>
    <t>Hulín, Komenského 239, PSČ 76824</t>
  </si>
  <si>
    <t>Gymnastika ValMez, z.s.</t>
  </si>
  <si>
    <t>Valašské Meziříčí, Krásno nad Bečvou, U Apolla 801, PSČ 75701</t>
  </si>
  <si>
    <t>Gymnastika Zlín z.s.</t>
  </si>
  <si>
    <t>Zlín, Kvítková 4191, PSČ 76001</t>
  </si>
  <si>
    <t>Gympleři Vsetín, o.p.s.</t>
  </si>
  <si>
    <t>Ostatní zábavní a rekreační činnosti</t>
  </si>
  <si>
    <t>Gymzl Alumni z.s.</t>
  </si>
  <si>
    <t>Zlín, Na Kopci 5191, PSČ 76001</t>
  </si>
  <si>
    <t>GyroFly Services z.s.</t>
  </si>
  <si>
    <t>Soběsuky, Milovice 86, PSČ 76802</t>
  </si>
  <si>
    <t>HáBéCéčko, nadační fond</t>
  </si>
  <si>
    <t>Vsetín, Lesní 2176, PSČ 75501</t>
  </si>
  <si>
    <t>HaBe.net z.s.</t>
  </si>
  <si>
    <t>Horní Bečva 959, PSČ 75657</t>
  </si>
  <si>
    <t>Háčko z.s.</t>
  </si>
  <si>
    <t>Brumov-Bylnice, Brumov, Družba 1196, PSČ 76331</t>
  </si>
  <si>
    <t>HADRON CLUB o.s.</t>
  </si>
  <si>
    <t>Luhačovice, Družstevní 35, PSČ 76326</t>
  </si>
  <si>
    <t>HAFERA z Nového Hrozenkova, z.s.</t>
  </si>
  <si>
    <t>Nový Hrozenkov 304, PSČ 75604</t>
  </si>
  <si>
    <t>Halenkovjani z. s.</t>
  </si>
  <si>
    <t>Halenkov 621, PSČ 75603</t>
  </si>
  <si>
    <t>Halenky z.s.</t>
  </si>
  <si>
    <t>Halenkovice 252, PSČ 76363</t>
  </si>
  <si>
    <t>Hanácké sóbor Kroměříž, z.s.</t>
  </si>
  <si>
    <t>Kroměříž, Slov. nár. povstání 3988/5, PSČ 76701</t>
  </si>
  <si>
    <t>Hanačka, z. s.</t>
  </si>
  <si>
    <t>Břest 72, PSČ 76823</t>
  </si>
  <si>
    <t>Handball club Zlín, z.s.</t>
  </si>
  <si>
    <t>Zlín, U Zimního stadionu 4286, PSČ 76001</t>
  </si>
  <si>
    <t>Handball club Zubří z. s.</t>
  </si>
  <si>
    <t>Zubří, Hlavní 492, PSČ 75654</t>
  </si>
  <si>
    <t>HANDICAP SPORT, z.s.</t>
  </si>
  <si>
    <t>Zlín, Malenovice, Tyršova 930, PSČ 76302</t>
  </si>
  <si>
    <t>Handicap Zlín, z.s.</t>
  </si>
  <si>
    <t>Zlín, Padělky VI 1367, PSČ 76001</t>
  </si>
  <si>
    <t>HandicapCats z. s.</t>
  </si>
  <si>
    <t>Vsetín, Rokytnice, Janišov 61, PSČ 75501</t>
  </si>
  <si>
    <t>Handrlák z.s.</t>
  </si>
  <si>
    <t>Kunovice, Osvobození 590, PSČ 68604</t>
  </si>
  <si>
    <t>Handy - osobní asistence</t>
  </si>
  <si>
    <t>Hulín, U Stavu 1070, PSČ 768 24</t>
  </si>
  <si>
    <t>Happy Agility Friends Beskydy o.s.</t>
  </si>
  <si>
    <t>Rožnov pod Radhoštěm, Beskydská 1322, PSČ 75661</t>
  </si>
  <si>
    <t>Harafica z.s.</t>
  </si>
  <si>
    <t>Uherské Hradiště, Sady, Vřesová 13, PSČ 68601</t>
  </si>
  <si>
    <t>Harmonické rodičovství z.s.</t>
  </si>
  <si>
    <t>Rožnov pod Radhoštěm, Ostravská č. ev. 267, PSČ 75661</t>
  </si>
  <si>
    <t>HARMONIE - spolek přátel Střední zdravotnické školy a Vyšší odborné školy zdravotnické Kroměříž</t>
  </si>
  <si>
    <t>Kroměříž, Albertova 4261/25A, PSČ 76701</t>
  </si>
  <si>
    <t>Harmonie, vzdělávací centrum z.s.</t>
  </si>
  <si>
    <t>Valašské Meziříčí, Kardinála Bauera 1473, PSČ 75701</t>
  </si>
  <si>
    <t>Harmonizační centrum, z.s.</t>
  </si>
  <si>
    <t>Valašské Meziříčí, Krásno nad Bečvou, Janáčkova 592/1, PSČ 75701</t>
  </si>
  <si>
    <t>Hasiči Bánov, o.s.</t>
  </si>
  <si>
    <t>Hasičský sportovní klub okresu Uherské Hradiště, z.s.</t>
  </si>
  <si>
    <t>Uherské Hradiště, Boženy Němcové 834, PSČ 68601</t>
  </si>
  <si>
    <t>Hasičský sportovní klub Vsetín, z.s.</t>
  </si>
  <si>
    <t>Valašské Meziříčí, Železničního vojska 1347, PSČ 75701</t>
  </si>
  <si>
    <t>HAŠTERA, z.s.</t>
  </si>
  <si>
    <t>Hayča Thiyošpaye</t>
  </si>
  <si>
    <t>Házená Vsetín, z.s.</t>
  </si>
  <si>
    <t>Vsetín, Palackého 258, PSČ 75501</t>
  </si>
  <si>
    <t>Házenkářský sportovní klub Bánov</t>
  </si>
  <si>
    <t>Kunovice, Úvoz 439, PSČ 68604</t>
  </si>
  <si>
    <t>Házenkářský sportovní klub Kunovice</t>
  </si>
  <si>
    <t>Kunovice, Panská 9, PSČ 68604</t>
  </si>
  <si>
    <t>Házenkářský sportovní klub Luhačovice</t>
  </si>
  <si>
    <t>Házenkářský sportovní klub Staré Město</t>
  </si>
  <si>
    <t>Házenkářský sportovní klub Uherský Brod</t>
  </si>
  <si>
    <t>Házenkářský sportovní klub Vlčnov</t>
  </si>
  <si>
    <t>HB collegium z. s.</t>
  </si>
  <si>
    <t>Buchlovice, Polesí 418, Hrad Buchlov</t>
  </si>
  <si>
    <t>HBC Malenovice, z.s.</t>
  </si>
  <si>
    <t>Zlín, Krátká 927, PSČ 76001</t>
  </si>
  <si>
    <t>HC Berani Zlín, z.s.</t>
  </si>
  <si>
    <t>Zlín, Březnická 4068, PSČ 76001</t>
  </si>
  <si>
    <t>HC Bizon spolek</t>
  </si>
  <si>
    <t>Vlčnov 25, PSČ 68761</t>
  </si>
  <si>
    <t>HC Holešov Gators, z.s.</t>
  </si>
  <si>
    <t>Holešov, Masarykova 1335/23, PSČ 76901</t>
  </si>
  <si>
    <t>HC Hošťálková, z. s.</t>
  </si>
  <si>
    <t>Vsetín, Rokytnice, Pod Žamboškou 1036, PSČ 75501</t>
  </si>
  <si>
    <t>HC ITS Uherské Hradiště-Kunovice</t>
  </si>
  <si>
    <t>Uherské Hradiště, Mařatice, Derflanská 1009, PSČ 68605</t>
  </si>
  <si>
    <t>HC Junior Zlín, spolek</t>
  </si>
  <si>
    <t>HC Klobucké laviny, z.s.</t>
  </si>
  <si>
    <t>Valašské Klobouky, Brumovská 704, PSČ 76601</t>
  </si>
  <si>
    <t>HC Komárovice Bulls, z.s.</t>
  </si>
  <si>
    <t>Kelč, Komárovice 53, PSČ 75643</t>
  </si>
  <si>
    <t>HC LAZY ROŽNOV</t>
  </si>
  <si>
    <t>Rožnov pod Radhoštěm, Vítězná 1745, PSČ 75661</t>
  </si>
  <si>
    <t>HC Mařatice 2017, z.s.</t>
  </si>
  <si>
    <t>HC Ratiboř, z.s.</t>
  </si>
  <si>
    <t>HC Rožnov p. R. Černí Vlci z.s.</t>
  </si>
  <si>
    <t>Rožnov pod Radhoštěm, Bučiska 2305, PSČ 75661</t>
  </si>
  <si>
    <t>HC SPARTAK Uherský Brod, z.s.</t>
  </si>
  <si>
    <t>HC Uherské Hradiště, z. s.</t>
  </si>
  <si>
    <t>HC Valašské Meziříčí 2005, zapsaný spolek</t>
  </si>
  <si>
    <t>Valašské Meziříčí, Kouty 325, PSČ 75701</t>
  </si>
  <si>
    <t>Health &amp; RH</t>
  </si>
  <si>
    <t>Chropyně, Masarykova 777, PSČ 76811</t>
  </si>
  <si>
    <t>Health - zdraví z.s.</t>
  </si>
  <si>
    <t>Luhačovice, Josefa Černíka 453, PSČ 76326</t>
  </si>
  <si>
    <t>Heartattack racing z.s.</t>
  </si>
  <si>
    <t>Holešov, Tučapy 125, PSČ 76901</t>
  </si>
  <si>
    <t>Heinz Moto Sport</t>
  </si>
  <si>
    <t>Pozlovice, V Dražkách 301, PSČ 76326</t>
  </si>
  <si>
    <t>HELBYS, o. s.</t>
  </si>
  <si>
    <t>Bystřice pod Hostýnem, Sídliště 1273, PSČ 76861</t>
  </si>
  <si>
    <t>HELP IN NEED z.s.</t>
  </si>
  <si>
    <t>"Help Online"</t>
  </si>
  <si>
    <t>Uherské Hradiště, Milíčova 467, PSČ 68601</t>
  </si>
  <si>
    <t>HENDIKA zapsaný spolek</t>
  </si>
  <si>
    <t>Zlín, Prostřední 2240, PSČ 76001</t>
  </si>
  <si>
    <t>Herberk, z. s.</t>
  </si>
  <si>
    <t>Zlín, Štípa, Kostelecká 256, PSČ 76314</t>
  </si>
  <si>
    <t>HERBOMED z. s.</t>
  </si>
  <si>
    <t>Uherské Hradiště, Mojmírova 510, PSČ 68601</t>
  </si>
  <si>
    <t>H.E.R.ecká společnost</t>
  </si>
  <si>
    <t>Zlín, U Náhonu 128, PSČ 76001</t>
  </si>
  <si>
    <t>HFC Zlín z.s.</t>
  </si>
  <si>
    <t>Zlín, M. Knesla 4020, PSČ 76001</t>
  </si>
  <si>
    <t>HIPO Koryčany, z.s.</t>
  </si>
  <si>
    <t>Koryčany, Smetanova 569, PSČ 76805</t>
  </si>
  <si>
    <t>Hipo Natur Art, o. s.</t>
  </si>
  <si>
    <t>HISTERKY, z.s.</t>
  </si>
  <si>
    <t>Rožnov pod Radhoštěm, 5. května 1559, PSČ 75661</t>
  </si>
  <si>
    <t>Historia Futurae z.ú.</t>
  </si>
  <si>
    <t>"Historická společnost Starý Velehrad, z. s."</t>
  </si>
  <si>
    <t>Historický spolek městečka Kvasice, z.s.</t>
  </si>
  <si>
    <t>Kvasice, A. Dohnala 18, PSČ 76821</t>
  </si>
  <si>
    <t>Historický spolek Tlumačov</t>
  </si>
  <si>
    <t>Tlumačov, Dolní 107, PSČ 76362</t>
  </si>
  <si>
    <t>HK Bystřice pod Hostýnem, z.s.</t>
  </si>
  <si>
    <t>Bystřice pod Hostýnem, Sportovní 1357, PSČ 76861</t>
  </si>
  <si>
    <t>HK Kroměříž z.s.</t>
  </si>
  <si>
    <t>Kroměříž, Obvodová 3474/11, PSČ 76701</t>
  </si>
  <si>
    <t>HK Zubří z.s.</t>
  </si>
  <si>
    <t>Zubří, Záhumení 983, PSČ 75654</t>
  </si>
  <si>
    <t>HLAHOL Mysločovice z.s.</t>
  </si>
  <si>
    <t>Mysločovice 21, PSČ 76301</t>
  </si>
  <si>
    <t>Hlas Boží, hlas lidu z.s.</t>
  </si>
  <si>
    <t>Vidče 589, PSČ 75653</t>
  </si>
  <si>
    <t>HLASY z.s.</t>
  </si>
  <si>
    <t>Zlín, 2. května 2384, PSČ 76001</t>
  </si>
  <si>
    <t>HLK akademie, z. s.</t>
  </si>
  <si>
    <t>Kelníky 68, PSČ 76307</t>
  </si>
  <si>
    <t>Hnízdečko z. s.</t>
  </si>
  <si>
    <t>Hnutí za lepší svět</t>
  </si>
  <si>
    <t>Staré Město, Finská čtvrť 1583, PSČ 68603</t>
  </si>
  <si>
    <t>Hobby Horsing Kvasice z.s.</t>
  </si>
  <si>
    <t>Kvasice, Krajina 340, PSČ 76821</t>
  </si>
  <si>
    <t>Hobby klub Rožnov pod Radhoštěm</t>
  </si>
  <si>
    <t>Hockey Club Černí Vlci z.s.</t>
  </si>
  <si>
    <t>Hodová chasa Míkovice, z.s.</t>
  </si>
  <si>
    <t>Uherské Hradiště, Míkovice, Příkrá 173, PSČ 68609</t>
  </si>
  <si>
    <t>HOGOFOGO</t>
  </si>
  <si>
    <t>Bystřice pod Hostýnem, Palackého 1215, PSČ 76861</t>
  </si>
  <si>
    <t>"HOKEJ TALENT o.s."</t>
  </si>
  <si>
    <t>Kroměříž, Malý val 1583/11, PSČ 76701</t>
  </si>
  <si>
    <t>HOKEJ Uherský Ostroh, z.s.</t>
  </si>
  <si>
    <t>Uherský Ostroh, Ostrožské Předměstí, Školní 867, PSČ 68724</t>
  </si>
  <si>
    <t>Hokejbalový klub Vsetín, z.s.</t>
  </si>
  <si>
    <t>Vsetín, Dolní Jasenka 770, PSČ 75501</t>
  </si>
  <si>
    <t>Hokejové sdružení B.U.M. Otrokovice</t>
  </si>
  <si>
    <t>Otrokovice, nám. 3. května 1793, PSČ 76502</t>
  </si>
  <si>
    <t>HOKEJOVÝ CLUB BBSS, z.s.</t>
  </si>
  <si>
    <t>Brumov-Bylnice, Brumov, Družba 1223, PSČ 76331</t>
  </si>
  <si>
    <t>Hokejový club Český Těšín</t>
  </si>
  <si>
    <t>Kroměříž, Lutopecká 1422/1a, PSČ 76701</t>
  </si>
  <si>
    <t>Hokejový klub Prusinovice</t>
  </si>
  <si>
    <t>Prusinovice, Převorská 264</t>
  </si>
  <si>
    <t>Hokejový klub Vsetín - ženy, z.s.</t>
  </si>
  <si>
    <t>Vsetín, Hanžlov II 1141, PSČ 75501</t>
  </si>
  <si>
    <t>Hokejový sraz fanoušků Zlín, z.s.</t>
  </si>
  <si>
    <t>Zlín, Luční 4593, PSČ 76005</t>
  </si>
  <si>
    <t>Hokejový tým Senators</t>
  </si>
  <si>
    <t>Holešov, Žopy 12, PSČ 76901</t>
  </si>
  <si>
    <t>HolešovMAN o. s.</t>
  </si>
  <si>
    <t>Holešov, Masarykova 653/15, PSČ 76901</t>
  </si>
  <si>
    <t>HOLEŠOVSKÁ SPORTOVNÍ, z.s.</t>
  </si>
  <si>
    <t>Holešov, U Letiště 1255/51, PSČ 76901</t>
  </si>
  <si>
    <t>Holešov, Masarykova 628, PSČ 76901</t>
  </si>
  <si>
    <t>Holešovský komorní orchestr z.s.</t>
  </si>
  <si>
    <t>Holešov, Novosady 1602, PSČ 76901</t>
  </si>
  <si>
    <t>Holešovští Pokalíšci, z. s.</t>
  </si>
  <si>
    <t>Holešovští trubači o.s.</t>
  </si>
  <si>
    <t>Holešov, nám. Svobody 104/8, PSČ 76901</t>
  </si>
  <si>
    <t>HOLIDAY CUP z.s.</t>
  </si>
  <si>
    <t>Zlín, Lešetín II 385, PSČ 76001</t>
  </si>
  <si>
    <t>HOMACAR sportovní klub Kroměříž</t>
  </si>
  <si>
    <t>Kroměříž, Víta Nejedlého 2973/13, PSČ 76701</t>
  </si>
  <si>
    <t>HOMETOWN association, z.s.</t>
  </si>
  <si>
    <t>"HOMOHARDCOREUS"</t>
  </si>
  <si>
    <t>Rožnov pod Radhoštěm, 1. máje 1067, PSČ 75661</t>
  </si>
  <si>
    <t>Honební spolek Bánov, z.s.</t>
  </si>
  <si>
    <t>Bánov 134, PSČ 68754</t>
  </si>
  <si>
    <t>Honební spolek Komňa z.s.</t>
  </si>
  <si>
    <t>Komňa 179, PSČ 68771</t>
  </si>
  <si>
    <t>HONEST VETERAN CAR CLUB z.s.</t>
  </si>
  <si>
    <t>Rožnov pod Radhoštěm, Travinářská 1172, PSČ 75661</t>
  </si>
  <si>
    <t>HooH - informačně technologický spolek</t>
  </si>
  <si>
    <t>Valašské Meziříčí, Krásno nad Bečvou, Křižná 32/2, PSČ 75701</t>
  </si>
  <si>
    <t>HOPÍK Zlín,z.s.</t>
  </si>
  <si>
    <t>Zlín, Středová 4694, PSČ 76005</t>
  </si>
  <si>
    <t>"Horedole o.s."</t>
  </si>
  <si>
    <t>Huslenky 621, PSČ 75602</t>
  </si>
  <si>
    <t>Horem Dolem, z.s.</t>
  </si>
  <si>
    <t>Provodov 280, PSČ 76345</t>
  </si>
  <si>
    <t>horina z. s.</t>
  </si>
  <si>
    <t>Boršice 729, PSČ 68709</t>
  </si>
  <si>
    <t>HORIZONT HOSTIŠOVÁ z.s.</t>
  </si>
  <si>
    <t>Hostišová, Hostišová - Horňák 61, PSČ 76301</t>
  </si>
  <si>
    <t>Horkovzdušné balóny Vsetín, z.s.</t>
  </si>
  <si>
    <t>Vsetín, Sychrov 101</t>
  </si>
  <si>
    <t>HORNÍ JASENKA z.s.</t>
  </si>
  <si>
    <t>Vsetín, Horní Jasenka 174, PSČ 75501</t>
  </si>
  <si>
    <t>Horolezecký klub v Rožnově pod Radhoštěm z.s.</t>
  </si>
  <si>
    <t>Tylovice 1870, 756 61 Rožnov pod Radhoštěm</t>
  </si>
  <si>
    <t>Horolezecký oddíl Uherské Hradiště, z.s.</t>
  </si>
  <si>
    <t>Staré Město, Moravní nábřeží 2143, PSČ 68601</t>
  </si>
  <si>
    <t>Horolezecký oddíl Vsetín z. s.</t>
  </si>
  <si>
    <t>Vsetín, Luční 1990, PSČ 75501</t>
  </si>
  <si>
    <t>Horolezectví a skialp, z.s.</t>
  </si>
  <si>
    <t>Zlín, Kotěrova 887, PSČ 76001</t>
  </si>
  <si>
    <t>Horský sportovní klub Radhošť</t>
  </si>
  <si>
    <t>Rožnov pod Radhoštěm, Meziříčská 1654, PSČ 75661</t>
  </si>
  <si>
    <t>"HORTUS MORAVIAE z. s."</t>
  </si>
  <si>
    <t>Kroměříž, Vážany, Na Dílech 156/3, PSČ 76701</t>
  </si>
  <si>
    <t>Hospodářská a sociální regionální rada Valašska</t>
  </si>
  <si>
    <t>Valašské Meziříčí, Krásno nad Bečvou, Nádražní 425, PSČ 75701</t>
  </si>
  <si>
    <t>Hostýnská 50ka z.s.</t>
  </si>
  <si>
    <t>Bystřice pod Hostýnem, Hostýnská 1739, PSČ 76861</t>
  </si>
  <si>
    <t>HovNet, z. s.</t>
  </si>
  <si>
    <t>Hovězí 19, PSČ 75601</t>
  </si>
  <si>
    <t>HP Rožnov, z.s.</t>
  </si>
  <si>
    <t>Rožnov pod Radhoštěm, Ostravská 369, PSČ 75661</t>
  </si>
  <si>
    <t>HP sport servis - centrum volného času, z.s.</t>
  </si>
  <si>
    <t>Zlín, Příluky, Dřevnická 549, PSČ 76001</t>
  </si>
  <si>
    <t>H.P.P. HONĚTICE</t>
  </si>
  <si>
    <t>Honětice</t>
  </si>
  <si>
    <t>Honětice 51, PSČ 76813</t>
  </si>
  <si>
    <t>Hra za Hrádky z. s.</t>
  </si>
  <si>
    <t>Valašské Meziříčí, Hrachovec 288, PSČ 75701</t>
  </si>
  <si>
    <t>Hrach - divadelní spolek Hrachovec, z.s.</t>
  </si>
  <si>
    <t>Valašské Meziříčí, Hrachovec 100, PSČ 75701</t>
  </si>
  <si>
    <t>Hrad Kurovice z. s.</t>
  </si>
  <si>
    <t>Hradišťan z.s.</t>
  </si>
  <si>
    <t>Uherské Hradiště, Mařatice, Školní 726, PSČ 68605</t>
  </si>
  <si>
    <t>Hradišťánek</t>
  </si>
  <si>
    <t>Uherské Hradiště, Mařatice, Praporce 1132, PSČ 68605</t>
  </si>
  <si>
    <t>Hradišťská kasárna, z. s.</t>
  </si>
  <si>
    <t>Uherské Hradiště, Mařatice, Verbířská 1812, PSČ 68601</t>
  </si>
  <si>
    <t>Hrádky beze skládky, z.s.</t>
  </si>
  <si>
    <t>Krhová, U Ovčírny 570, PSČ 75663</t>
  </si>
  <si>
    <t>Hraj se mnou z.s.</t>
  </si>
  <si>
    <t>Zlín, Kudlov, V Lukách 778, PSČ 76001</t>
  </si>
  <si>
    <t>Hrát si, poznávat a sportovat, z. s.</t>
  </si>
  <si>
    <t>Zlín, Malenovice, třída Svobody 868, PSČ 76302</t>
  </si>
  <si>
    <t>Hrňova cimbálová muzika, z.s.</t>
  </si>
  <si>
    <t>Horní Lideč 287, PSČ 75612</t>
  </si>
  <si>
    <t>Hrubý Odhad z.s.</t>
  </si>
  <si>
    <t>Zlín, Křiby 4711</t>
  </si>
  <si>
    <t>HŘEBČÍN GALATÍK z.s.</t>
  </si>
  <si>
    <t>Zdounky, Lebedov 108, PSČ 76802</t>
  </si>
  <si>
    <t>"HUCOT o. s."</t>
  </si>
  <si>
    <t>Zlín, Zálešná VII 1318, PSČ 76001</t>
  </si>
  <si>
    <t>HUCULOVÉ, z.s</t>
  </si>
  <si>
    <t>Lužná</t>
  </si>
  <si>
    <t>Lužná 244, PSČ 75611</t>
  </si>
  <si>
    <t>Chov zvířat pro zájmový chov</t>
  </si>
  <si>
    <t>Hudební sdružení Hrachokout, Valašské Meziříčí</t>
  </si>
  <si>
    <t>Valašské Meziříčí, Krásno nad Bečvou, Zámecká 8/47, PSČ 75701</t>
  </si>
  <si>
    <t>Hudební sdružení Zlín, z.s.</t>
  </si>
  <si>
    <t>Hudební skupina The Dees Four, z.s.</t>
  </si>
  <si>
    <t>Uherský Brod, V. Růžičky 2458, PSČ 68801</t>
  </si>
  <si>
    <t>HUDEBNÍ SPOLEK ROCKLIVE</t>
  </si>
  <si>
    <t>Hudební stan, z. s.</t>
  </si>
  <si>
    <t>Velké Karlovice 58, PSČ 75606</t>
  </si>
  <si>
    <t>hudecká muzika Staré Gatě</t>
  </si>
  <si>
    <t>Rožnov pod Radhoštěm, Karlova 1727, PSČ 75661</t>
  </si>
  <si>
    <t>Hukilau Square Dance Club Valašské Meziříčí, z.s.</t>
  </si>
  <si>
    <t>Valašské Meziříčí, Štěpánov 389, PSČ 75701</t>
  </si>
  <si>
    <t>Hulíňané, z. s.</t>
  </si>
  <si>
    <t>Hulka o.s.</t>
  </si>
  <si>
    <t>Hluk, Boršická 1307, PSČ 68725</t>
  </si>
  <si>
    <t>Humanitární sdružení občanské svépomoci</t>
  </si>
  <si>
    <t>"HVĚZDA z.ú."</t>
  </si>
  <si>
    <t>Zlín, Malenovice, Masarykova 443, PSČ 76302</t>
  </si>
  <si>
    <t>Sociální péče ve zdravotnických zařízeních ústavní péče</t>
  </si>
  <si>
    <t>Sociální péče v zařízeních pro osoby s chronickým duševním onemocněním</t>
  </si>
  <si>
    <t>Hvězdička, o.s.</t>
  </si>
  <si>
    <t>Hovězí 314, PSČ 75601</t>
  </si>
  <si>
    <t>HVfree.net, z.s.</t>
  </si>
  <si>
    <t>Rožnov pod Radhoštěm, Bayerova 62, PSČ 75661</t>
  </si>
  <si>
    <t>Hvizd, o.s.</t>
  </si>
  <si>
    <t>Holešov, náměstí Dr. E. Beneše 62</t>
  </si>
  <si>
    <t>HÝBEJ.SE, z.s.</t>
  </si>
  <si>
    <t>Valašské Meziříčí, 1. máje 1037, PSČ 75701</t>
  </si>
  <si>
    <t>HYJÉ - koně, z.s.</t>
  </si>
  <si>
    <t>Křekov</t>
  </si>
  <si>
    <t>Křekov 40, PSČ 76601</t>
  </si>
  <si>
    <t>HYUNDAI CLUB CZ, o.s.</t>
  </si>
  <si>
    <t>Uherské Hradiště, Mařatice, Bedřicha Buchlovana 903, PSČ 68605</t>
  </si>
  <si>
    <t>„I. TRNKOVÁ MOTORIZOVANÁ DIVIZE”</t>
  </si>
  <si>
    <t>Lidečko 485, PSČ 75612</t>
  </si>
  <si>
    <t>IAESTE UTB Zlín</t>
  </si>
  <si>
    <t>iDance Studio, z.s.</t>
  </si>
  <si>
    <t>Idea Boom, o.s.</t>
  </si>
  <si>
    <t>IdeaZone, z.s.</t>
  </si>
  <si>
    <t>Zlín, Lesní čtvrť III 6970, PSČ 76001</t>
  </si>
  <si>
    <t>IFFD Czech Republic, z.s.</t>
  </si>
  <si>
    <t>Kroměříž, Fügnerova 766/6, PSČ 76701</t>
  </si>
  <si>
    <t>IGNT projekt z.s.</t>
  </si>
  <si>
    <t>Kroměříž, Boženy Němcové 3576/9, PSČ 76701</t>
  </si>
  <si>
    <t>IHC DEVILS ZLÍN, z.s.</t>
  </si>
  <si>
    <t>Zlín, Moravská 4781, PSČ 76005</t>
  </si>
  <si>
    <t>IHC REFLEX UHERSKÉ HRADIŠTĚ</t>
  </si>
  <si>
    <t>Uherské Hradiště, Prokopa Holého 739, PSČ 68606</t>
  </si>
  <si>
    <t>IHK Hanáci, z.s.</t>
  </si>
  <si>
    <t>Zdounky 91, PSČ 76802</t>
  </si>
  <si>
    <t>Iktočante Holešov, z. s.</t>
  </si>
  <si>
    <t>IMMORTALIS</t>
  </si>
  <si>
    <t>Napajedla, Palackého 1505</t>
  </si>
  <si>
    <t>IMORTELA z. s.</t>
  </si>
  <si>
    <t>Otrokovice, Školní 1585, PSČ 76502</t>
  </si>
  <si>
    <t>"Independent o.s.n.m., o.s."</t>
  </si>
  <si>
    <t>Uherské Hradiště, Vodní 112, Motobar u Zeda</t>
  </si>
  <si>
    <t>IndiPro - Škola fotbalových dovedností, z. s.</t>
  </si>
  <si>
    <t>Choryně 188, PSČ 75642</t>
  </si>
  <si>
    <t>InErudico - inovace ve vzdělávání, z.s.</t>
  </si>
  <si>
    <t>Kroměříž, Kotojedy 93, PSČ 76701</t>
  </si>
  <si>
    <t>INF Relax z.s.</t>
  </si>
  <si>
    <t>Uherské Hradiště, Tř. Maršála Malinovského 1262, PSČ 68601</t>
  </si>
  <si>
    <t>Informační středisko pro rozvoj Moravských Kopanic, o.p.s.</t>
  </si>
  <si>
    <t>Starý Hrozenkov 314, PSČ 68774</t>
  </si>
  <si>
    <t>Iniciativa rodičů a přátel školy při ZŠ Uherský Brod, spolek</t>
  </si>
  <si>
    <t>Uherský Brod, Mariánské nám. 41, PSČ 68801</t>
  </si>
  <si>
    <t>Iniciativa Vlny solidarity z. s.</t>
  </si>
  <si>
    <t>Zlín, Příluky, Jitrocelová 574, PSČ 76001</t>
  </si>
  <si>
    <t>Iniciativa za živý venkov, o.s.</t>
  </si>
  <si>
    <t>Rokytnice 181, PSČ 76321</t>
  </si>
  <si>
    <t>In-line hokejový spolek Uh.Brod</t>
  </si>
  <si>
    <t>Inline Piráti Zlín, z.s.</t>
  </si>
  <si>
    <t>Zlín, Zelinova 5586, PSČ 76005</t>
  </si>
  <si>
    <t>In-line Zlín o.s.</t>
  </si>
  <si>
    <t>INNIT ART o.p.s.</t>
  </si>
  <si>
    <t>Zlín, Mladcová, Na Drahách 369, PSČ 76001</t>
  </si>
  <si>
    <t>INNYFILM z.s.</t>
  </si>
  <si>
    <t>Jarcová 98, PSČ 75701</t>
  </si>
  <si>
    <t>Inspirace Zlín z.s.</t>
  </si>
  <si>
    <t>Zlín, Bratří Sousedíků 1056, PSČ 76001</t>
  </si>
  <si>
    <t>Inspiruj se o.s.</t>
  </si>
  <si>
    <t>Kroměříž, Josefa Homoly 3657/17, PSČ 76701</t>
  </si>
  <si>
    <t>INSTITUT EVROPSKÉHO VZDĚLÁVÁNÍ, o.s.</t>
  </si>
  <si>
    <t>Institut Krajské hospodářské komory Zlínského kraje, z.ú.</t>
  </si>
  <si>
    <t>Činnosti podnikatelských a zaměstnavatelských organizací</t>
  </si>
  <si>
    <t>Institut liberálních studií, z. ú.</t>
  </si>
  <si>
    <t>Zašová, Veselá 52, PSČ 75651</t>
  </si>
  <si>
    <t>Institut pro samosprávu a venkov, z. s.</t>
  </si>
  <si>
    <t>Vysoké Pole 68, PSČ 76325</t>
  </si>
  <si>
    <t>Integral World Research Institute z.s.</t>
  </si>
  <si>
    <t>Rožnov pod Radhoštěm, Pod hrází 1239, PSČ 75661</t>
  </si>
  <si>
    <t>Intercup Zlín, spolek</t>
  </si>
  <si>
    <t>Březnice</t>
  </si>
  <si>
    <t>Březnice 298, PSČ 76001</t>
  </si>
  <si>
    <t>Internacionálové Slovácká Slávia z.s.</t>
  </si>
  <si>
    <t>International Christian Fellowship Brno z.s.</t>
  </si>
  <si>
    <t>Kroměříž, Spáčilova 3033/3, PSČ 76701</t>
  </si>
  <si>
    <t>International Police Association, sekce Česká republika z.s., územní skupina č. 210 Uherské Hradiště</t>
  </si>
  <si>
    <t>Uherské Hradiště, Velehradská třída 1217, PSČ 68601</t>
  </si>
  <si>
    <t>International Police Association, sekce Česká republika z.s., územní skupina č. 214 Zlín</t>
  </si>
  <si>
    <t>Zlín, nám. T. G. Masaryka 3218, PSČ 76001</t>
  </si>
  <si>
    <t>International Police Association, sekce Česká republika z.s., územní skupina č. 225 Rožnov pod Radhoštěm</t>
  </si>
  <si>
    <t>Rožnov pod Radhoštěm, 5. května 599, PSČ 75661</t>
  </si>
  <si>
    <t>International Society for Surface Science</t>
  </si>
  <si>
    <t>Zlín, Budovatelská 4815, PSČ 76005</t>
  </si>
  <si>
    <t>INTROPE z.s.</t>
  </si>
  <si>
    <t>Zlín, Malenovice, třída Svobody 1119, PSČ 76302</t>
  </si>
  <si>
    <t>Iron Cavalry LE MC, z.s.</t>
  </si>
  <si>
    <t>Kurovice 51, PSČ 76852</t>
  </si>
  <si>
    <t>Iron Warriors, z. s.</t>
  </si>
  <si>
    <t>Zlín, Nad Ovčírnou V 1047, PSČ 76001</t>
  </si>
  <si>
    <t>Isis help</t>
  </si>
  <si>
    <t>Zlín, Středová 4786, PSČ 76005</t>
  </si>
  <si>
    <t>Iskérka o.p.s.</t>
  </si>
  <si>
    <t>Rožnov pod Radhoštěm, Chodská 534, PSČ 75661</t>
  </si>
  <si>
    <t>Ostatní pozemní osobní doprava j. n.</t>
  </si>
  <si>
    <t>Italsko-moravská kulturní a historická asociace</t>
  </si>
  <si>
    <t>Zlín, Bartošova 4341, PSČ 76001</t>
  </si>
  <si>
    <t>IZAP Slunečnice z.ú.</t>
  </si>
  <si>
    <t>Zlín, třída Tomáše Bati 1276, PSČ 76001</t>
  </si>
  <si>
    <t>Jabloňka Martinice, z.s.</t>
  </si>
  <si>
    <t>Martinice</t>
  </si>
  <si>
    <t>Martinice 66, PSČ 76901</t>
  </si>
  <si>
    <t>Jablůnecký Durament z.s.</t>
  </si>
  <si>
    <t>Jablůnka 341, PSČ 75623</t>
  </si>
  <si>
    <t>Jablůnka ŽIJE!, z. s.</t>
  </si>
  <si>
    <t>Jablůnka 461, PSČ 75623</t>
  </si>
  <si>
    <t>Jackpot Trail z.s.</t>
  </si>
  <si>
    <t>Žlutava 106, PSČ 76361</t>
  </si>
  <si>
    <t>Jahůdkové stáří z.s.</t>
  </si>
  <si>
    <t>Topolná 258, PSČ 68711</t>
  </si>
  <si>
    <t>JAKIN</t>
  </si>
  <si>
    <t>Napajedla, Nábřeží 1516, PSČ 76361</t>
  </si>
  <si>
    <t>Jaktáře, o.s.</t>
  </si>
  <si>
    <t>Uherské Hradiště, Mařatice, U Řeky 1492, PSČ 68601</t>
  </si>
  <si>
    <t>JAMAI SHOT, z.s.</t>
  </si>
  <si>
    <t>Uherský Brod, Vlčnovská 2344, PSČ 68801</t>
  </si>
  <si>
    <t>Jana Talašová, občanské sdružení</t>
  </si>
  <si>
    <t>Otrokovice, Kvítkovice, Dubnická 299, PSČ 76502</t>
  </si>
  <si>
    <t>JANÁČEK Luhačovice, z.s.</t>
  </si>
  <si>
    <t>Luhačovice, Masarykova 950, PSČ 76326</t>
  </si>
  <si>
    <t>Janka - dechová hudba z Březolup</t>
  </si>
  <si>
    <t>Březolupy 135, PSČ 68713</t>
  </si>
  <si>
    <t>Janova Hora Vizovice z. s.</t>
  </si>
  <si>
    <t>Vizovice, 3. května 1280, PSČ 76312</t>
  </si>
  <si>
    <t>Janúšovja, z.s.</t>
  </si>
  <si>
    <t>Žítková 29, PSČ 68774</t>
  </si>
  <si>
    <t>Jarohněvice MTB sport, z.s.</t>
  </si>
  <si>
    <t>Jarohněvice</t>
  </si>
  <si>
    <t>Jarohněvice 124, PSČ 76801</t>
  </si>
  <si>
    <t>JAROSLAVICKÁ BESEDA, Z.S.</t>
  </si>
  <si>
    <t>Zlín, Jaroslavice, Anenská 119, PSČ 76001</t>
  </si>
  <si>
    <t>"Jarošovský občanský spolek"</t>
  </si>
  <si>
    <t>Uherské Hradiště, Jarošov, Na Návsi 574, PSČ 68601</t>
  </si>
  <si>
    <t>JASENKA Korytná</t>
  </si>
  <si>
    <t>Korytná 38, PSČ 68752</t>
  </si>
  <si>
    <t>Jazyková školička Talk-E, z. s.</t>
  </si>
  <si>
    <t>Uherské Hradiště, Jindřicha Pruchy 1194, PSČ 68601</t>
  </si>
  <si>
    <t>JAZZ CLUB KROMĚŘÍŽ, z.s.</t>
  </si>
  <si>
    <t>Kroměříž, Denkova 3601/4, PSČ 76701</t>
  </si>
  <si>
    <t>Jednota českých matematiků a fyziků, pobočný spolek Zlín</t>
  </si>
  <si>
    <t>Zlín, nám. T. G. Masaryka 5555, PSČ 76001</t>
  </si>
  <si>
    <t>Jednota sv. Josefa v Nevšové, z.s.</t>
  </si>
  <si>
    <t>Slavičín, Nevšová 95, PSČ 76321</t>
  </si>
  <si>
    <t>Jekhetane z. s.</t>
  </si>
  <si>
    <t>Valašské Meziříčí, Krásno nad Bečvou, U Byniny 270, PSČ 75701</t>
  </si>
  <si>
    <t>Jeleni a laně, z.s.</t>
  </si>
  <si>
    <t>Ludkovice 44, PSČ 76341</t>
  </si>
  <si>
    <t>Jesličky, z.s.</t>
  </si>
  <si>
    <t>Kroměříž, Chropyňská 1685/4, PSČ 76701</t>
  </si>
  <si>
    <t>Jethro Zašová, z.s.</t>
  </si>
  <si>
    <t>Zašová 734, PSČ 75651</t>
  </si>
  <si>
    <t>Jezdecká stáj Galatík Těšánky z.s.</t>
  </si>
  <si>
    <t>Zdounky, Těšánky 80, PSČ 76802</t>
  </si>
  <si>
    <t>Jezdecká Stáj Hanák, z.s.</t>
  </si>
  <si>
    <t>Březová 394, PSČ 68767</t>
  </si>
  <si>
    <t>Jezdecká stáj I.P. Huslenky, z.s.</t>
  </si>
  <si>
    <t>Huslenky 631, PSČ 75602</t>
  </si>
  <si>
    <t>Jezdecká stáj JOSPO</t>
  </si>
  <si>
    <t>Luhačovice, Ludkovická 98, PSČ 76326</t>
  </si>
  <si>
    <t>Jezdecká stáj S+S Kroměříž, z.s.</t>
  </si>
  <si>
    <t>Kroměříž, Postoupky 190, PSČ 76701</t>
  </si>
  <si>
    <t>Jezdecká stáj VIKTORI</t>
  </si>
  <si>
    <t>Zlámanec</t>
  </si>
  <si>
    <t>Zlámanec 69, PSČ 68712</t>
  </si>
  <si>
    <t>Jezdecká škola WELFARE KORYČANY,z.s.</t>
  </si>
  <si>
    <t>Koryčany, Zámecká 68, PSČ 76805</t>
  </si>
  <si>
    <t>Jezdecký klub AGRAMM</t>
  </si>
  <si>
    <t>Pozlovice - farma</t>
  </si>
  <si>
    <t>Jezdecký klub Biofarma Březová, z.s.</t>
  </si>
  <si>
    <t>Březová 4, PSČ 76315</t>
  </si>
  <si>
    <t>Jezdecký klub Bystřice pod Hostýnem</t>
  </si>
  <si>
    <t>Jezdecký klub Callisto</t>
  </si>
  <si>
    <t>Rožnov pod Radhoštěm, Čs. armády 1243, PSČ 75661</t>
  </si>
  <si>
    <t>Jezdecký klub Century D, z. s.</t>
  </si>
  <si>
    <t>Uherský Ostroh, Kvačice, Zemědělská 38, PSČ 68724</t>
  </si>
  <si>
    <t>Jezdecký klub CORINA Koryčany</t>
  </si>
  <si>
    <t>Koryčany, Masarykova 593, PSČ 76805</t>
  </si>
  <si>
    <t>Jezdecký klub Divoky</t>
  </si>
  <si>
    <t>Zdounky, Divoky 77</t>
  </si>
  <si>
    <t>Jezdecký klub Hradisko</t>
  </si>
  <si>
    <t>Rožnov pod Radhoštěm, Hradisko 431, PSČ 75661</t>
  </si>
  <si>
    <t>Pěstování plodin jiných než trvalých</t>
  </si>
  <si>
    <t>Živočišná výroba</t>
  </si>
  <si>
    <t>Jezdecký klub Hrádky, z.s.</t>
  </si>
  <si>
    <t>Valašské Meziříčí, Krásno nad Bečvou, Boženy Němcové 443/8, PSČ 75701</t>
  </si>
  <si>
    <t>Jezdecký klub Hřebčín Vlachovice z.s.</t>
  </si>
  <si>
    <t>Štítná nad Vláří-Popov, Štítná nad Vláří 91, PSČ 76333</t>
  </si>
  <si>
    <t>Jezdecký klub Krásno Chrámečné z.s.</t>
  </si>
  <si>
    <t>Bratřejov</t>
  </si>
  <si>
    <t>Bratřejov 267, PSČ 76312</t>
  </si>
  <si>
    <t>Jezdecký klub LUHATURF, z.s.</t>
  </si>
  <si>
    <t>Luhačovice, Lesní 761, PSČ 76326</t>
  </si>
  <si>
    <t>Jezdecký klub Magic horse Kroměříž, o.s.</t>
  </si>
  <si>
    <t>Kroměříž, Seifertova 4280/19, PSČ 76701</t>
  </si>
  <si>
    <t>Jezdecký klub Morava Pravčice, spolek</t>
  </si>
  <si>
    <t>Pravčice</t>
  </si>
  <si>
    <t>Pravčice 195, PSČ 76824</t>
  </si>
  <si>
    <t>Jezdecký klub NADLESÍ Luhačovice</t>
  </si>
  <si>
    <t>Luhačovice - Řetechov</t>
  </si>
  <si>
    <t>Jezdecký klub občanské sdružení Radost</t>
  </si>
  <si>
    <t>Halenkovice 580, PSČ 76363</t>
  </si>
  <si>
    <t>Jezdecký klub P &amp; L</t>
  </si>
  <si>
    <t>Jezdecký klub PARÁDA Skržice z. s.</t>
  </si>
  <si>
    <t>Soběsuky, Skržice 37, PSČ 76802</t>
  </si>
  <si>
    <t>Lutopecny</t>
  </si>
  <si>
    <t>Jezdecký klub PIERO Roštín</t>
  </si>
  <si>
    <t>Roštín 197, PSČ 76803</t>
  </si>
  <si>
    <t>Jezdecký klub Podhradí</t>
  </si>
  <si>
    <t>Rusava, Brusné 69</t>
  </si>
  <si>
    <t>JEZDECKÝ KLUB PODLESÍ, z.s.</t>
  </si>
  <si>
    <t>Valašské Meziříčí, Podlesí 58, PSČ 75701</t>
  </si>
  <si>
    <t>Jezdecký klub Pravčice, z.s.</t>
  </si>
  <si>
    <t>Pravčice 117, PSČ 76824</t>
  </si>
  <si>
    <t>Jezdecký klub RAMIR, z.s.</t>
  </si>
  <si>
    <t>Bělov</t>
  </si>
  <si>
    <t>Bělov 143, PSČ 76821</t>
  </si>
  <si>
    <t>Jezdecký klub Ranch Pančocha z.s.</t>
  </si>
  <si>
    <t>Morkovice-Slížany, Morkovice, Pančocha 146, PSČ 76833</t>
  </si>
  <si>
    <t>JEZDECKÝ KLUB RANČ ZA ŘEKOU, z. s.</t>
  </si>
  <si>
    <t>Mikulůvka</t>
  </si>
  <si>
    <t>Mikulůvka 223, PSČ 75624</t>
  </si>
  <si>
    <t>Jezdecký klub ROLNÝ Bojkovice</t>
  </si>
  <si>
    <t>Jezdecký klub Salone</t>
  </si>
  <si>
    <t>Jezdecký klub SPORT Pravčice, z.s.</t>
  </si>
  <si>
    <t>Pravčice 196, PSČ 76824</t>
  </si>
  <si>
    <t>Jezdecký klub Špaca Ranč, spolek</t>
  </si>
  <si>
    <t>Držková 169</t>
  </si>
  <si>
    <t>Jezdecký klub Tabarky, z.s.</t>
  </si>
  <si>
    <t>Jezdecký klub Tlumačov</t>
  </si>
  <si>
    <t>Dolní 580, Tlumačov</t>
  </si>
  <si>
    <t>Jezdecký klub Valašsko z.s.</t>
  </si>
  <si>
    <t>Prostřední Bečva 461, PSČ 75656</t>
  </si>
  <si>
    <t>JEZDECKÝ KLUB VIZOVICE o.s.</t>
  </si>
  <si>
    <t>Vizovice, Zlínská 569, PSČ 76312</t>
  </si>
  <si>
    <t>Jezdecký klub Vunderle, Pozlovice</t>
  </si>
  <si>
    <t>Jezdecký klub Zlín, spolek</t>
  </si>
  <si>
    <t>Otrokovice, Kvítkovice, U Farmy 275, PSČ 76502</t>
  </si>
  <si>
    <t>Jezdecký klub Zubří,z.s.</t>
  </si>
  <si>
    <t>Zubří, Machulky 304, PSČ 75654</t>
  </si>
  <si>
    <t>Jezdecký kub Sleipnir</t>
  </si>
  <si>
    <t>Žlutava 56, PSČ 76361</t>
  </si>
  <si>
    <t>Jezdecký oddíl Kostelec o.s.</t>
  </si>
  <si>
    <t>Jezdecký spolek a spolek přátel koní Staré Město</t>
  </si>
  <si>
    <t>Staré Město, Seifertova 1108, PSČ 68603</t>
  </si>
  <si>
    <t>Jezdecký spolek ALKA</t>
  </si>
  <si>
    <t>Růžďka 115, PSČ 75625</t>
  </si>
  <si>
    <t>Jezdecký spolek Horymír Vizovice</t>
  </si>
  <si>
    <t>Zlín, Podvesná IX 6214, PSČ 76001</t>
  </si>
  <si>
    <t>Jezdecký spolek pod Hostýnem</t>
  </si>
  <si>
    <t>Podhradní Lhota</t>
  </si>
  <si>
    <t>Podhradní Lhota 109, PSČ 76871</t>
  </si>
  <si>
    <t>Jezdecký spolek Roštění</t>
  </si>
  <si>
    <t>Roštění</t>
  </si>
  <si>
    <t>Roštění 245, PSČ 76843</t>
  </si>
  <si>
    <t>Jezdecký sportovní klub Bílé Karpaty</t>
  </si>
  <si>
    <t>Bojkovice, Mánesova II 901, PSČ 68771</t>
  </si>
  <si>
    <t>Jezdectví Zlín o.s.</t>
  </si>
  <si>
    <t>Zlín, Vodní 4208, PSČ 76001</t>
  </si>
  <si>
    <t>"Ježkovy oči o.s."</t>
  </si>
  <si>
    <t>Kroměříž, Úprkova 3692/19, PSČ 76701</t>
  </si>
  <si>
    <t>JF nadační fond</t>
  </si>
  <si>
    <t>Otrokovice, tř. Tomáše Bati 1664, PSČ 76502</t>
  </si>
  <si>
    <t>Jiná kultura Hulín z.s.</t>
  </si>
  <si>
    <t>Hulín, Tylova 714, PSČ 76824</t>
  </si>
  <si>
    <t>„jinákrajina”</t>
  </si>
  <si>
    <t>Šarovy</t>
  </si>
  <si>
    <t>Šarovy 95, PSČ 76351</t>
  </si>
  <si>
    <t>Jiné možnosti</t>
  </si>
  <si>
    <t>Staré Město, Úprkova 1806, PSČ 68603</t>
  </si>
  <si>
    <t>"JIREACH"</t>
  </si>
  <si>
    <t>Hulín, Antonína Dvořáka 233, PSČ 76824</t>
  </si>
  <si>
    <t>Jiskra Chropyně, z.s.</t>
  </si>
  <si>
    <t>Chropyně, Moravská 650, PSČ 76811</t>
  </si>
  <si>
    <t>JISKRA Staré Město, z.s.</t>
  </si>
  <si>
    <t>"JISTOTA" sdružení občanů</t>
  </si>
  <si>
    <t>Jitřenka, o.s.</t>
  </si>
  <si>
    <t>Vsetín, Smetanova 971, PSČ 75501</t>
  </si>
  <si>
    <t>Jízda králů Kunovice, z. s.</t>
  </si>
  <si>
    <t>Jízdárna na Bařinách</t>
  </si>
  <si>
    <t>Valašská Bystřice 281, PSČ 75627</t>
  </si>
  <si>
    <t>Jižní Haná o. p. s.</t>
  </si>
  <si>
    <t>Hulín, nám. Míru 162, PSČ 76824</t>
  </si>
  <si>
    <t>Podpůrné činnosti pro podnikání j. n.</t>
  </si>
  <si>
    <t>Ostatní poskytování lidských zdrojů</t>
  </si>
  <si>
    <t>JK ACD Vyškovec, z. s.</t>
  </si>
  <si>
    <t>Vyškovec 168, PSČ 68774</t>
  </si>
  <si>
    <t>JK AZAVERO  z.s.</t>
  </si>
  <si>
    <t>Tupesy 189, PSČ 68707</t>
  </si>
  <si>
    <t>JK farma Divoky o.s.</t>
  </si>
  <si>
    <t>Zdounky, Divoky 70, PSČ 76802</t>
  </si>
  <si>
    <t>JK HANÁ, z.s.</t>
  </si>
  <si>
    <t>Hulín, Antonína Dvořáka 312, PSČ 76824</t>
  </si>
  <si>
    <t>JK Holstein, o.s.</t>
  </si>
  <si>
    <t>Spytihněv 63, PSČ 76364</t>
  </si>
  <si>
    <t>JK Na Vyhlídce o.s.</t>
  </si>
  <si>
    <t>Brumov-Bylnice, Brumov, 1. května 1108, PSČ 76331</t>
  </si>
  <si>
    <t>JK Prusinovice, z.s.</t>
  </si>
  <si>
    <t>Prusinovice, Lesní 418, PSČ 76842</t>
  </si>
  <si>
    <t>JK Ranč Illinois</t>
  </si>
  <si>
    <t>Rataje, Sobělice 83, PSČ 76812</t>
  </si>
  <si>
    <t>JK Ranč Tlumačov z.s.</t>
  </si>
  <si>
    <t>Tlumačov, Machovská 412, PSČ 76362</t>
  </si>
  <si>
    <t>JK Slaná Voda z.s.</t>
  </si>
  <si>
    <t>JK z Los Dos ranče, z.s.</t>
  </si>
  <si>
    <t>Zlín, Kostelec, Za Humny 328, PSČ 76314</t>
  </si>
  <si>
    <t>JK Zamoranč, z.s.</t>
  </si>
  <si>
    <t>Želechovice nad Dřevnicí, Paseky 650, PSČ 76311</t>
  </si>
  <si>
    <t>JK ŽLUTAVA z.s.</t>
  </si>
  <si>
    <t>Žlutava 307, PSČ 76361</t>
  </si>
  <si>
    <t>JL MOTOCROSS HOLEŠOV z.s.</t>
  </si>
  <si>
    <t>Holešov, nám. Dr. E. Beneše 1699, PSČ 76901</t>
  </si>
  <si>
    <t>JMÉNEM PSA z. s.</t>
  </si>
  <si>
    <t>Uherský Ostroh, Kostelní 162, PSČ 68724</t>
  </si>
  <si>
    <t>Jóga v denním životě Zlín, z.s.</t>
  </si>
  <si>
    <t>Zlín, Kostelec, U Řadovek 366, PSČ 76314</t>
  </si>
  <si>
    <t>Josef Sousedík genius Valašska, z.s.</t>
  </si>
  <si>
    <t>Vsetín, Velký Skalník 359, PSČ 75501</t>
  </si>
  <si>
    <t>Joykids z.s.</t>
  </si>
  <si>
    <t>Slavičín, Jar. Šály 889, PSČ 76321</t>
  </si>
  <si>
    <t>JS Al-Kham-Sa, z.s.</t>
  </si>
  <si>
    <t>Kroměříž, Zlámanka 17, PSČ 76701</t>
  </si>
  <si>
    <t>jsme NADOSAH, z.ú.</t>
  </si>
  <si>
    <t>Zlín, Příluky, Pekárenská 240, PSČ 76001</t>
  </si>
  <si>
    <t>Judo klub Zlín, z.s.</t>
  </si>
  <si>
    <t>Zlín, Kúty 7120, PSČ 76001</t>
  </si>
  <si>
    <t>Judo Kroměříž z.s.</t>
  </si>
  <si>
    <t>Kroměříž, Bílany 120, PSČ 76701</t>
  </si>
  <si>
    <t>JUDO Uherský Brod, z.s.</t>
  </si>
  <si>
    <t>Uherský Brod, Na Chmelnici 2019, PSČ 68801</t>
  </si>
  <si>
    <t>JUDO Valašsko z.s.</t>
  </si>
  <si>
    <t>Vsetín, Rokytnice, Okružní 446, PSČ 75501</t>
  </si>
  <si>
    <t>Junák - český skaut, okres Kroměříž, z. s.</t>
  </si>
  <si>
    <t>Kroměříž, Purkyňova 2773/7C, PSČ 76701</t>
  </si>
  <si>
    <t>Junák - český skaut, okres Uherské Hradiště, z. s.</t>
  </si>
  <si>
    <t>Uherské Hradiště, Mařatice, U Moravy 915, PSČ 68601</t>
  </si>
  <si>
    <t>Junák - český skaut, okres Vsetín, z. s.</t>
  </si>
  <si>
    <t>Vsetín, Záviše Kalandry 1290, PSČ 75501</t>
  </si>
  <si>
    <t>Junák - český skaut, okres Zlín, z. s.</t>
  </si>
  <si>
    <t>Junák - český skaut, středisko A. B. Svojsíka Slavičín, z. s.</t>
  </si>
  <si>
    <t>Junák - český skaut, středisko Bojkovice, z. s.</t>
  </si>
  <si>
    <t>Bojkovice, Chmelnice 958, PSČ 68771</t>
  </si>
  <si>
    <t>Junák - český skaut, středisko Brumov-Bylnice, z. s.</t>
  </si>
  <si>
    <t>Brumov-Bylnice, Brumov, 1. května 1023, PSČ 76331</t>
  </si>
  <si>
    <t>Junák - český skaut, středisko Dvojka Staré Město, z. s.</t>
  </si>
  <si>
    <t>Staré Město, Zelnitiusova 683, PSČ 68603</t>
  </si>
  <si>
    <t>Junák - český skaut, středisko Františka Matulíka Pozlovice, z. s.</t>
  </si>
  <si>
    <t>Uherský Brod, Františka Bára 2567, PSČ 68801</t>
  </si>
  <si>
    <t>Junák - český skaut, středisko Holešov, z. s.</t>
  </si>
  <si>
    <t>Holešov, Pivovarská 1419, PSČ 76901</t>
  </si>
  <si>
    <t>Junák - český skaut, středisko Impeesa Zlín, z. s.</t>
  </si>
  <si>
    <t>Lukov, U Pivovaru 125, PSČ 76317</t>
  </si>
  <si>
    <t>Junák - český skaut, středisko Jantar Polešovice, z. s.</t>
  </si>
  <si>
    <t>Polešovice 505, PSČ 68737</t>
  </si>
  <si>
    <t>Junák - český skaut, středisko Jerry Hodného Napajedla, z. s.</t>
  </si>
  <si>
    <t>Napajedla, Na Kapli 1060, PSČ 76361</t>
  </si>
  <si>
    <t>Junák - český skaut, středisko Josefa Šivela Otrokovice, z. s.</t>
  </si>
  <si>
    <t>Otrokovice, Tylova 6281, PSČ 76502</t>
  </si>
  <si>
    <t>Junák - český skaut, středisko Kelč, z. s.</t>
  </si>
  <si>
    <t>Kelč 81, PSČ 75643</t>
  </si>
  <si>
    <t>Junák - český skaut, středisko Krále Ječmínka Chropyně, z. s.</t>
  </si>
  <si>
    <t>Chropyně, náměstí Svobody 40, PSČ 76811</t>
  </si>
  <si>
    <t>Junák - český skaut, středisko Lidečko, z. s.</t>
  </si>
  <si>
    <t>Junák - český skaut, středisko Malenovice Zlín, z. s.</t>
  </si>
  <si>
    <t>Zlín, Malenovice, Milíčova 704, PSČ 76302</t>
  </si>
  <si>
    <t>Junák - český skaut, středisko Mirka Svobody Kroměříž, z. s.</t>
  </si>
  <si>
    <t>Junák - český skaut, středisko Modrá, z. s.</t>
  </si>
  <si>
    <t>Modrá 103, PSČ 68706</t>
  </si>
  <si>
    <t>Junák - český skaut, středisko Osamělý Jestřáb Luhačovice, z. s.</t>
  </si>
  <si>
    <t>Luhačovice, Rumunská č. ev. 677, PSČ 76326</t>
  </si>
  <si>
    <t>Junák - český skaut, středisko Polárka Kroměříž, z. s.</t>
  </si>
  <si>
    <t>Kroměříž, Malý val 1589/19, PSČ 76701</t>
  </si>
  <si>
    <t>Junák - český skaut, středisko Psohlavci Uherské Hradiště, z. s.</t>
  </si>
  <si>
    <t>Junák - český skaut, středisko Rožnov pod Radhoštěm, z. s.</t>
  </si>
  <si>
    <t>Rožnov pod Radhoštěm, 1. máje 994, PSČ 75661</t>
  </si>
  <si>
    <t>Junák - český skaut, středisko Slušovice, z. s.</t>
  </si>
  <si>
    <t>Slušovice, Osvoboditelů 76, PSČ 76315</t>
  </si>
  <si>
    <t>Junák - český skaut, středisko Suchá Loz, z. s.</t>
  </si>
  <si>
    <t>Suchá Loz 378, PSČ 68753</t>
  </si>
  <si>
    <t>Junák - český skaut, středisko Uherský Brod, z. s.</t>
  </si>
  <si>
    <t>Uherský Brod, Hradišťská 7, PSČ 68801</t>
  </si>
  <si>
    <t>Junák - český skaut, středisko Valašské Meziříčí, z. s.</t>
  </si>
  <si>
    <t>Valašské Meziříčí, Krásno nad Bečvou, Václavkova 377/8, PSČ 75701</t>
  </si>
  <si>
    <t>Junák - český skaut, středisko Vatra Štítná nad Vláří, z. s.</t>
  </si>
  <si>
    <t>Štítná nad Vláří-Popov, Štítná nad Vláří 350, PSČ 76333</t>
  </si>
  <si>
    <t>Junák - český skaut, středisko Vizovice, z. s.</t>
  </si>
  <si>
    <t>Vizovice, Razov 761, PSČ 76312</t>
  </si>
  <si>
    <t>Junák - český skaut, středisko Vsetín, z. s.</t>
  </si>
  <si>
    <t>Junák - český skaut, Zlínský kraj, z. s.</t>
  </si>
  <si>
    <t>Junák - český skaut, 3. středisko Zlín, z. s.</t>
  </si>
  <si>
    <t>Březnice 574, PSČ 76001</t>
  </si>
  <si>
    <t>Junák - český skaut, 6. středisko Zlín, z. s.</t>
  </si>
  <si>
    <t>Zlín, Pasecký žleb 5177, PSČ 76001</t>
  </si>
  <si>
    <t>Junior SPORT CITY Zlín</t>
  </si>
  <si>
    <t>Zlín, Prštné, Nábřeží 599, PSČ 76001</t>
  </si>
  <si>
    <t>Jurkovičův svět, z.s.</t>
  </si>
  <si>
    <t>Luhačovice, Uherskobrodská 962, PSČ 76326</t>
  </si>
  <si>
    <t>JV Motorsport klub v AČR</t>
  </si>
  <si>
    <t>Kudlovice 306, PSČ 68703</t>
  </si>
  <si>
    <t>KA-DH RACING TEAM z.s.</t>
  </si>
  <si>
    <t>Rymice 197, PSČ 76901</t>
  </si>
  <si>
    <t>KADLUB spolek</t>
  </si>
  <si>
    <t>Vsetín, Hrbová-Mládí 1572</t>
  </si>
  <si>
    <t>K.A.F. Helios</t>
  </si>
  <si>
    <t>Valašské Klobouky, Palackého 742, PSČ 76601</t>
  </si>
  <si>
    <t>Kamamár, z. s.</t>
  </si>
  <si>
    <t>Otrokovice, Přístavní 5202, PSČ 76502</t>
  </si>
  <si>
    <t>Kamarád - Nenuda z.s.</t>
  </si>
  <si>
    <t>Kamarád Rožnov o.p.s.</t>
  </si>
  <si>
    <t>Rožnov pod Radhoštěm, Volkova 523, PSČ 75661</t>
  </si>
  <si>
    <t>Výroba elektřiny</t>
  </si>
  <si>
    <t>Kamarádi Uherský Brod z.s.</t>
  </si>
  <si>
    <t>Uherský Brod, U Sboru 1293, PSČ 68801</t>
  </si>
  <si>
    <t>KamToJedu? z.s.</t>
  </si>
  <si>
    <t>Slušovice, Na Stráni 556, PSČ 76315</t>
  </si>
  <si>
    <t>Kána z. s.</t>
  </si>
  <si>
    <t>Rajnochovice 65, PSČ 76871</t>
  </si>
  <si>
    <t>Kapela Darrock, z.s.</t>
  </si>
  <si>
    <t>Vsetín, Svárov 936, PSČ 75501</t>
  </si>
  <si>
    <t>Kaple římskokatolické církve v Kudlovicích, z. s.</t>
  </si>
  <si>
    <t>Kudlovice 386, PSČ 68703</t>
  </si>
  <si>
    <t>KARAMELA - KAMARÁD PRO VOLNÝ ČAS, z.s.</t>
  </si>
  <si>
    <t>Zlín, Zálešná VIII 1328, PSČ 76001</t>
  </si>
  <si>
    <t>KARATE - DO Uherské Hradiště, z. s.</t>
  </si>
  <si>
    <t>Uherské Hradiště, Štěpnická 1053, PSČ 68606</t>
  </si>
  <si>
    <t>Karate Břest</t>
  </si>
  <si>
    <t>Břest 297, PSČ 76823</t>
  </si>
  <si>
    <t>Karate club Kroměříž</t>
  </si>
  <si>
    <t>Karate Klub Kyokushin Zlín</t>
  </si>
  <si>
    <t>Zlín, Křiby 4904, PSČ 76005</t>
  </si>
  <si>
    <t>Kareband, z.s.</t>
  </si>
  <si>
    <t>Uherské Hradiště, Mařatice, Konečná 985, PSČ 68605</t>
  </si>
  <si>
    <t>Karlovský ochotnický soubor KOS, z.s.</t>
  </si>
  <si>
    <t>Velké Karlovice 357, PSČ 75606</t>
  </si>
  <si>
    <t>"KARPATRIA - společnost pro rozvoj turistiky"</t>
  </si>
  <si>
    <t>Zádveřice-Raková, Zádveřice 210, PSČ 76312</t>
  </si>
  <si>
    <t>Karpatské rozvojové a inovační centrum, z.s.</t>
  </si>
  <si>
    <t>Kunovice, Obecní 1596, PSČ 68604</t>
  </si>
  <si>
    <t>"Karpatsko" občanské sdružení</t>
  </si>
  <si>
    <t>Uherský Brod, Šaripova 1805, PSČ 68801</t>
  </si>
  <si>
    <t>Karpatský kynologický klub z. s.</t>
  </si>
  <si>
    <t>Zahnašovice 82, PSČ 76901</t>
  </si>
  <si>
    <t>Karting 201, z. s.</t>
  </si>
  <si>
    <t>Kelč 513, PSČ 75643</t>
  </si>
  <si>
    <t>Kasiopea Uherské Hradiště</t>
  </si>
  <si>
    <t>Uherské Hradiště, Mařatice, 1. máje 139, PSČ 68605</t>
  </si>
  <si>
    <t>KASPOL, družstvo sálového fotbalu Zlín</t>
  </si>
  <si>
    <t>Zlín,</t>
  </si>
  <si>
    <t>"Kaunic" - občanské sdružení</t>
  </si>
  <si>
    <t>Uherský Brod, Horní Valy 615, PSČ 68801</t>
  </si>
  <si>
    <t>KAVOŇ OFFROAD CLUB</t>
  </si>
  <si>
    <t>Fryšták, Vítová 17, PSČ 76316</t>
  </si>
  <si>
    <t>Každý může pomáhat, z.s.</t>
  </si>
  <si>
    <t>KBC Valmez z.s.</t>
  </si>
  <si>
    <t>Valašské Meziříčí, Štěpánov 167, PSČ 75701</t>
  </si>
  <si>
    <t>KBU z.s.</t>
  </si>
  <si>
    <t>Brumov-Bylnice, Bylnice, Vlárská 346, PSČ 76331</t>
  </si>
  <si>
    <t>KČT, oblast Zlínský kraj</t>
  </si>
  <si>
    <t>KČT, odbor Chropyně</t>
  </si>
  <si>
    <t>Chropyně, Nádražní 722, PSČ 76811</t>
  </si>
  <si>
    <t>KČT, odbor Chřibský lenochod Březolupy</t>
  </si>
  <si>
    <t>KČT, odbor Francova Lhota</t>
  </si>
  <si>
    <t>KČT, odbor Halenkov</t>
  </si>
  <si>
    <t>Halenkov 627, PSČ 75603</t>
  </si>
  <si>
    <t>KČT, odbor MCK Zlín</t>
  </si>
  <si>
    <t>Napajedla, Palackého 96, PSČ 76361</t>
  </si>
  <si>
    <t>KČT, odbor Morkovice</t>
  </si>
  <si>
    <t>Počenice-Tetětice, Počenice 178, PSČ 76833</t>
  </si>
  <si>
    <t>KČT, odbor Napajedla</t>
  </si>
  <si>
    <t>KČT, odbor Přerov - Předmostí</t>
  </si>
  <si>
    <t>Kroměříž, Elišky Krásnohorské 2396/1, PSČ 76701</t>
  </si>
  <si>
    <t>KČT, odbor Uherský Brod</t>
  </si>
  <si>
    <t>Uherský Brod, Družstevní 1562, PSČ 68801</t>
  </si>
  <si>
    <t>KČT, odbor Uherský Ostroh</t>
  </si>
  <si>
    <t>KČT, odbor Valašské Klobouky</t>
  </si>
  <si>
    <t>KČT, odbor Valašské Meziříčí</t>
  </si>
  <si>
    <t>Valašské Meziříčí, Zdeňka Fibicha 1215, PSČ 75701</t>
  </si>
  <si>
    <t>KČT, odbor Valašsko Vsetín</t>
  </si>
  <si>
    <t>Vsetín, Jiráskova 1816, PSČ 75501</t>
  </si>
  <si>
    <t>KČT, odbor Valašský tomík, z.s.</t>
  </si>
  <si>
    <t>KČT, odbor Vizovice</t>
  </si>
  <si>
    <t>Vizovice, Lázeňská 808, PSČ 76312</t>
  </si>
  <si>
    <t>KČT, odbor Zborovice</t>
  </si>
  <si>
    <t>Zborovice, Za Nádražím 338, PSČ 76832</t>
  </si>
  <si>
    <t>KČT Vsetín, z.s.</t>
  </si>
  <si>
    <t>KČT Vysoké Pole - Klášťov</t>
  </si>
  <si>
    <t>Vysoké Pole 252, PSČ 76325</t>
  </si>
  <si>
    <t>KELTSKÝ DEN z.s.</t>
  </si>
  <si>
    <t>Provodov 99, PSČ 76345</t>
  </si>
  <si>
    <t>"KENTAUR ZLÍN - sdružení pro pomoc a podporu nezaměstnaným se sníženou pracovní schopností a pomoc a podporu jezdeckému sportu"</t>
  </si>
  <si>
    <t>Příkrá 2789, Zlín</t>
  </si>
  <si>
    <t>Kentucky Nivnice</t>
  </si>
  <si>
    <t>Nivnice, Komenského 134, PSČ 68751</t>
  </si>
  <si>
    <t>Keramika Integra o.p.s.</t>
  </si>
  <si>
    <t>Vsetín, Bratří Hlaviců 94, PSČ 75501</t>
  </si>
  <si>
    <t>KESBUK, z. s.</t>
  </si>
  <si>
    <t>Otrokovice, tř. Tomáše Bati 963, PSČ 76502</t>
  </si>
  <si>
    <t>KHJ MOTORSPORT ZLÍN,RALYE TEAM</t>
  </si>
  <si>
    <t>Zlín, P.O.BOX 402</t>
  </si>
  <si>
    <t>Kiara o. s.</t>
  </si>
  <si>
    <t>Rožnov pod Radhoštěm, Jiřího Wolkera 890, PSČ 75661</t>
  </si>
  <si>
    <t>Kiks Brass z. s.</t>
  </si>
  <si>
    <t>Bystřice pod Hostýnem, Bílavsko 74, PSČ 76861</t>
  </si>
  <si>
    <t>KITE ZLÍN o.s.</t>
  </si>
  <si>
    <t>Zlín, Sokolská 622, PSČ 76001</t>
  </si>
  <si>
    <t>Kiteboarding Holešov, z.s.</t>
  </si>
  <si>
    <t>Holešov, Dlažánky 311/1, PSČ 76901</t>
  </si>
  <si>
    <t>Kiteboarding Kroměříž, z.s.</t>
  </si>
  <si>
    <t>Kroměříž, Vážany, Požárníků 324/1F, PSČ 76701</t>
  </si>
  <si>
    <t>Kitt&amp;Café Toulavý ráj z.s.</t>
  </si>
  <si>
    <t>Zlín, Budovatelská 4796, PSČ 76005</t>
  </si>
  <si>
    <t>Kitz kunst, z.s.</t>
  </si>
  <si>
    <t>Rožnov pod Radhoštěm, Svazarmovská 1393, PSČ 75661</t>
  </si>
  <si>
    <t>KK Valašské Meziříčí z.s.</t>
  </si>
  <si>
    <t>Valašské Meziříčí, Havlíčkova 1173, PSČ 75701</t>
  </si>
  <si>
    <t>KKZ z. s.</t>
  </si>
  <si>
    <t>Zlín, Mladcová, Klabalská louka 611, PSČ 76001</t>
  </si>
  <si>
    <t>KLAPKA, z.s.</t>
  </si>
  <si>
    <t>Zborovice, Sokolská 211, PSČ 76832</t>
  </si>
  <si>
    <t>Klášter Kongregace sester karmelitánek "Institut Naší Paní z Karmelu"</t>
  </si>
  <si>
    <t>Zlín, Štípa, Mariánské náměstí 56, PSČ 76314</t>
  </si>
  <si>
    <t>Klášter sester řádu Navštívení Panny Marie</t>
  </si>
  <si>
    <t>Klášter sv. Kříže Mnišek Kazatelského řádu</t>
  </si>
  <si>
    <t>Uherský Brod, Mariánské nám. 61, PSČ 68801</t>
  </si>
  <si>
    <t>KLENOT Police, z.s.</t>
  </si>
  <si>
    <t>Klidná rezidenční čtvrť z.s.</t>
  </si>
  <si>
    <t>Valašské Meziříčí, Smetanova 573/7, PSČ 75701</t>
  </si>
  <si>
    <t>Klidné Želechovice, z. s.</t>
  </si>
  <si>
    <t>Želechovice nad Dřevnicí, Nádražní 190, PSČ 76311</t>
  </si>
  <si>
    <t>Klobucké stezky z. s.</t>
  </si>
  <si>
    <t>Valašské Klobouky, Luční 910, PSČ 76601</t>
  </si>
  <si>
    <t>Klobucký silák, z.s.</t>
  </si>
  <si>
    <t>Valašské Klobouky, Nádražní 369, PSČ 76601</t>
  </si>
  <si>
    <t>Klobucký volejbal, z.s.</t>
  </si>
  <si>
    <t>Valašské Klobouky, Cyrilometodějská 886, PSČ 76601</t>
  </si>
  <si>
    <t>Klub absolventů Baťovy školy práce, z.s.</t>
  </si>
  <si>
    <t>Zlín, Gahurova 292, PSČ 76001</t>
  </si>
  <si>
    <t>Klub akcionářů Zlínské Ateliéry</t>
  </si>
  <si>
    <t>Uherské Hradiště, Mařatice, Na Zápovědi 560, PSČ 68601</t>
  </si>
  <si>
    <t>Klub amatérského filmu Kroměříž z.s.</t>
  </si>
  <si>
    <t>Kroměříž, Vážany, Lesní 1/22, PSČ 76701</t>
  </si>
  <si>
    <t>Klub bechtěreviků ČR, Zlínský kraj, pobočný spolek</t>
  </si>
  <si>
    <t>Zlín, Lomená 6377, PSČ 76001</t>
  </si>
  <si>
    <t>Klub biatlonu Bystřice pod Hostýnem, p.s.</t>
  </si>
  <si>
    <t>Bystřice pod Hostýnem, Lázně 1420, PSČ 76861</t>
  </si>
  <si>
    <t>Klub biatlonu Halenkovice, p.s.</t>
  </si>
  <si>
    <t>Halenkovice 470, PSČ 76363</t>
  </si>
  <si>
    <t>Klub biatlonu Míkovice, p.s.</t>
  </si>
  <si>
    <t>Klub biatlonu Rožnov pod Radhoštěm, p.s.</t>
  </si>
  <si>
    <t>Rožnov pod Radhoštěm, Horní Dráhy 2765, PSČ 75661</t>
  </si>
  <si>
    <t>Klub biatlonu Vsetín - Bobrky, p.s.</t>
  </si>
  <si>
    <t>Vsetín, Rokytnice 439</t>
  </si>
  <si>
    <t>Klub biatlonu WOCO Vsetín, z.s.</t>
  </si>
  <si>
    <t>Vsetín, Tyršova 1328, PSČ 75501</t>
  </si>
  <si>
    <t>Klub Bojkovských Skeptiků - Svobodný Občanský Spolek</t>
  </si>
  <si>
    <t>Bojkovice, Krhov 28, PSČ 68771</t>
  </si>
  <si>
    <t>Klub celiaků Zlín - Bezlepkově ve Zlíně, z.s.</t>
  </si>
  <si>
    <t>Zlín, Křiby 4721, PSČ 76005</t>
  </si>
  <si>
    <t>Klub chovatelů loveckých slídičů - výstava - slídiči, z. s.</t>
  </si>
  <si>
    <t>Držková 33, PSČ 76319</t>
  </si>
  <si>
    <t>Klub cykloturistiky Kateřinice, z. s.</t>
  </si>
  <si>
    <t>Kateřinice 179, PSČ 75621</t>
  </si>
  <si>
    <t>Klub českých turistů Bystřice pod Hostýnem</t>
  </si>
  <si>
    <t>Rajnochovice 203, PSČ 76871</t>
  </si>
  <si>
    <t>Klub českých turistů /KČT/Hovězí</t>
  </si>
  <si>
    <t>Hovězí,</t>
  </si>
  <si>
    <t>Klub českých turistů, odbor Holešov</t>
  </si>
  <si>
    <t>Holešov, Sadová 1549, PSČ 76901</t>
  </si>
  <si>
    <t>Klub českých turistů, odbor Kroměříž</t>
  </si>
  <si>
    <t>Kroměříž, Žerotínova 2983/17, PSČ 76701</t>
  </si>
  <si>
    <t>KLUB ČESKÝCH TURISTŮ ODBOR KROMĚŘÍŽ DRACI</t>
  </si>
  <si>
    <t>Kroměříž, Švabinského 1474</t>
  </si>
  <si>
    <t>Klub českých turistů, odbor Uherské Hradiště</t>
  </si>
  <si>
    <t>Huštěnovice</t>
  </si>
  <si>
    <t>Huštěnovice 54, PSČ 68703</t>
  </si>
  <si>
    <t>Klub českých turistů, odbor Zlín</t>
  </si>
  <si>
    <t>Klub českých turistů, Tupesy</t>
  </si>
  <si>
    <t>Tupesy,</t>
  </si>
  <si>
    <t>Klub českých turistů Uh. Hradiště</t>
  </si>
  <si>
    <t>Klub dárců krve Kroměřížska,z.s.</t>
  </si>
  <si>
    <t>Kroměříž, Broskvová 4138/2, PSČ 76701</t>
  </si>
  <si>
    <t>Klub dárců krve, o.s.</t>
  </si>
  <si>
    <t>Ostrožská Nová Ves, Obecnice 644, PSČ 68722</t>
  </si>
  <si>
    <t>Klub dráhařů, spolek</t>
  </si>
  <si>
    <t>Hvozdná, Hlavní 95, PSČ 76310</t>
  </si>
  <si>
    <t>Klub důchodců Bystřice pod Hostýnem, z.s.</t>
  </si>
  <si>
    <t>Klub důchodců Hutisko-Solanec, z.s.</t>
  </si>
  <si>
    <t>Klub důchodců Uherské Hradiště, spolek</t>
  </si>
  <si>
    <t>Uherské Hradiště, Kollárova 1243, PSČ 68601</t>
  </si>
  <si>
    <t>Klub důchodců Zašová</t>
  </si>
  <si>
    <t>Klub dvojčat a vícerčat Zlín</t>
  </si>
  <si>
    <t>Zlín, Prštné, M. Alše 436, PSČ 76001</t>
  </si>
  <si>
    <t>Klub filatelistů ve Zlíně, z. s.</t>
  </si>
  <si>
    <t>Zlín, Prštné, Svat. Čecha 352, PSČ 76001</t>
  </si>
  <si>
    <t>KLUB H + Z - spolek pro využití odkazu Jiřího Hanzelky a Miroslava Zikmunda, z.s.</t>
  </si>
  <si>
    <t>Zlín, Vavrečkova 7040, PSČ 76001</t>
  </si>
  <si>
    <t>Klub Házené Vsetín z.s.</t>
  </si>
  <si>
    <t>Klub her Zašová, z. s.</t>
  </si>
  <si>
    <t>Zašová 821, PSČ 75651</t>
  </si>
  <si>
    <t>Klub historických vozidel a veteránů Zlín, z.s.</t>
  </si>
  <si>
    <t>Zlín, Louky, V Olší 6235, PSČ 76302</t>
  </si>
  <si>
    <t>Klub horských běžců Radegast, z.s.</t>
  </si>
  <si>
    <t>Poličná 406, PSČ 75701</t>
  </si>
  <si>
    <t>Klub horských sportů Zlín, z.s.</t>
  </si>
  <si>
    <t>Klub instruktorů lyžování Zlín z.s.</t>
  </si>
  <si>
    <t>Zlín, Mladcová, Na Drahách 319, PSČ 76001</t>
  </si>
  <si>
    <t>Klub I.P.S.C. č. 23 Asociace praktické střelby České republiky</t>
  </si>
  <si>
    <t>Zlín, Borová 6449, PSČ 76001</t>
  </si>
  <si>
    <t>Klub i4U</t>
  </si>
  <si>
    <t>Kroměříž, Moravcova 259/9, PSČ 76701</t>
  </si>
  <si>
    <t>Klub Jarní kvítí</t>
  </si>
  <si>
    <t>Valašské Meziříčí, Zdeňka Fibicha 1209, PSČ 75701</t>
  </si>
  <si>
    <t>Klub Jedu na dřeň v AČR</t>
  </si>
  <si>
    <t>Zlín, Kvítková 4703, PSČ 76001</t>
  </si>
  <si>
    <t>Klub Kalokagathia, z.s.</t>
  </si>
  <si>
    <t>Rožnov pod Radhoštěm, Dolní Paseky 465, PSČ 75661</t>
  </si>
  <si>
    <t>Klub K&amp;K Motors v AČR</t>
  </si>
  <si>
    <t>Kostelec u Holešova 280, PSČ 76843</t>
  </si>
  <si>
    <t>Klub koloběhu pro Zlínský kraj, z.s.</t>
  </si>
  <si>
    <t>Zlín, Okružní 4550, PSČ 76005</t>
  </si>
  <si>
    <t>Klub křesťanských žen Bystřice pod Hostýnem</t>
  </si>
  <si>
    <t>Bystřice pod Hostýnem, Rychlov, Přerovská 279, PSČ 76861</t>
  </si>
  <si>
    <t>Klub křesťanských žen, z.s.</t>
  </si>
  <si>
    <t>Klub lanového centra - CVAK</t>
  </si>
  <si>
    <t>Klub Lila, z.s.</t>
  </si>
  <si>
    <t>Bystřička 199, PSČ 75624</t>
  </si>
  <si>
    <t>KLUB LODNÍCH MODELÁŘŮ MORAVA TEAM modelářský klub p.s.</t>
  </si>
  <si>
    <t>Kroměříž, Kazimíra Rudého 3798/73, PSČ 76701</t>
  </si>
  <si>
    <t>Klub lyžařů Valašské Klobouky z.s.</t>
  </si>
  <si>
    <t>Valašské Klobouky č. ev. 1, PSČ 76601</t>
  </si>
  <si>
    <t>Průzkum trhu a veřejného mínění</t>
  </si>
  <si>
    <t>Klub modelářů Kelč, z.s.</t>
  </si>
  <si>
    <t>Klub moderní gymnastiky Zlín, z. s.</t>
  </si>
  <si>
    <t>Klub moravských potápěčů, z.s.</t>
  </si>
  <si>
    <t>Zlín, Kudlov, Halova 620, PSČ 76001</t>
  </si>
  <si>
    <t>Klub Neverending Force, z.s.</t>
  </si>
  <si>
    <t>Zlín, Ševcovská 5221, PSČ 76001</t>
  </si>
  <si>
    <t>Klub NOX</t>
  </si>
  <si>
    <t>Klub občanských a studentských aktivit - K.O.S.A., z.s.</t>
  </si>
  <si>
    <t>Holešov, Bartošova 757/21, PSČ 76901</t>
  </si>
  <si>
    <t>Klub orientačního běhu Směr Kroměříž, z.s.</t>
  </si>
  <si>
    <t>Klub Otevřená Beseda, z.s.</t>
  </si>
  <si>
    <t>Valašské Klobouky, Soukenická 22, PSČ 76601</t>
  </si>
  <si>
    <t>Klub pinčů České republiky, z.s.</t>
  </si>
  <si>
    <t>Vsetín, Konečná 1177, PSČ 75501</t>
  </si>
  <si>
    <t>Klub plastikových modelářů Uherské Hradiště, z. s.</t>
  </si>
  <si>
    <t>Uherské Hradiště, Mařatice, Okružní 710, PSČ 68605</t>
  </si>
  <si>
    <t>Klub plastikových modelářů Zlín</t>
  </si>
  <si>
    <t>Zlín, Budovatelská 4818, PSČ 76005</t>
  </si>
  <si>
    <t>Klub plastikových modelářů Zlínek</t>
  </si>
  <si>
    <t>Zlín, Tyršovo nábřeží 801, PSČ 76001</t>
  </si>
  <si>
    <t>Klub podnikatelů Zašová</t>
  </si>
  <si>
    <t>Zašová 36, PSČ 75651</t>
  </si>
  <si>
    <t>Klub potápěčů DONALD KUNOVICE, pobočný spolek SPMS</t>
  </si>
  <si>
    <t>Klub pro turistiku, přírodu a životní prostředí, zapsaný spolek</t>
  </si>
  <si>
    <t>Zádveřice-Raková, Raková 3, PSČ 76312</t>
  </si>
  <si>
    <t>Klub přátel dětí a mládeže-LUHÁK, z.s.</t>
  </si>
  <si>
    <t>Vsetín, Jasenická 1544, PSČ 75501</t>
  </si>
  <si>
    <t>Klub přátel dětí a školy při Základní škole Gabry a Málinky Štítná nad Vláří, z.s.</t>
  </si>
  <si>
    <t>Štítná nad Vláří-Popov, Štítná nad Vláří 417, PSČ 76333</t>
  </si>
  <si>
    <t>Klub přátel divadla Zlín z. s.</t>
  </si>
  <si>
    <t>Zlín, třída Tomáše Bati 4091, PSČ 76001</t>
  </si>
  <si>
    <t>Klub přátel historie města Otrokovice z. s.</t>
  </si>
  <si>
    <t>Klub přátel historie Slavičínska, z.s.</t>
  </si>
  <si>
    <t>Slavičín, Horní náměstí 102, PSČ 76321</t>
  </si>
  <si>
    <t>Klub přátel Junáka Vsetín</t>
  </si>
  <si>
    <t>Vsetín, Smetanova 818, PSČ 75501</t>
  </si>
  <si>
    <t>Klub přátel opevnění</t>
  </si>
  <si>
    <t>Rožnov pod Radhoštěm, Čs. armády 1248, PSČ 75661</t>
  </si>
  <si>
    <t>Klub přátel ruských plemen Moravia</t>
  </si>
  <si>
    <t>Kunovice, Osvobození 580, PSČ 68604</t>
  </si>
  <si>
    <t>Klub přátel školy a studia</t>
  </si>
  <si>
    <t>Zlín, Kostelec, Obilná 540, PSČ 76314</t>
  </si>
  <si>
    <t>Klub přátel školy Pod vinohrady, Uherský Brod</t>
  </si>
  <si>
    <t>Klub přátel vína, z.s.</t>
  </si>
  <si>
    <t>Klub přátel Základní umělecké školy v Uherském Brodě, z. s.</t>
  </si>
  <si>
    <t>Uherský Brod, Mariánské nám. 65, PSČ 68801</t>
  </si>
  <si>
    <t>Klub přátel ZŠ Šafaříkova, Valašské Meziříčí</t>
  </si>
  <si>
    <t>Valašské Meziříčí, Šafaříkova</t>
  </si>
  <si>
    <t>Klub rekreační tělovýchovy a turistiky Staré Město,z.s.</t>
  </si>
  <si>
    <t>Staré Město, Brněnská 1249, PSČ 68603</t>
  </si>
  <si>
    <t>Klub rekreačních sportů</t>
  </si>
  <si>
    <t>Zlín, Mladcová, U Hřiště 457, PSČ 76001</t>
  </si>
  <si>
    <t>Klub rodičů a přátel SOŠ v Holešově, Pivovarská 1419</t>
  </si>
  <si>
    <t>Klub rodičů a přátel školy při Gymnáziu Ladislava Jaroše Holešov, z.s.</t>
  </si>
  <si>
    <t>Klub rodičů a přátel školy při SOŠ Luhačovice z.s.</t>
  </si>
  <si>
    <t>Luhačovice, Masarykova l01</t>
  </si>
  <si>
    <t>Klub rodičů a přátel školy při Základní škole v Hulíně, z.s.</t>
  </si>
  <si>
    <t>Hulín, Nábřeží 938, PSČ 76824</t>
  </si>
  <si>
    <t>Klub rodičů a přátel Základní školy Josefa Bublíka, Bánov, z. s.</t>
  </si>
  <si>
    <t>Bánov 507, PSČ 68754</t>
  </si>
  <si>
    <t>Klub rodičů a přátel ZŠ a MŠ Komňa</t>
  </si>
  <si>
    <t>Komňa 169, PSČ 68771</t>
  </si>
  <si>
    <t>Klub rodičů a přátel ZŠ a MŠ Vlachovice, z.s.</t>
  </si>
  <si>
    <t>Vlachovice 246, PSČ 76324</t>
  </si>
  <si>
    <t>Klub rodičů a přátel ZŠ Koryčany, o.s.</t>
  </si>
  <si>
    <t>Koryčany, Masarykova 161, ZŠ</t>
  </si>
  <si>
    <t>Klub rodičů při Gymnáziu Valašské Klobouky, z. s.</t>
  </si>
  <si>
    <t>Klub rodičů při MŠ Zlín, Česká</t>
  </si>
  <si>
    <t>Klub rodičů při Základní škole Zlín, Křiby 4788, z.s.</t>
  </si>
  <si>
    <t>Zlín, Křiby 4788, PSČ 76005</t>
  </si>
  <si>
    <t>Klub rodičů při Základní škole, z.s.</t>
  </si>
  <si>
    <t>Zlín, Univerzitní 2701, PSČ 76001</t>
  </si>
  <si>
    <t>Klub rodičů při ZŠ a MŠ Nedašov, z. s.</t>
  </si>
  <si>
    <t>Nedašov 294, PSČ 76332</t>
  </si>
  <si>
    <t>Klub rodičů při ZŠ Bratrství Čechů a Slováků Bystřice p.Hostýnem z.s.</t>
  </si>
  <si>
    <t>Bystřice pod Hostýnem, Pod Zábřehem 1100, PSČ 76861</t>
  </si>
  <si>
    <t>Klub rodičů při ZŠ Slušovice, z.s.</t>
  </si>
  <si>
    <t>Slušovice, Školní 222, PSČ 76315</t>
  </si>
  <si>
    <t>Klub rodičů při ZŠ Topolná, z.s.</t>
  </si>
  <si>
    <t>Topolná 101, PSČ 68711</t>
  </si>
  <si>
    <t>Klub rodičů při 1. ZŠ Komenského - Napajedla z.s.</t>
  </si>
  <si>
    <t>Napajedla, Komenského 268, PSČ 76361</t>
  </si>
  <si>
    <t>Klub rodičů ZŠ Chvalčov, z.s.</t>
  </si>
  <si>
    <t>Chvalčov, Školní 633, PSČ 76872</t>
  </si>
  <si>
    <t>Klub rodičů ZŠ Čtverka z.s.</t>
  </si>
  <si>
    <t>Uherský Brod, Na Výsluní 2047, PSČ 68801</t>
  </si>
  <si>
    <t>Klub RX Billiard Uh.Hradiště</t>
  </si>
  <si>
    <t>Uherské Hradiště, Růžová 7</t>
  </si>
  <si>
    <t>Holešov, U Letiště 1155/13, PSČ 76901</t>
  </si>
  <si>
    <t>Klub sázkařů live JACKPOT</t>
  </si>
  <si>
    <t>Svobodova 1305, Otrokovice</t>
  </si>
  <si>
    <t>Klub seniorů Bánov</t>
  </si>
  <si>
    <t>Klub seniorů Hulín - Marie Lačíková</t>
  </si>
  <si>
    <t>Hulín, Družba 1196, PSČ 76824</t>
  </si>
  <si>
    <t>Klub seniorů Lačnov z.s.</t>
  </si>
  <si>
    <t>Lačnov 158, PSČ 75612</t>
  </si>
  <si>
    <t>Klub seniorů Ludslavice, z.s.</t>
  </si>
  <si>
    <t>Ludslavice 4, PSČ 76852</t>
  </si>
  <si>
    <t>Klub seniorů města Kroměříže, z.s.</t>
  </si>
  <si>
    <t>Klub seniorů Ostrožská Lhota, z.s.</t>
  </si>
  <si>
    <t>Ostrožská Lhota 461, PSČ 68723</t>
  </si>
  <si>
    <t>Klub seniorů Rožnov pod Radhoštěm, z.s.</t>
  </si>
  <si>
    <t>Rožnov pod Radhoštěm, 1. máje 1000, PSČ 75661</t>
  </si>
  <si>
    <t>Klub seniorů Sehradice</t>
  </si>
  <si>
    <t>Sehradice</t>
  </si>
  <si>
    <t>Sehradice 64, PSČ 76323</t>
  </si>
  <si>
    <t>Klub seniorů Sehradice z.s.</t>
  </si>
  <si>
    <t>Klub seniorů Šumice z.s.</t>
  </si>
  <si>
    <t>Klub seniorů UB z.s.</t>
  </si>
  <si>
    <t>Uherský Brod, Kaunicova 77, PSČ 68801</t>
  </si>
  <si>
    <t>Klub seniorů Valašské Klobouky, z. s.</t>
  </si>
  <si>
    <t>Valašské Klobouky, U Náhonu 1006, PSČ 76601</t>
  </si>
  <si>
    <t>Klub skalkařů Zlín, z.s.</t>
  </si>
  <si>
    <t>Zlín, Slovenská 2834, PSČ 76001</t>
  </si>
  <si>
    <t>Klub společenských tanců Aleše a Dany Mědílkových Zlín, z.s.</t>
  </si>
  <si>
    <t>Klub sportovní gymnastiky Rožnov</t>
  </si>
  <si>
    <t>Rožnov pod Radhoštěm, 5. května 1700, PSČ 75661</t>
  </si>
  <si>
    <t>Klub sportovních aktivit Zlín, o.s.</t>
  </si>
  <si>
    <t>Zlín, Klabalská 4988</t>
  </si>
  <si>
    <t>Klub sportovních aktivit z.s.</t>
  </si>
  <si>
    <t>Zlín, U Stadionu 3299, PSČ 76001</t>
  </si>
  <si>
    <t>KLUB SPORTOVNÍHO LYŽOVÁNÍ BTL KROMĚŘÍŽ z.s.</t>
  </si>
  <si>
    <t>Kroměříž, Stoličkova 2068/78, PSČ 76701</t>
  </si>
  <si>
    <t>Klub sportovního tance Swing Kroměříž, z.s.</t>
  </si>
  <si>
    <t>Kroměříž, Vážany, Příčná 151/26, PSČ 76701</t>
  </si>
  <si>
    <t>Klub stolního tenisu Dolní Němčí, z.s.</t>
  </si>
  <si>
    <t>Dolní Němčí, Školní 606, PSČ 68762</t>
  </si>
  <si>
    <t>Klub stolního tenisu Količín</t>
  </si>
  <si>
    <t>Holešov, Količín 21, PSČ 76901</t>
  </si>
  <si>
    <t>Klub stolního tenisu Ořechov - Vážany, z.s.</t>
  </si>
  <si>
    <t>Ořechov 105, PSČ 68737</t>
  </si>
  <si>
    <t>Klub stolního tenisu Počenice z.s.</t>
  </si>
  <si>
    <t>Počenice-Tetětice, Počenice 74, PSČ 76833</t>
  </si>
  <si>
    <t>Klub stolního tenisu Ratiboř, občanské sdružení</t>
  </si>
  <si>
    <t>Ratiboř 21, PSČ 75621</t>
  </si>
  <si>
    <t>Klub stolního tenisu Vsetín, z.s.</t>
  </si>
  <si>
    <t>Vsetín, Horní Jasenka 269, PSČ 75501</t>
  </si>
  <si>
    <t>Klub stolního tenisu Vsetín,občanské sdružení</t>
  </si>
  <si>
    <t>Vsetín, Nad Zámkem 24, PSČ 75501</t>
  </si>
  <si>
    <t>Klub stomiků Kroměříž</t>
  </si>
  <si>
    <t>Kroměříž, Havlíčkova 660/69, PSČ 76701</t>
  </si>
  <si>
    <t>Klub stomiků Zlín, z.s.</t>
  </si>
  <si>
    <t>Zlín, Havlíčkovo nábř.600  Kraj.nemocnice T.Bati a.s.</t>
  </si>
  <si>
    <t>Klub Straton Kroměříž, z.s.</t>
  </si>
  <si>
    <t>Míškovice 5, PSČ 76852</t>
  </si>
  <si>
    <t>Klub Světlov Bojkovice, z.s.</t>
  </si>
  <si>
    <t>Klub Taekwondo WTF Zlín, z. s.</t>
  </si>
  <si>
    <t>Zlín, Dolní 2358, PSČ 76001</t>
  </si>
  <si>
    <t>Klub Tai Ji Quan Zlín, z. s.</t>
  </si>
  <si>
    <t>Zlín, Jílová 4568, PSČ 76005</t>
  </si>
  <si>
    <t>"Klub tetiček, strýců a jejich následovníků"</t>
  </si>
  <si>
    <t>Kunovice, náměstí Svobody 361, PSČ 68604</t>
  </si>
  <si>
    <t>Klub umění a řemesel, o. s.</t>
  </si>
  <si>
    <t>Klub UNESCO Kroměříž</t>
  </si>
  <si>
    <t>Kroměříž, Riegrovo náměstí 149/33, PSČ 76701</t>
  </si>
  <si>
    <t>Klub úplně fantastické rekreace</t>
  </si>
  <si>
    <t>Uherské Hradiště, Otakarova 81, PSČ 68601</t>
  </si>
  <si>
    <t>Klub valašských horolezců</t>
  </si>
  <si>
    <t>Vizovice, Lázeňská 1195, PSČ 76312</t>
  </si>
  <si>
    <t>,,Klub vodáků KOCÁBKA Bystřice pod Hostýnem´´</t>
  </si>
  <si>
    <t>Klub Vodáků Zubří</t>
  </si>
  <si>
    <t>Klub vojáků v záloze Březolupy</t>
  </si>
  <si>
    <t>Klub vojáků v záloze CELNÍ STRÁŽ Nový Hrozenkov</t>
  </si>
  <si>
    <t>Nový Hrozenkov 571, PSČ 75604</t>
  </si>
  <si>
    <t>Klub vojáků v záloze Halenkovice</t>
  </si>
  <si>
    <t>Halenkovice 192, PSČ 76363</t>
  </si>
  <si>
    <t>Klub vojáků v záloze Kostelec u Holešova</t>
  </si>
  <si>
    <t>Kostelec u Holešova 188, PSČ 76843</t>
  </si>
  <si>
    <t>Klub vojáků v záloze Kroměříž</t>
  </si>
  <si>
    <t>Kroměříž, Těšnovice 152, PSČ 76701</t>
  </si>
  <si>
    <t>Klub vojáků v záloze Kvasice</t>
  </si>
  <si>
    <t>Kvasice, Čtvrtky 677, PSČ 76821</t>
  </si>
  <si>
    <t>Klub vojáků v záloze Loučka</t>
  </si>
  <si>
    <t>Klub vojáků v záloze Napajedla</t>
  </si>
  <si>
    <t>Klub vojáků v záloze Rožnov pod Radhoštěm</t>
  </si>
  <si>
    <t>Rožnov pod Radhoštěm, Uhliska 288, PSČ 75661</t>
  </si>
  <si>
    <t>Klub vojáků v záloze Uherské Hradiště</t>
  </si>
  <si>
    <t>Kněžpole 57, PSČ 68712</t>
  </si>
  <si>
    <t>Klub vojáků v záloze Valašské Meziříčí</t>
  </si>
  <si>
    <t>Valašské Meziříčí, Sokolská 1088, PSČ 75701</t>
  </si>
  <si>
    <t>Klub vojáků v záloze VALAŠSKO Valašské Meziříčí</t>
  </si>
  <si>
    <t>Valašské Meziříčí, Tolstého 1136, PSČ 75701</t>
  </si>
  <si>
    <t>Klub vojáků v záloze VRT Kroměříž</t>
  </si>
  <si>
    <t>Kroměříž, Žerotínova 2910/57, PSČ 76701</t>
  </si>
  <si>
    <t>Klub vojáků v záloze Vsetín - město</t>
  </si>
  <si>
    <t>Ústí 176, PSČ 75501</t>
  </si>
  <si>
    <t>Klub vojáků v záloze ZBROJOVKA Vsetín</t>
  </si>
  <si>
    <t>Nový Hrozenkov 688, PSČ 75604</t>
  </si>
  <si>
    <t>Klub vojenské historie francouzského císařství Bystřice pod Hostýnem z.s.</t>
  </si>
  <si>
    <t>Bystřice pod Hostýnem, Pod Platany 1, PSČ 76861</t>
  </si>
  <si>
    <t>"Klub vojenské historie Hraničářský pluk 19 z.s."</t>
  </si>
  <si>
    <t>Staré Město, Brněnská 1950, PSČ 68603</t>
  </si>
  <si>
    <t>Klub vojenské historie Litava, z.s.</t>
  </si>
  <si>
    <t>Otrokovice, Dr. E. Beneše 311, PSČ 76502</t>
  </si>
  <si>
    <t>Klub vojenské historie Painballu a Air -Softu Bystřice p.Host.</t>
  </si>
  <si>
    <t>Klub vojenské historie SAAR</t>
  </si>
  <si>
    <t>Zlín, Pod Vrškem 2310, PSČ 76001</t>
  </si>
  <si>
    <t>Klub vojenské historie Slavičín</t>
  </si>
  <si>
    <t>Slavičín, Okružní 659, PSČ 76321</t>
  </si>
  <si>
    <t>Klub vojenské historie Valaši, z. s.</t>
  </si>
  <si>
    <t>Valašské Klobouky, Cyrilometodějská 686, PSČ 76601</t>
  </si>
  <si>
    <t>Klub vojenské historie Zlín, z. s.</t>
  </si>
  <si>
    <t>Zlín, Lužkovice, U Tescomy 251, PSČ 76001</t>
  </si>
  <si>
    <t>Klub vojenských výsadkových veteránů plk. Vladimíra Maděry Zlín, z.s.</t>
  </si>
  <si>
    <t>Klub volného létání Vostrombouch, z. s.</t>
  </si>
  <si>
    <t>Holešov, U Letiště 1216/47, PSČ 76901</t>
  </si>
  <si>
    <t>Klub výsadkových veteránů Holešov zapsaný spolek</t>
  </si>
  <si>
    <t>Holešov, nám. Dr. E. Beneše 17/56, PSČ 76901</t>
  </si>
  <si>
    <t>Klub zlaté ručičky z. s.</t>
  </si>
  <si>
    <t>Prusinovice, Zámčisko 350, PSČ 76842</t>
  </si>
  <si>
    <t>Klub ZUŠ HARMONIE Zlín, s.r.o.</t>
  </si>
  <si>
    <t>Zlín, Mostní 2397, PSČ 76001</t>
  </si>
  <si>
    <t>Klub ZUŠ Vsetín z.s.</t>
  </si>
  <si>
    <t>Vsetín, U Trati 1006, PSČ 75501</t>
  </si>
  <si>
    <t>Klub železničních modelářů Zlín p.s.</t>
  </si>
  <si>
    <t>Klub žen a dívek ve Valašské Bystřici</t>
  </si>
  <si>
    <t>Valašská Bystřice, PSČ 756 27</t>
  </si>
  <si>
    <t>Klub 3. Věku, z.s.</t>
  </si>
  <si>
    <t>Nedakonice 33, PSČ 68738</t>
  </si>
  <si>
    <t>Klubíčko Kroměříž, z. s.</t>
  </si>
  <si>
    <t>Kroměříž, Albertova 4062/8, PSČ 76701</t>
  </si>
  <si>
    <t>Klubíčko v Podhoří, z. s.</t>
  </si>
  <si>
    <t>Zlín, Podlesí II 5610, PSČ 76005</t>
  </si>
  <si>
    <t>Klubovna Vesník z.s.</t>
  </si>
  <si>
    <t>Vsetín, Vesník 411, PSČ 75501</t>
  </si>
  <si>
    <t>Kluci z Východu z. s.</t>
  </si>
  <si>
    <t>KM BULL KLUB Kroměříž</t>
  </si>
  <si>
    <t>Kroměříž, Riegrovo nám. 122</t>
  </si>
  <si>
    <t>KMSK8 z. s.</t>
  </si>
  <si>
    <t>Kroměříž, Nerudova 458/2, PSČ 76701</t>
  </si>
  <si>
    <t>KMsport, z.s.</t>
  </si>
  <si>
    <t>Kroměříž, Třešňová 4228/3, PSČ 76701</t>
  </si>
  <si>
    <t>Kněžpolanka o.s.</t>
  </si>
  <si>
    <t>Kněžpole 278, PSČ 68712</t>
  </si>
  <si>
    <t>KNĚŽPOLSKÁ CHASA z. s.</t>
  </si>
  <si>
    <t>Kněžpole 152, PSČ 68712</t>
  </si>
  <si>
    <t>Kněžpolský mužský sbor, z.s.</t>
  </si>
  <si>
    <t>Kněžpole 254, PSČ 68712</t>
  </si>
  <si>
    <t>Koalice pro rozvoj Uherského Hradiště z.s.</t>
  </si>
  <si>
    <t>Uherské Hradiště, Rybárny, Luční 74, PSČ 68601</t>
  </si>
  <si>
    <t>Koalice za přírodu Beskyd</t>
  </si>
  <si>
    <t>Kočičí depozitum Flíček, z.s.</t>
  </si>
  <si>
    <t>Nedakonice 99, PSČ 68738</t>
  </si>
  <si>
    <t>Kolegiátní kapitula u svatého Mořice v Kroměříži</t>
  </si>
  <si>
    <t>Kroměříž, Stojanovo náměstí 5/3, PSČ 76701</t>
  </si>
  <si>
    <t>Kolem Antoníčka, z. s.</t>
  </si>
  <si>
    <t>Zlín, Na Výsluní 251, PSČ 76001</t>
  </si>
  <si>
    <t>Kolem KM, z. s.</t>
  </si>
  <si>
    <t>Kroměříž, Čs. armády 3998/1, PSČ 76701</t>
  </si>
  <si>
    <t>KOLOKROUŽEK Zlín, z.s.</t>
  </si>
  <si>
    <t>Zlín, Lesní čtvrť III 3726, PSČ 76001</t>
  </si>
  <si>
    <t>"Kometa pro děti", z.s.</t>
  </si>
  <si>
    <t>Zlín, Kostelec, Fryštácká 679, PSČ 76314</t>
  </si>
  <si>
    <t>Komfort Mag, z.s.</t>
  </si>
  <si>
    <t>Zlín, Potoky 5431, PSČ 76001</t>
  </si>
  <si>
    <t>KomunitKa v Bezobaláči Zlín, z.s.</t>
  </si>
  <si>
    <t>KomuNitka zážitků z. s.</t>
  </si>
  <si>
    <t>Uherský Brod, Provazní 1199, PSČ 68801</t>
  </si>
  <si>
    <t>Komunitní centrum Zelené údolí, z.s.</t>
  </si>
  <si>
    <t>Želechovice nad Dřevnicí, Paseky 135, PSČ 76311</t>
  </si>
  <si>
    <t>Komunitní energetické společenství KENES z. s.</t>
  </si>
  <si>
    <t>Zlín, Stráže 3662, PSČ 76001</t>
  </si>
  <si>
    <t>Komunitní škola BESEDA, z. s.</t>
  </si>
  <si>
    <t>Nivnice, náměstí Míru 196, PSČ 68751</t>
  </si>
  <si>
    <t>Komunitní škola Kašava, z. s.</t>
  </si>
  <si>
    <t>Kašava</t>
  </si>
  <si>
    <t>Kašava 193, PSČ 76319</t>
  </si>
  <si>
    <t>Komunitní škola Lvíčata, z.s.</t>
  </si>
  <si>
    <t>Valašské Meziříčí, Juřinka 48, PSČ 75701</t>
  </si>
  <si>
    <t>Komunitní škola SOVA, z.s.</t>
  </si>
  <si>
    <t>Neubuz</t>
  </si>
  <si>
    <t>Neubuz 91, PSČ 76315</t>
  </si>
  <si>
    <t>Komunitní škola Traplice, z.s.</t>
  </si>
  <si>
    <t>Traplice 375, PSČ 68704</t>
  </si>
  <si>
    <t>Komunitní škola T.R.N.K.A., z.s.</t>
  </si>
  <si>
    <t>Kondiční sportovní klub Zlín, z. s.</t>
  </si>
  <si>
    <t>Zlín, Louky, třída Tomáše Bati 258, PSČ 76302</t>
  </si>
  <si>
    <t>Konfederace politických vězňů, odbočka 63, sdružování občanů</t>
  </si>
  <si>
    <t>Uherské Hradiště,</t>
  </si>
  <si>
    <t>Kongregace sester sv. Cyrila a Metoděje</t>
  </si>
  <si>
    <t>Velehrad, Hradišťská 142, PSČ 68706</t>
  </si>
  <si>
    <t>Konsensus, spolek ochrany krajiny a kulturních hodnot</t>
  </si>
  <si>
    <t>Velehrad, Salašská 244, PSČ 68706</t>
  </si>
  <si>
    <t>Kooperace s přírodou, o. s.</t>
  </si>
  <si>
    <t>Velehrad, Salašská 269</t>
  </si>
  <si>
    <t>KOPRETINA BŘEZOVÁ, z. s.</t>
  </si>
  <si>
    <t>Březová 435, PSČ 68767</t>
  </si>
  <si>
    <t>Korálky Kroměříž, z. s.</t>
  </si>
  <si>
    <t>Kroměříž, Elišky Krásnohorské 3634/19, PSČ 76701</t>
  </si>
  <si>
    <t>Kordulky z.s.</t>
  </si>
  <si>
    <t>Horní Bečva 14, PSČ 75657</t>
  </si>
  <si>
    <t>KORUNKA LUHAČOVICE, z. s.</t>
  </si>
  <si>
    <t>Luhačovice, Bezručova 338, PSČ 76326</t>
  </si>
  <si>
    <t>Koryčanský kalíšek,zapsaný spolek</t>
  </si>
  <si>
    <t>Koryčany, Tovární čtvrť 696, PSČ 76805</t>
  </si>
  <si>
    <t>KORYČANY BIKERS, z.s.</t>
  </si>
  <si>
    <t>Koryčany, Blišice 38, Irena Berková</t>
  </si>
  <si>
    <t>Kosiska, z.s.</t>
  </si>
  <si>
    <t>Ratiboř 511, PSČ 75621</t>
  </si>
  <si>
    <t>Kosteláň z.s.</t>
  </si>
  <si>
    <t>Kostelec u Holešova 17, PSČ 76843</t>
  </si>
  <si>
    <t>KOTLOVÁ z.s.</t>
  </si>
  <si>
    <t>Rožnov pod Radhoštěm, Koryčanské Paseky 2910, PSČ 75661</t>
  </si>
  <si>
    <t>KOTVY Kvasice, z.s.</t>
  </si>
  <si>
    <t>Kvasice, Krajina 266, PSČ 76821</t>
  </si>
  <si>
    <t>KoZa Zlín z. s.</t>
  </si>
  <si>
    <t>Zlín, Na Honech III 4922, PSČ 76005</t>
  </si>
  <si>
    <t>KPS - Klub přátel Salaše z.s.</t>
  </si>
  <si>
    <t>"KPV Míkovice, z.s."</t>
  </si>
  <si>
    <t>Uherské Hradiště, Míkovice, Hlavní 40, PSČ 68609</t>
  </si>
  <si>
    <t>Krajina a památky, z.s.</t>
  </si>
  <si>
    <t>Zlámanec 37, PSČ 68712</t>
  </si>
  <si>
    <t>Krajská organizace ČSŽ Zlínský kraj</t>
  </si>
  <si>
    <t>Krajská organizace SPMP ČR - Zlínský kraj</t>
  </si>
  <si>
    <t>Zlín, Lazy 3695</t>
  </si>
  <si>
    <t>Krajská rada Asociace školních sportovních klubů České republiky Zlínského kraje, pobočný spolek</t>
  </si>
  <si>
    <t>Krajská rada seniorů Zlínského kraje, p.s.</t>
  </si>
  <si>
    <t>Zlín, Kvítková 4323, PSČ 76001</t>
  </si>
  <si>
    <t>Krajské centrum dalšího profesního vzdělávání a Centrum uznávání a celoživotního učení Zlínského kraje, o.p.s.</t>
  </si>
  <si>
    <t>Uherský Brod, Nivnická 1763, PSČ 68801</t>
  </si>
  <si>
    <t>Výzkum a vývoj v oblasti společenských a humanitních věd</t>
  </si>
  <si>
    <t>Krajský svaz cyklistiky Zlín z.s.</t>
  </si>
  <si>
    <t>Krajský svaz ČSPS - Zlínský kraj</t>
  </si>
  <si>
    <t>Otrokovice, Na Uličce 1362, PSČ 76502</t>
  </si>
  <si>
    <t>Krajský svaz juda Zlínského kraje, pobočný spolek Českého svazu juda</t>
  </si>
  <si>
    <t>Krajský svaz karate ČSKe Zlínského kraje, z.s.</t>
  </si>
  <si>
    <t>Krajský svaz lyžařů Zlínského kraje p.s.</t>
  </si>
  <si>
    <t>Rožnov pod Radhoštěm, Meziříčská 525, PSČ 75661</t>
  </si>
  <si>
    <t>KRAJSKÝ ŠTÁB SÁLOVÉHO FOTBALU V BRNĚ</t>
  </si>
  <si>
    <t>Kvasice, HUSOVA 627 /KOPECKÝ LUMÍR</t>
  </si>
  <si>
    <t>Krajský volejbalový svaz Zlínského kraje</t>
  </si>
  <si>
    <t>Krásné stáří, z. s.</t>
  </si>
  <si>
    <t>Zlín, Kotěrova 918, PSČ 76001</t>
  </si>
  <si>
    <t>Kraso club Valašské Klobouky z.s.</t>
  </si>
  <si>
    <t>Valašské Klobouky, Lipina 106, PSČ 76601</t>
  </si>
  <si>
    <t>Kreativní dílna a školka, z.s.</t>
  </si>
  <si>
    <t>Osvětimany 295, PSČ 68742</t>
  </si>
  <si>
    <t>KreKrA z.s.</t>
  </si>
  <si>
    <t>Zlín, Prštné, U Sokolovny 121, PSČ 76001</t>
  </si>
  <si>
    <t>Krhovské divadlo z.s.</t>
  </si>
  <si>
    <t>Bojkovice, Krhov 134, PSČ 68771</t>
  </si>
  <si>
    <t>Kroměřížan.cz, o. s.</t>
  </si>
  <si>
    <t>Bařice-Velké Těšany, Velké Těšany 61, PSČ 76701</t>
  </si>
  <si>
    <t>Kroměřížská dráha, z. s.</t>
  </si>
  <si>
    <t>Osíčko 122, PSČ 76861</t>
  </si>
  <si>
    <t>Opravy přístrojů a zařízení převážně pro domácnost, dům a zahradu</t>
  </si>
  <si>
    <t>„Kroměřížská fotbalová a sportovní budoucnost”, o.s.</t>
  </si>
  <si>
    <t>Kroměříž, Obvodová 3607/19, PSČ 76701</t>
  </si>
  <si>
    <t>Kroměřížská hokejová liga</t>
  </si>
  <si>
    <t>Kroměřížská rozvojová kancelář o.p.s.</t>
  </si>
  <si>
    <t>Kroměříž, Velké náměstí 115/1, PSČ 76701</t>
  </si>
  <si>
    <t>KROMĚŘÍŽSKO - sdružení pro cestovní ruch, z. s.</t>
  </si>
  <si>
    <t>Kroměřížský akvaristický spolek</t>
  </si>
  <si>
    <t>Kroměříž, Vážany, Osvoboditelů 92/66, PSČ 76701</t>
  </si>
  <si>
    <t>Kroměřížský okresní svaz stolního tenisu, z. s.</t>
  </si>
  <si>
    <t>Kroměřížský šipkový klub SAILA</t>
  </si>
  <si>
    <t>Kroměříž, Vrobelova 2741/10, PSČ 76701</t>
  </si>
  <si>
    <t>Kroužek divadelních ochotníků ve Hvozdné z.s.</t>
  </si>
  <si>
    <t>Hvozdná, Hlavní 148, PSČ 76310</t>
  </si>
  <si>
    <t>KRPŠ VŠEMINA z. s.</t>
  </si>
  <si>
    <t>Všemina 80, PSČ 76315</t>
  </si>
  <si>
    <t>KRTEK Břestek z. s.</t>
  </si>
  <si>
    <t>Břestek 326, PSČ 68708</t>
  </si>
  <si>
    <t>Kruh přátel Karla Hofmana, nadační fond</t>
  </si>
  <si>
    <t>Velké Karlovice 657, PSČ 75606</t>
  </si>
  <si>
    <t>Kruh přátel při Velehradě, z.s.</t>
  </si>
  <si>
    <t>Velehrad, Hradišťská 231, PSČ 68706</t>
  </si>
  <si>
    <t>Kruh Sluneční hole, z.s.</t>
  </si>
  <si>
    <t>Dolní Lhota 166, PSČ 76323</t>
  </si>
  <si>
    <t>Křesťanská škola, občanské sdružení</t>
  </si>
  <si>
    <t>Zlín, Příluky, Pod Mlýnem 309, PSČ 76001</t>
  </si>
  <si>
    <t>Křesťanské centrum OS Holešov</t>
  </si>
  <si>
    <t>Holešov, Žopy 192, PSČ 76901</t>
  </si>
  <si>
    <t>Křesťanské centrum víry AGAPÉ</t>
  </si>
  <si>
    <t>Křesťanské kulturní centrum Zlín z.s.</t>
  </si>
  <si>
    <t>"Křesťanské modlitební společenství Lydie, z. s."</t>
  </si>
  <si>
    <t>Vsetín, Mládí 1191, PSČ 75501</t>
  </si>
  <si>
    <t>Křesťanské občanské sdružení ve Vsetíně</t>
  </si>
  <si>
    <t>Vsetín, Svárov 1055, Dům kultury</t>
  </si>
  <si>
    <t>Křesťanské sdružení Benjamin</t>
  </si>
  <si>
    <t>Jasenná 54, PSČ 76313</t>
  </si>
  <si>
    <t>Křesťanské sdružení BENJAMIN, pobočka Vsetín</t>
  </si>
  <si>
    <t>Vsetín, Bratří Hlaviců 68, PSČ 75501</t>
  </si>
  <si>
    <t>Kostelany</t>
  </si>
  <si>
    <t>Křesťanský sbor Prlov</t>
  </si>
  <si>
    <t>Prlov 127, PSČ 75611</t>
  </si>
  <si>
    <t>Křesťanský sbor Vizovice</t>
  </si>
  <si>
    <t>Loučka 41, PSČ 76325</t>
  </si>
  <si>
    <t>Křesťanský sbor Vsetín</t>
  </si>
  <si>
    <t>Vsetín, Podsedky 950, PSČ 75501</t>
  </si>
  <si>
    <t>Křesťanský sbor Zlín</t>
  </si>
  <si>
    <t>Křídla pomoci, nadační fond</t>
  </si>
  <si>
    <t>Zlín, třída Tomáše Bati 3296, PSČ 76001</t>
  </si>
  <si>
    <t>Křivská nohejbalová liga</t>
  </si>
  <si>
    <t>Valašské Meziříčí, Podlesí 77, PSČ 75701</t>
  </si>
  <si>
    <t>KŘÍŽ Thaibox Gym, z.s.</t>
  </si>
  <si>
    <t>Rymice 51, PSČ 76901</t>
  </si>
  <si>
    <t>KSK Všetuly, z.s.</t>
  </si>
  <si>
    <t>Holešov, Tučapská 758/1, PSČ 76901</t>
  </si>
  <si>
    <t>KST Zlín, z.s.</t>
  </si>
  <si>
    <t>KUB Koala Uherský Brod z.s.</t>
  </si>
  <si>
    <t>Uherský Brod, Svat. Čecha 1025, PSČ 68801</t>
  </si>
  <si>
    <t>Kudlovské ateliéry o.p.s.</t>
  </si>
  <si>
    <t>Tečovice 349, PSČ 76302</t>
  </si>
  <si>
    <t>Provozování kulturních památek, historických staveb a obdobných turistických zajímavostí</t>
  </si>
  <si>
    <t>Kudlovské výhledy</t>
  </si>
  <si>
    <t>Zlín, Kudlov, K Dálnici 593, PSČ 76001</t>
  </si>
  <si>
    <t>Kulečníkový klub Střílky z.s.</t>
  </si>
  <si>
    <t>Střílky, Močidla 298, PSČ 76804</t>
  </si>
  <si>
    <t>Kulečníkový klub Zlín, z.s.</t>
  </si>
  <si>
    <t>Kulečníkový spolek Myslivna, z.s.</t>
  </si>
  <si>
    <t>Kroměříž, Velehradská 507/41, PSČ 76701</t>
  </si>
  <si>
    <t>Kulečníkový spolek Zdislavice</t>
  </si>
  <si>
    <t>Troubky-Zdislavice, Zdislavice 103, PSČ 76802</t>
  </si>
  <si>
    <t>kultiK, z. s.</t>
  </si>
  <si>
    <t>Kroměříž, Husovo náměstí 427/5, PSČ 76701</t>
  </si>
  <si>
    <t>Kulturák, z.s.</t>
  </si>
  <si>
    <t>Chvalčov, Kroužky 780, PSČ 76872</t>
  </si>
  <si>
    <t>Kulturistika Kunovice z. s.</t>
  </si>
  <si>
    <t>KULTURNÍ DĚDICTVÍ z.s.</t>
  </si>
  <si>
    <t>Informační a komunikační činnosti</t>
  </si>
  <si>
    <t>Kulturní klub Osvětimany, z. s.</t>
  </si>
  <si>
    <t>Kulturní Luhačovice z.s.</t>
  </si>
  <si>
    <t>Kulturní nadační fond Bystřice pod Hostýnem</t>
  </si>
  <si>
    <t>„Kulturní odkaz“</t>
  </si>
  <si>
    <t>Buchlovice, Váhovy 628, PSČ 68708</t>
  </si>
  <si>
    <t>Kulturní Sdružení Omladina Martinice, z.s.</t>
  </si>
  <si>
    <t>Martinice 165, PSČ 76901</t>
  </si>
  <si>
    <t>Kulturní spolek BIG BAND Holešov, z.s.</t>
  </si>
  <si>
    <t>Holešov, Pivovarská 676/3, PSČ 76901</t>
  </si>
  <si>
    <t>Kultůrní tradice Zubří, z. s.</t>
  </si>
  <si>
    <t>Zubří, Nad Fojstvím 776, PSČ 75654</t>
  </si>
  <si>
    <t>Kunkovice</t>
  </si>
  <si>
    <t>Kunkovice 40, PSČ 76813</t>
  </si>
  <si>
    <t>KUNOVIAN AIR FORCE</t>
  </si>
  <si>
    <t>Strání, Dolina 468, PSČ 68765</t>
  </si>
  <si>
    <t>Kunovské centrum mládeže z.s.</t>
  </si>
  <si>
    <t>Kunovice, Pod Kostelem 1, PSČ 68604</t>
  </si>
  <si>
    <t>Kunovští Komedianti z.s.</t>
  </si>
  <si>
    <t>Kunovice, Na Zelničkách 1327, PSČ 68604</t>
  </si>
  <si>
    <t>Kurzy o vztazích z. s.</t>
  </si>
  <si>
    <t>Bystřice pod Hostýnem, Kroužky 1703, PSČ 76861</t>
  </si>
  <si>
    <t>Kuželkářský club Athéna Kroměříž</t>
  </si>
  <si>
    <t>Kuželkářský club Zlín, z.s.</t>
  </si>
  <si>
    <t>Kuželkářský klub Kroměříž z.s.</t>
  </si>
  <si>
    <t>Kroměříž, Skopalíkova 1661/38, PSČ 76701</t>
  </si>
  <si>
    <t>Kuželkářský klub Slavičín, z. s.</t>
  </si>
  <si>
    <t>Slavičín, Osvobození 237, PSČ 76321</t>
  </si>
  <si>
    <t>KVĚT ŽIVOTA</t>
  </si>
  <si>
    <t>Hulín, Družba 1195, PSČ 76824</t>
  </si>
  <si>
    <t>KVH Maxim z.s.</t>
  </si>
  <si>
    <t>Napajedla, Masarykovo náměstí 558, PSČ 76361</t>
  </si>
  <si>
    <t>KVH NAPA</t>
  </si>
  <si>
    <t>Halenkovice 73, PSČ 76363</t>
  </si>
  <si>
    <t>KVHS CTR z.s.</t>
  </si>
  <si>
    <t>KVK PARTNER o. s.</t>
  </si>
  <si>
    <t>Rožnov pod Radhoštěm, 5. května 1536, PSČ 75661</t>
  </si>
  <si>
    <t>Kybernetický jezevec, z.s.</t>
  </si>
  <si>
    <t>Kroměříž, Peřinkova 2392/8, PSČ 76701</t>
  </si>
  <si>
    <t>Kynologický klub Areál Hvězda Kroměříž</t>
  </si>
  <si>
    <t>Kynologický klub Bojkovice ZO MSKS 11010</t>
  </si>
  <si>
    <t>Bojkovice,</t>
  </si>
  <si>
    <t>KYNOLOGICKÝ KLUB HOLEŠOV</t>
  </si>
  <si>
    <t>Holešov, Střelnice 1288, PSČ 76901</t>
  </si>
  <si>
    <t>Kynologický klub Hřivínův Újezd, z.s.</t>
  </si>
  <si>
    <t>Hřivínův Újezd 50, PSČ 76307</t>
  </si>
  <si>
    <t>Kynologický klub Jasenná</t>
  </si>
  <si>
    <t>Jasenná, 11</t>
  </si>
  <si>
    <t>Kynologický klub Koryčany</t>
  </si>
  <si>
    <t>KYNOLOGICKÝ KLUB MORKOVICE</t>
  </si>
  <si>
    <t>Morkovice-Slížany, Nádražní</t>
  </si>
  <si>
    <t>Kynologický klub Valašské Klobouky</t>
  </si>
  <si>
    <t>Valašské Klobouky, Poteč 139</t>
  </si>
  <si>
    <t>Kynologický klub Zlín pobočný spolek Moravskoslezského kynologického svazu</t>
  </si>
  <si>
    <t>Želechovice nad Dřevnicí, Lysá 572, PSČ 76311</t>
  </si>
  <si>
    <t>KYNOLOGICKÝ ODDÍL CBA o.s.</t>
  </si>
  <si>
    <t>Kynologický spolek Dog Zlín</t>
  </si>
  <si>
    <t>Zlín, Kudlov, Modrá 678, PSČ 76001</t>
  </si>
  <si>
    <t>Kynologický spolek Doubravy</t>
  </si>
  <si>
    <t>Doubravy 7, PSČ 76345</t>
  </si>
  <si>
    <t>Kynologický spolek HUBERT</t>
  </si>
  <si>
    <t>Březnice 235, PSČ 76001</t>
  </si>
  <si>
    <t>Kynologický spolek Morkovice</t>
  </si>
  <si>
    <t>Hoštice</t>
  </si>
  <si>
    <t>Hoštice 92, PSČ 76813</t>
  </si>
  <si>
    <t>Kyokushin karate klub Slavičín</t>
  </si>
  <si>
    <t>Slavičín, Školní 403, PSČ 76321</t>
  </si>
  <si>
    <t>K+Z+H, z.s.</t>
  </si>
  <si>
    <t>Rožnov pod Radhoštěm, Palackého 457, PSČ 75661</t>
  </si>
  <si>
    <t>"Lačnovjané pro lepší Lačnov z.s./zapsaný spolek"</t>
  </si>
  <si>
    <t>LADIVA, Prostor pro zdraví a radost, z.s.</t>
  </si>
  <si>
    <t>Nový Hrozenkov 461, PSČ 75604</t>
  </si>
  <si>
    <t>Lajbl, z.s.</t>
  </si>
  <si>
    <t>Kostelany nad Moravou 331, PSČ 68601</t>
  </si>
  <si>
    <t>Lakros klub Kroměříž z.s.</t>
  </si>
  <si>
    <t>Lampion - dětem i rodičům, z.s.</t>
  </si>
  <si>
    <t>Zlín, Příluky, Přílucká 4117, PSČ 76001</t>
  </si>
  <si>
    <t>LARS DH racing team</t>
  </si>
  <si>
    <t>Pržno 88, PSČ 75623</t>
  </si>
  <si>
    <t>LAUDATE, z.s.</t>
  </si>
  <si>
    <t>Hluk, nám. Komenského 59, PSČ 68725</t>
  </si>
  <si>
    <t>LAWN TENIS CLUB LÍSKOVEC z.s.</t>
  </si>
  <si>
    <t>Koryčany, Lískovec 70, PSČ 76805</t>
  </si>
  <si>
    <t>Lázeňská kolonáda Luhačovice, o.p.s.</t>
  </si>
  <si>
    <t>Luhačovice, Lázeňské náměstí 436, PSČ 76326</t>
  </si>
  <si>
    <t>Bezpečnostní a pátrací činnosti</t>
  </si>
  <si>
    <t>Činnosti cestovních agentur a cestovních kanceláří</t>
  </si>
  <si>
    <t>Lazy - Kamenná</t>
  </si>
  <si>
    <t>Zlín, Slovenská 2686, PSČ 76001</t>
  </si>
  <si>
    <t>Lebedovský mlýn z.s.</t>
  </si>
  <si>
    <t>Ledňáček - bezpečí dětem, z. s.</t>
  </si>
  <si>
    <t>Zlín, Malenovice, třída 3. května 910, PSČ 76302</t>
  </si>
  <si>
    <t>Leluja, z.s.</t>
  </si>
  <si>
    <t>Provodov 56, PSČ 76345</t>
  </si>
  <si>
    <t>LENAS z.s.</t>
  </si>
  <si>
    <t>Hvozdná, K Větřáku 436, PSČ 76310</t>
  </si>
  <si>
    <t>Lepší budoucnost, z.s.</t>
  </si>
  <si>
    <t>Lepší život Elince, z.s.</t>
  </si>
  <si>
    <t>LESAN, z.s.</t>
  </si>
  <si>
    <t>Hoštice 66, PSČ 76813</t>
  </si>
  <si>
    <t>Lesní družstvo Maršov, z.s.</t>
  </si>
  <si>
    <t>Uherský Brod, Maršov 33, PSČ 68801</t>
  </si>
  <si>
    <t>Lesní klub Lileška, z.s.</t>
  </si>
  <si>
    <t>Zlín, Lhotka 64, PSČ 76302</t>
  </si>
  <si>
    <t>Lesní klub Oříšek z. s.</t>
  </si>
  <si>
    <t>Hovězí 239, PSČ 75601</t>
  </si>
  <si>
    <t>Lesní klub Vrběnka, z.s.</t>
  </si>
  <si>
    <t>Valašské Klobouky, Kramolišova 126, PSČ 76601</t>
  </si>
  <si>
    <t>Lesní komunitní škola Sýkorka, z.s.</t>
  </si>
  <si>
    <t>Lesní mateřská škola Clavicula, z.ú.</t>
  </si>
  <si>
    <t>Zlín, Velíková, Sýkorka 234, PSČ 76314</t>
  </si>
  <si>
    <t>Lesní singulární sdružení Provodov</t>
  </si>
  <si>
    <t>Provodov 221, PSČ 76345</t>
  </si>
  <si>
    <t>Lesní singulární společnost č.1 Březová</t>
  </si>
  <si>
    <t>Lesní singulární společnost č.2 Březová, spolek</t>
  </si>
  <si>
    <t>Březová 36, PSČ 76315</t>
  </si>
  <si>
    <t>Lesní singulární společnost Jasenná ,z.s.</t>
  </si>
  <si>
    <t>Podpůrné činnosti pro lesnictví</t>
  </si>
  <si>
    <t>Lesní singulární společnost Lípa, z.s.</t>
  </si>
  <si>
    <t>Lípa 220, PSČ 76311</t>
  </si>
  <si>
    <t>Lesní singulární společnost Nětčice, zapsaný spolek</t>
  </si>
  <si>
    <t>Kroměříž, Havlíčkova 4257/119C, PSČ 76701</t>
  </si>
  <si>
    <t>Lesní singulární společnost Ostrata, spolek</t>
  </si>
  <si>
    <t>Ostrata 23, PSČ 76311</t>
  </si>
  <si>
    <t>Lesní singulární společnost Pozděchov, z.s.</t>
  </si>
  <si>
    <t>Lesní singulární společnost ve Vizovicích, z.s.</t>
  </si>
  <si>
    <t>Vizovice, čtvrť A. Háby 841, PSČ 76312</t>
  </si>
  <si>
    <t>Lesní singulární spolek Raková</t>
  </si>
  <si>
    <t>Zádveřice-Raková, Raková 6, PSČ 76312</t>
  </si>
  <si>
    <t>Lesní spolek Návojná</t>
  </si>
  <si>
    <t>Návojná</t>
  </si>
  <si>
    <t>Návojná 32, PSČ 76332</t>
  </si>
  <si>
    <t>Lesní škola Včelka, z.s.</t>
  </si>
  <si>
    <t>Valašské Meziříčí, Výletní 1425, PSČ 75701</t>
  </si>
  <si>
    <t>Lesní školka Vičanov, z.s.</t>
  </si>
  <si>
    <t>Lesní zvěřinec z.s.</t>
  </si>
  <si>
    <t>LESNICKO DŘEVAŘSKÝ VZDĚLÁVACÍ INSTITUT z.s.</t>
  </si>
  <si>
    <t>Holešov, Palackého 961/61, PSČ 76901</t>
  </si>
  <si>
    <t>Letecká bitva Bílé Karpaty 1944, z.s.</t>
  </si>
  <si>
    <t>Bojkovice, Palackého 172, PSČ 68771</t>
  </si>
  <si>
    <t>Letecké muzeum v Kunovicích pobočka Slováckého aeroklubu Kunovice</t>
  </si>
  <si>
    <t>Kunovice, Letecká 1383, PSČ 68604</t>
  </si>
  <si>
    <t>Letecko modelářský klub ""Čmelák"" p.s., reg.č. 194 Holešov</t>
  </si>
  <si>
    <t>Letecko modelářský klub Halenkovice p.s.</t>
  </si>
  <si>
    <t>Halenkovice 538, PSČ 76363</t>
  </si>
  <si>
    <t>LETECKOMODELÁŘSKÝ KLUB KOSTELEC U HOLEŠOVA</t>
  </si>
  <si>
    <t>Kostelec u Holešova 5, PSČ 76843</t>
  </si>
  <si>
    <t>leteckomodelářský klub Kroměříž p.s.</t>
  </si>
  <si>
    <t>Kroměříž, Gen. Svobody 1288/17, PSČ 76701</t>
  </si>
  <si>
    <t>Letecký klub Valašský Sršáň  z. s.</t>
  </si>
  <si>
    <t>Valašské Meziříčí, Kardinála Bauera 1452, PSČ 75701</t>
  </si>
  <si>
    <t>Letní škola barokní hudby, z.s.</t>
  </si>
  <si>
    <t>Loučka, Lázy 14, PSČ 75644</t>
  </si>
  <si>
    <t>Letokruhy, o. p. s.</t>
  </si>
  <si>
    <t>Lezecký klub Vertikon Zlín z.s.</t>
  </si>
  <si>
    <t>Zlín, Příluky, Boněcko I 264, PSČ 76001</t>
  </si>
  <si>
    <t>Lidečanka, z. s.</t>
  </si>
  <si>
    <t>LIDOVÁ DECHOVÁ HUDBA ZUBROVKA</t>
  </si>
  <si>
    <t>Zubří, Rožnovská 444, PSČ 75654</t>
  </si>
  <si>
    <t>Lidová myslivecká společnost Kyselovice</t>
  </si>
  <si>
    <t>Kyselovice</t>
  </si>
  <si>
    <t>Kyselovice 143, PSČ 76811</t>
  </si>
  <si>
    <t>Lidové tradice a řemesla, o.p.s.</t>
  </si>
  <si>
    <t>Uherský Ostroh, Zámecká 196, PSČ 68724</t>
  </si>
  <si>
    <t>Úprava a spřádání textilních vláken a příze</t>
  </si>
  <si>
    <t>Výroba brašnářských, sedlářských a podobných výrobků</t>
  </si>
  <si>
    <t>Lidový dům Pitín</t>
  </si>
  <si>
    <t>Lidový umělecký spolek Kaňúr</t>
  </si>
  <si>
    <t>Študlov</t>
  </si>
  <si>
    <t>Študlov 142, PSČ 75612</t>
  </si>
  <si>
    <t>Lidská pouta, z. ú.</t>
  </si>
  <si>
    <t>Buchlovice, Příční 101, PSČ 68708</t>
  </si>
  <si>
    <t>Lifetime Taekwondo School, z. s.</t>
  </si>
  <si>
    <t>Liga lesní moudrosti - kmen Arapaho</t>
  </si>
  <si>
    <t>Uherské Hradiště, Prostřední 41, PSČ 68601</t>
  </si>
  <si>
    <t>Liga na ochranu zvířat ČR, místní pobočka Zlín</t>
  </si>
  <si>
    <t>Zlín, Vodní 4202, PSČ 76001</t>
  </si>
  <si>
    <t>LINGUA CAMP z.s.</t>
  </si>
  <si>
    <t>Lion Fight Club z. s.</t>
  </si>
  <si>
    <t>Pohořelice, Pod Zámkem 158, PSČ 76361</t>
  </si>
  <si>
    <t>Lions Club Holešov Cecilie, o.s.</t>
  </si>
  <si>
    <t>Holešov, Sportovní 1460, PSČ 76901</t>
  </si>
  <si>
    <t>Lipské čarodějnice, z.s.</t>
  </si>
  <si>
    <t>LÍSKA, z.s.</t>
  </si>
  <si>
    <t>Vsetín, Dolní náměstí 429, PSČ 75501</t>
  </si>
  <si>
    <t>Literární klub U Pěti Káčat</t>
  </si>
  <si>
    <t>Otrokovice, Havlíčkova 290, PSČ 76502</t>
  </si>
  <si>
    <t>Liv4U spolek</t>
  </si>
  <si>
    <t>Huštěnovice 407, PSČ 68703</t>
  </si>
  <si>
    <t>LK Dopohody z.s.</t>
  </si>
  <si>
    <t>Valašské Meziříčí, Krásno nad Bečvou, Václavkova 373/7, PSČ 75701</t>
  </si>
  <si>
    <t>LK Falcon z.s.</t>
  </si>
  <si>
    <t>Rožnov pod Radhoštěm, 1. máje 1277, PSČ 75661</t>
  </si>
  <si>
    <t>LMK Blaník p.s.</t>
  </si>
  <si>
    <t>Kunovice, Pekařská 863, PSČ 68604</t>
  </si>
  <si>
    <t>LMK BLANÍK Uh.Hradiště p.s.</t>
  </si>
  <si>
    <t>LMK BŘEST - CRAZY PILOTS,modelářský klub p.s.</t>
  </si>
  <si>
    <t>Břest, Břest 37</t>
  </si>
  <si>
    <t>LMK Prakšice - Pašovice</t>
  </si>
  <si>
    <t>Prakšice 29, Obecní úřad</t>
  </si>
  <si>
    <t>LMK Slavičín p.s.</t>
  </si>
  <si>
    <t>Bohuslavice nad Vláří 105, PSČ 76321</t>
  </si>
  <si>
    <t>LMK Staré Město</t>
  </si>
  <si>
    <t>Staré Město, Trávník 2097, PSČ 68603</t>
  </si>
  <si>
    <t>LMK Staré Město p.s.</t>
  </si>
  <si>
    <t>LMK Valašské Klobouky- modelářský klub p.s.</t>
  </si>
  <si>
    <t>Valašské Klobouky, Palackého 648, PSČ 76601</t>
  </si>
  <si>
    <t>LMK Zlín modelářský klub p.s.</t>
  </si>
  <si>
    <t>Traplice 57, PSČ 68704</t>
  </si>
  <si>
    <t>LocalGym, z. s.</t>
  </si>
  <si>
    <t>Strání, Květná, Mlýnky 282, PSČ 68766</t>
  </si>
  <si>
    <t>Lodě Staré Město, o.s.</t>
  </si>
  <si>
    <t>Staré Město, Na Zerzavici 4500, Přístaviště Baťův kanál</t>
  </si>
  <si>
    <t>Lodě-hausbóty z.s.</t>
  </si>
  <si>
    <t>Staré Město, Zerzavice 2173, PSČ 68603</t>
  </si>
  <si>
    <t>Lodní Sporty Kroměříž z.s.</t>
  </si>
  <si>
    <t>Kroměříž, Fügnerova 923/4, PSČ 76701</t>
  </si>
  <si>
    <t>Lodní sporty Zlín, z.s.</t>
  </si>
  <si>
    <t>Otrokovice, Štěrkoviště 1292, PSČ 76502</t>
  </si>
  <si>
    <t>Lofofora z. s.</t>
  </si>
  <si>
    <t>Longbird o. s.</t>
  </si>
  <si>
    <t>Zlín, třída Tomáše Bati 2596, PSČ 76001</t>
  </si>
  <si>
    <t>Loutkové divadélko KOHÚTEK Vsetín, z.s.</t>
  </si>
  <si>
    <t>Vsetín, Rokytnice, Rokytnice 326, PSČ 75501</t>
  </si>
  <si>
    <t>LR Motocross Prakšice klub v AČR</t>
  </si>
  <si>
    <t>Prakšice 25, PSČ 68756</t>
  </si>
  <si>
    <t>LUCKY DANCERS ZLÍN</t>
  </si>
  <si>
    <t>Zlín, SNP 4746, PSČ 76005</t>
  </si>
  <si>
    <t>LUDOSITAMET spolek</t>
  </si>
  <si>
    <t>Zlín, Nad Stráněmi 4684, PSČ 76005</t>
  </si>
  <si>
    <t>LUHAČOVICKÁ o.p.s.</t>
  </si>
  <si>
    <t>Luhačovický okrašlovací spolek CALMA</t>
  </si>
  <si>
    <t>Luhačovské Zálesí, o.p.s.</t>
  </si>
  <si>
    <t>Slavičín, Osvobození 25, PSČ 76321</t>
  </si>
  <si>
    <t>LUHOvaný VINCENT, z.s.</t>
  </si>
  <si>
    <t>Luhačovice, Antonína Slavíčka 267, PSČ 76326</t>
  </si>
  <si>
    <t>LUISA, z.s.</t>
  </si>
  <si>
    <t>Uherský Brod, Bří Lužů 116, PSČ 68801</t>
  </si>
  <si>
    <t>Lukostřelba Kroměříž z.s.</t>
  </si>
  <si>
    <t>Kroměříž, U Rejdiště 3791/17, PSČ 76701</t>
  </si>
  <si>
    <t>Lukostřelecký klub Phoenix Kostelec, z.s.</t>
  </si>
  <si>
    <t>Zlín, Kostelec, Zlínská 75, PSČ 76314</t>
  </si>
  <si>
    <t>Lukostřelecký klub 3D Mrlínek, z.s.</t>
  </si>
  <si>
    <t>Bystřice pod Hostýnem, Rusavská 472, PSČ 76861</t>
  </si>
  <si>
    <t>Lukovští</t>
  </si>
  <si>
    <t>Lumír Vsetín, z.s.</t>
  </si>
  <si>
    <t>Vsetín, Luční 2009, PSČ 75501</t>
  </si>
  <si>
    <t>Lutopecká - Kroměříž, o. s.</t>
  </si>
  <si>
    <t>Lužňáci, z.s.</t>
  </si>
  <si>
    <t>Chropyně, Nádražní 645, PSČ 76811</t>
  </si>
  <si>
    <t>Ly-Ko Chřiby z.s.</t>
  </si>
  <si>
    <t>Cetechovice</t>
  </si>
  <si>
    <t>Cetechovice 84, PSČ 76802</t>
  </si>
  <si>
    <t>"LYSB, o.s."</t>
  </si>
  <si>
    <t>Lyžařský klub Javorník - Zlín, z.s.</t>
  </si>
  <si>
    <t>Lyžařský klub Lidečko, z.s.</t>
  </si>
  <si>
    <t>Lidečko, Obecní úřad čp.467</t>
  </si>
  <si>
    <t>Lyžařský klub Petrůvka, z. s.</t>
  </si>
  <si>
    <t>Petrůvka</t>
  </si>
  <si>
    <t>Petrůvka 90, PSČ 76321</t>
  </si>
  <si>
    <t>Lyžařský klub Radhošť z.s.</t>
  </si>
  <si>
    <t>"Lyžařský klub Razula Velké Karlovice"</t>
  </si>
  <si>
    <t>Velké Karlovice 929, PSČ 75606</t>
  </si>
  <si>
    <t>Lyžařský klub Strání - Květná, z. s.</t>
  </si>
  <si>
    <t>Strání, Květná, Slovenská 414, PSČ 68766</t>
  </si>
  <si>
    <t>Lyžařský klub Zlín, z. s.</t>
  </si>
  <si>
    <t>Lyžařský oddíl CBA o.s.</t>
  </si>
  <si>
    <t>Lyžařský oddíl Hrachovec, z.s.</t>
  </si>
  <si>
    <t>Valašské Meziříčí, Hrachovec 211, PSČ 75701</t>
  </si>
  <si>
    <t>Lyžařský oddíl SKI Bystřice pod Hostýnem</t>
  </si>
  <si>
    <t>Lyžařský oddíl Slavičín, z.s.</t>
  </si>
  <si>
    <t>Slavičín, Školní 29, PSČ 76321</t>
  </si>
  <si>
    <t>M - klub Uh. Hradiště</t>
  </si>
  <si>
    <t>Uherské Hradiště - Reduta, Masarykovo nám, 256, PSČ 686 01</t>
  </si>
  <si>
    <t>M Dance Crew KM Junior, z.s.</t>
  </si>
  <si>
    <t>Kroměříž, Ztracená 62/18, PSČ 76701</t>
  </si>
  <si>
    <t>MADE IN CZ production, z.s.</t>
  </si>
  <si>
    <t>Uherský Brod, U Plynárny 1378, PSČ 68801</t>
  </si>
  <si>
    <t>MADIO z.s.</t>
  </si>
  <si>
    <t>Zlín, Kvítková 3687, PSČ 76001</t>
  </si>
  <si>
    <t>Magdala, z.s.</t>
  </si>
  <si>
    <t>Kroměříž, Kotojedská 2518/20, PSČ 76701</t>
  </si>
  <si>
    <t>Magna Mysteria</t>
  </si>
  <si>
    <t>Otrokovice, Kvítkovice, Luční 1169, PSČ 76502</t>
  </si>
  <si>
    <t>MAJÁK Bojkovice z.s.</t>
  </si>
  <si>
    <t>Maják Trails Zlín, z.s.</t>
  </si>
  <si>
    <t>Zlín, Lesní 3333, PSČ 76001</t>
  </si>
  <si>
    <t>"Majitelé nemovitostí v Kunovicích, o.s."</t>
  </si>
  <si>
    <t>Kunovice, Panská 16, PSČ 68604</t>
  </si>
  <si>
    <t>Majlov z. s.</t>
  </si>
  <si>
    <t>Kroměříž, Trávník 91, PSČ 76701</t>
  </si>
  <si>
    <t>Maková, z.s.</t>
  </si>
  <si>
    <t>Huslenky 554, PSČ 75602</t>
  </si>
  <si>
    <t>Malá múza z.s.</t>
  </si>
  <si>
    <t>Zlín, Mladcová, Kalinová 635, PSČ 76001</t>
  </si>
  <si>
    <t>Malá scéna Zlín o.p.s</t>
  </si>
  <si>
    <t>Malé mimi, nadační fond</t>
  </si>
  <si>
    <t>Malé Zálesí, z. s.</t>
  </si>
  <si>
    <t>MALOCH racing team</t>
  </si>
  <si>
    <t>Otrokovice, Kvítkovice, Kpt. Nálepky 1203, PSČ 76502</t>
  </si>
  <si>
    <t>MALVAS bike team o.s.</t>
  </si>
  <si>
    <t>Zlín, Zálešná VIII 1230, PSČ 76001</t>
  </si>
  <si>
    <t>MAMI KLUB</t>
  </si>
  <si>
    <t>Koryčany, Městská knihovna</t>
  </si>
  <si>
    <t>Mamila, z.s.</t>
  </si>
  <si>
    <t>Rožnov pod Radhoštěm, Svazarmovská 1578, PSČ 75661</t>
  </si>
  <si>
    <t>MANGOES ENGLISH</t>
  </si>
  <si>
    <t>Valašské Meziříčí, Sokolská 346/55, PSČ 75701</t>
  </si>
  <si>
    <t>MANIAC PEDALS, z. s.</t>
  </si>
  <si>
    <t>Uherský Ostroh, Ostrožské Předměstí, Blatnická 200, PSČ 68724</t>
  </si>
  <si>
    <t>Maníci o.s.</t>
  </si>
  <si>
    <t>Kroměříž, Rumunská 4041/2, PSČ 76701</t>
  </si>
  <si>
    <t>MARETTA, z.s.</t>
  </si>
  <si>
    <t>Vsetín, Pod Zakopaniců 269, PSČ 75501</t>
  </si>
  <si>
    <t>Martinice Gama z.s.</t>
  </si>
  <si>
    <t>Martinice 212, PSČ 76901</t>
  </si>
  <si>
    <t>Mařaťané z. s.</t>
  </si>
  <si>
    <t>MAS Bojkovska, z.s.</t>
  </si>
  <si>
    <t>MAS Buchlov, z.s.</t>
  </si>
  <si>
    <t>Buchlovice, Masarykova 273, PSČ 68708</t>
  </si>
  <si>
    <t>MAS Hornolidečska, z.s.</t>
  </si>
  <si>
    <t>MAS Ploština, z. s.</t>
  </si>
  <si>
    <t>MAS Staroměstsko, z.s.</t>
  </si>
  <si>
    <t>MAS Střední Vsetínsko, z. s.</t>
  </si>
  <si>
    <t>MAS Vizovicko a Slušovicko, o.p.s.</t>
  </si>
  <si>
    <t>Vizovice, Masarykovo nám. 1007, PSČ 76312</t>
  </si>
  <si>
    <t>MAS Východní Slovácko, z.s.</t>
  </si>
  <si>
    <t>Mateřské a rodinné centrum BERUŠKA, z.s.</t>
  </si>
  <si>
    <t>Vizovice, Říčanská 335, PSČ 76312</t>
  </si>
  <si>
    <t>Mateřské a rodinné centrum Ozničánek, z. s.</t>
  </si>
  <si>
    <t>Oznice 91, PSČ 75624</t>
  </si>
  <si>
    <t>Mateřské centrum Batole - club</t>
  </si>
  <si>
    <t>Vizovice, Slušovská 813, PSČ 76312</t>
  </si>
  <si>
    <t>Mateřské centrum MateříDoušek, z. s.</t>
  </si>
  <si>
    <t>Zlín, Okružní 4736, PSČ 76005</t>
  </si>
  <si>
    <t>Mateřské centrum Motýlek Morkovice-Slížany z.s.</t>
  </si>
  <si>
    <t>Morkovice-Slížany, Morkovice, 17. listopadu 140, PSČ 76833</t>
  </si>
  <si>
    <t>Mateřské centrum Motýlek, o.s.</t>
  </si>
  <si>
    <t>Halenkov 57, PSČ 75603</t>
  </si>
  <si>
    <t>Mateřské centrum Terezka z.s.</t>
  </si>
  <si>
    <t>Pravčice 26, PSČ 76824</t>
  </si>
  <si>
    <t>Mateřské centrum Zlín</t>
  </si>
  <si>
    <t>Zlín, Sídliště 835, PSČ 760 01</t>
  </si>
  <si>
    <t>Matice svatohostýnská, z.s.</t>
  </si>
  <si>
    <t>Chvalčov, Svatý Hostýn 115, PSČ 76872</t>
  </si>
  <si>
    <t>Činnosti související s odpadními vodami</t>
  </si>
  <si>
    <t>Skladování</t>
  </si>
  <si>
    <t>Matice Štípská, z.s.</t>
  </si>
  <si>
    <t>Matice velehradská z.s.</t>
  </si>
  <si>
    <t>Velehrad, U Lípy 302, PSČ 68706</t>
  </si>
  <si>
    <t>Matice zašovská zapsaný spolek</t>
  </si>
  <si>
    <t>Zašová 45, PSČ 75651</t>
  </si>
  <si>
    <t>Mazlíčci SOS</t>
  </si>
  <si>
    <t>Babice 550, PSČ 68703</t>
  </si>
  <si>
    <t>Mažoretky Holešov, z.s.</t>
  </si>
  <si>
    <t>Holešov, Osvobození 1659, PSČ 76901</t>
  </si>
  <si>
    <t>Mažoretky Infinity z.s.</t>
  </si>
  <si>
    <t>Kroměříž, Hradisko 40, PSČ 76701</t>
  </si>
  <si>
    <t>Mažoretky Jany Pavlíčkové, z.s.</t>
  </si>
  <si>
    <t>Kroměříž, Komenského náměstí 381/20, PSČ 76701</t>
  </si>
  <si>
    <t>M-CENTRUM, konzultační, rekvalifikační a školicí středisko, z.s.</t>
  </si>
  <si>
    <t>Uherské Hradiště, Mařatice, Studentské náměstí 1531, PSČ 68601</t>
  </si>
  <si>
    <t>MDK Pohořelice p.s.</t>
  </si>
  <si>
    <t>Pohořelice, Školní 35, PSČ 76361</t>
  </si>
  <si>
    <t>Media Valašsko, o.p.s.</t>
  </si>
  <si>
    <t>Mediační centrum Zlín z.s.</t>
  </si>
  <si>
    <t>Žlutava 435, PSČ 76361</t>
  </si>
  <si>
    <t>Medlovské stezky, z.s.</t>
  </si>
  <si>
    <t>Medlovice 120, PSČ 68741</t>
  </si>
  <si>
    <t>Medovníček, z.s.</t>
  </si>
  <si>
    <t>Ostrožská Nová Ves, Dědina 2, PSČ 68722</t>
  </si>
  <si>
    <t>Meduňka z.s.</t>
  </si>
  <si>
    <t>Otrokovice, Kvítkovice, SNP 1181, PSČ 76502</t>
  </si>
  <si>
    <t>Medvědín u Provodova, z.s.</t>
  </si>
  <si>
    <t>Provodov 293, PSČ 76345</t>
  </si>
  <si>
    <t>MEDVÍDKOV, z. s.</t>
  </si>
  <si>
    <t>Zlín, Prštné, L. Váchy 515, PSČ 76001</t>
  </si>
  <si>
    <t>Melius Vita, z.s.</t>
  </si>
  <si>
    <t>Bojkovice, Bezručova čtvrť 567, PSČ 68771</t>
  </si>
  <si>
    <t>Memoria - iniciativa za důstojné využití věznice v Uherském Hradišti, z.s.</t>
  </si>
  <si>
    <t>Staré Město, Mojmírova 732</t>
  </si>
  <si>
    <t>Memoriál Jana Šrubaře, z. s.</t>
  </si>
  <si>
    <t>Valašské Meziříčí, Fügnerova 901/13, PSČ 75701</t>
  </si>
  <si>
    <t>MERCEDES &amp; OLDTIMER Club, z.s.</t>
  </si>
  <si>
    <t>Zlín, Prštné, třída Tomáše Bati 532, PSČ 76302</t>
  </si>
  <si>
    <t>Mercedes Benz Historic Club</t>
  </si>
  <si>
    <t>Rožnov pod Radhoštěm, Tvarůžkova 2491, PSČ 75661</t>
  </si>
  <si>
    <t>Meruňka Team HLUK</t>
  </si>
  <si>
    <t>Hluk, Okluková 1473, PSČ 68725</t>
  </si>
  <si>
    <t>MESIT střední škola, o.p.s.</t>
  </si>
  <si>
    <t>Uherské Hradiště, Mařatice, Družstevní 818, PSČ 68605</t>
  </si>
  <si>
    <t>Primární vzdělávání</t>
  </si>
  <si>
    <t>Výroba kovových konstrukcí a kovodělných výrobků, kromě strojů a zařízení</t>
  </si>
  <si>
    <t>Městská místní akční skupina Vsetín, z.s.</t>
  </si>
  <si>
    <t>Vsetín, Svárov 1080, PSČ 75501</t>
  </si>
  <si>
    <t>METEA - meteo a astro služby</t>
  </si>
  <si>
    <t>Hošťálková 419, PSČ 75622</t>
  </si>
  <si>
    <t>Mezinárodní akademie informatizace, o.p.s.</t>
  </si>
  <si>
    <t>Mezinárodní středisko pro Integrovanou psychoterapii a zdravý životní styl, z. s. (INCIP)</t>
  </si>
  <si>
    <t>Kroměříž, Havlíčkova 803/21, PSČ 76701</t>
  </si>
  <si>
    <t>Mezříčan, z.s.</t>
  </si>
  <si>
    <t>Valašské Meziříčí, 28. října 385, PSČ 75701</t>
  </si>
  <si>
    <t>MFC Hutisko-Solanec, z.s.</t>
  </si>
  <si>
    <t>Hutisko-Solanec, Hutisko 322, PSČ 75662</t>
  </si>
  <si>
    <t>MG Elite Zlín z.s.</t>
  </si>
  <si>
    <t>Zlín, Lámanisko 5089, PSČ 76001</t>
  </si>
  <si>
    <t>MGC Holešov, z.s.</t>
  </si>
  <si>
    <t>Holešov, Palackého 1666, PSČ 76901</t>
  </si>
  <si>
    <t>MHDUH.cz - Za lepší MHD v Uherském Hradišti, Starém Městě a Kunovicích, o. s.</t>
  </si>
  <si>
    <t>Uherské Hradiště, Svatováclavská 907, PSČ 68601</t>
  </si>
  <si>
    <t>"MIBIDIZO z. s."</t>
  </si>
  <si>
    <t>Valašské Meziříčí, Komenského 67/1, PSČ 75701</t>
  </si>
  <si>
    <t>MIKA project z. s.</t>
  </si>
  <si>
    <t>MIKI GYM, z.s.</t>
  </si>
  <si>
    <t>Vsetín, Mládí 1563, PSČ 75501</t>
  </si>
  <si>
    <t>MILLENIUM - sdružení občanů</t>
  </si>
  <si>
    <t>Kroměříž, Nádražní 2014/2, PSČ 76701</t>
  </si>
  <si>
    <t>Milovníci vína a žen z.s.</t>
  </si>
  <si>
    <t>Zlechov 540, PSČ 68710</t>
  </si>
  <si>
    <t>MindRise z.s.</t>
  </si>
  <si>
    <t>Zádveřice-Raková, Zádveřice 252, PSČ 76312</t>
  </si>
  <si>
    <t>Minga z.s.</t>
  </si>
  <si>
    <t>Vsetín, Palackého 388, PSČ 75501</t>
  </si>
  <si>
    <t>Mini golf club Vsetín</t>
  </si>
  <si>
    <t>Vsetín, sídliště Trávníky</t>
  </si>
  <si>
    <t>Mini-golf klub Klokan</t>
  </si>
  <si>
    <t>MINORITY SUPPORT z.s.</t>
  </si>
  <si>
    <t>MioTech. z.s.</t>
  </si>
  <si>
    <t>Vlčnov 827, PSČ 68761</t>
  </si>
  <si>
    <t>MirisCorp, o.s.</t>
  </si>
  <si>
    <t>Luhačovice, Masarykova 101, PSČ 76326</t>
  </si>
  <si>
    <t>Místní akční skupina Dolní Poolšaví, z.s.</t>
  </si>
  <si>
    <t>Místní akční skupina Hříběcí hory, z.s.</t>
  </si>
  <si>
    <t>Místní akční skupina Podhostýnska, z. s.</t>
  </si>
  <si>
    <t>Bystřice pod Hostýnem, Fryčajova 888, PSČ 76861</t>
  </si>
  <si>
    <t>Místní akční skupina Rožnovsko, z.s.</t>
  </si>
  <si>
    <t>Místní akční skupina Severní Chřiby a Pomoraví, z.s.</t>
  </si>
  <si>
    <t>Košíky</t>
  </si>
  <si>
    <t>Košíky 172, PSČ 68704</t>
  </si>
  <si>
    <t>Místní akční skupina Valašsko - Horní Vsacko, z.s.</t>
  </si>
  <si>
    <t>Hovězí 74, PSČ 75601</t>
  </si>
  <si>
    <t>Místní automotoklub Jablůnka</t>
  </si>
  <si>
    <t>Vsetín, Sychrov 88</t>
  </si>
  <si>
    <t>Místní komunita Salesiánů Dona Boska v Kroměříži</t>
  </si>
  <si>
    <t>Místní komunita Salesiánů Dona Boska ve Fryštáku</t>
  </si>
  <si>
    <t>Fryšták, P. I. Stuchlého 27, PSČ 76316</t>
  </si>
  <si>
    <t>Místní komunita Salesiánů Dona Boska ve Zlíně</t>
  </si>
  <si>
    <t>Zlín, Okružní 5430, PSČ 76005</t>
  </si>
  <si>
    <t>Místní sdružení Kostnické jednoty Uherské Hradiště</t>
  </si>
  <si>
    <t>Uherské Hradiště, Moravní náměstí 397, PSČ 68601</t>
  </si>
  <si>
    <t>Mistřické frajárky, z.s.</t>
  </si>
  <si>
    <t>Mistřice</t>
  </si>
  <si>
    <t>Mistřice 9, PSČ 68712</t>
  </si>
  <si>
    <t>MK DRAGOUNI</t>
  </si>
  <si>
    <t>Slušovice, Hřbitovní 517, PSČ 76315</t>
  </si>
  <si>
    <t>Mladcová o.s.</t>
  </si>
  <si>
    <t>Zlín, Mladcová, Malinová 532, PSČ 76001</t>
  </si>
  <si>
    <t>Mládež Dolní Lhota, z. s.</t>
  </si>
  <si>
    <t>Mládežnická akademie Milana Baroše o.p.s.</t>
  </si>
  <si>
    <t>Vigantice 248, PSČ 75661</t>
  </si>
  <si>
    <t>MLADÍ PODNIKATELÉ, o.p.s.</t>
  </si>
  <si>
    <t>Uherské Hradiště, Mařatice, Sadová 1029, PSČ 68605</t>
  </si>
  <si>
    <t>MM - GOLF TEAM z.s.</t>
  </si>
  <si>
    <t>Zlín, Zarámí 399, PSČ 76001</t>
  </si>
  <si>
    <t>MM KART TEAM HOLEŠOV</t>
  </si>
  <si>
    <t>Holešov, Všetuly, Slovenská 354, PSČ 76901</t>
  </si>
  <si>
    <t>MMA Club Zlín, z.s.</t>
  </si>
  <si>
    <t>Tečovice 330, PSČ 76302</t>
  </si>
  <si>
    <t>MMAS Uherské Hradiště z.s.</t>
  </si>
  <si>
    <t>Uherské Hradiště, Masarykovo náměstí 19, PSČ 68601</t>
  </si>
  <si>
    <t>MODEL KLUB OTROKOVICE z.s.</t>
  </si>
  <si>
    <t>Bělov č. ev. 12, PSČ 76821</t>
  </si>
  <si>
    <t>Modelářský klub č. 347 Svazu modelářů České republiky</t>
  </si>
  <si>
    <t>Uherské Hradiště, Jana Žižky 744, PSČ 68606</t>
  </si>
  <si>
    <t>modelářský klub LMK RACEK Chropyně p.s.</t>
  </si>
  <si>
    <t>Chropyně, Drahy 554, PSČ 76811</t>
  </si>
  <si>
    <t>Modelářský klub SMČR</t>
  </si>
  <si>
    <t>Rožnov pod Radhoštěm, Kulturní 1762, PSČ 75661</t>
  </si>
  <si>
    <t>Modelářský klub SMČR Zubří p.s.</t>
  </si>
  <si>
    <t>Zubří, Hamerská 10, PSČ 75654</t>
  </si>
  <si>
    <t>Modelářský klub Vsetín p.s.</t>
  </si>
  <si>
    <t>Vsetín, Rokytnice, Na Dolansku 19, PSČ 75501</t>
  </si>
  <si>
    <t>MODELKLUB Ostrožská Lhota 275 p.s.</t>
  </si>
  <si>
    <t>Modo Via, z. ú.</t>
  </si>
  <si>
    <t>Uherský Ostroh, Ostrožské Předměstí, Školní 649, PSČ 68724</t>
  </si>
  <si>
    <t>Modrý dým, z.s.</t>
  </si>
  <si>
    <t>Buchlovice, Masarykova 414, PSČ 68708</t>
  </si>
  <si>
    <t>Modrý Maják, z. s.</t>
  </si>
  <si>
    <t>Moje dílna, z.s.</t>
  </si>
  <si>
    <t>Zlín, M. Knesla 4014, PSČ 76001</t>
  </si>
  <si>
    <t>Mokřad Racková, o.s.</t>
  </si>
  <si>
    <t>Racková</t>
  </si>
  <si>
    <t>Racková 238, PSČ 76001</t>
  </si>
  <si>
    <t>MOLOSS CLUB CZ, z.s.</t>
  </si>
  <si>
    <t>Litenčice 59, PSČ 76813</t>
  </si>
  <si>
    <t>MONOSKIZLIN, z.s.</t>
  </si>
  <si>
    <t>Zlín, Kudlov, Václavská 145, PSČ 76001</t>
  </si>
  <si>
    <t>MONTESSORI DĚTEM, z.s.</t>
  </si>
  <si>
    <t>Jalubí 662, PSČ 68705</t>
  </si>
  <si>
    <t>Montessori rodinné centrum Zlín o.s.</t>
  </si>
  <si>
    <t>Ludkovice 117, PSČ 76341</t>
  </si>
  <si>
    <t>Montessori spolek Valmez, z. s.</t>
  </si>
  <si>
    <t>Valašské Meziříčí, U Nemocnice 875/5, PSČ 75701</t>
  </si>
  <si>
    <t>Montessori Zlín o.s.</t>
  </si>
  <si>
    <t>Zlín, Buková 1722, PSČ 76001</t>
  </si>
  <si>
    <t>Montežirafka o.p.s.</t>
  </si>
  <si>
    <t>Valašské Meziříčí, Zdeňka Fibicha 1217, PSČ 75701</t>
  </si>
  <si>
    <t>Činnosti ostatních organizací sdružujících osoby za účelem prosazování společných zájmů</t>
  </si>
  <si>
    <t>MOPED TEAM TLUMAČOV z.s.</t>
  </si>
  <si>
    <t>Tlumačov, Mánesova 445, PSČ 76362</t>
  </si>
  <si>
    <t>Morava music z.s.</t>
  </si>
  <si>
    <t>Holešov, Palackého 1232/102, PSČ 76901</t>
  </si>
  <si>
    <t>Morava racing team o.s.</t>
  </si>
  <si>
    <t>Krhová, Hlavní 364, PSČ 75663</t>
  </si>
  <si>
    <t>Moravan - komunikace z.s.</t>
  </si>
  <si>
    <t>Otrokovice, Letiště 1876, PSČ 76502</t>
  </si>
  <si>
    <t>MORAVIAMAN TEAM, z. s.</t>
  </si>
  <si>
    <t>Otrokovice, Štěrkoviště 1295, PSČ 76502</t>
  </si>
  <si>
    <t>Moravian Pitbulls, z.s.</t>
  </si>
  <si>
    <t>Slušovice, Na Vyhlídce 602, PSČ 76315</t>
  </si>
  <si>
    <t>Moravská hasičská jednota - hasičský sbor Nítkovice</t>
  </si>
  <si>
    <t>Nítkovice</t>
  </si>
  <si>
    <t>Nítkovice 89, PSČ 76813</t>
  </si>
  <si>
    <t>Činnosti v oblasti protipožární ochrany</t>
  </si>
  <si>
    <t>Moravská hasičská jednota - hasičský sbor Strabenice</t>
  </si>
  <si>
    <t>Litenčice, Strabenice 49, PSČ 76813</t>
  </si>
  <si>
    <t>Moravská lékařská unie</t>
  </si>
  <si>
    <t>Činnosti podnikatelských, zaměstnavatelských a profesních organizací</t>
  </si>
  <si>
    <t>Moravská Misie</t>
  </si>
  <si>
    <t>Kroměříž, Bílany 32, PSČ 76701</t>
  </si>
  <si>
    <t>Moravská mládežnická organizace</t>
  </si>
  <si>
    <t>Moravská Organizace Vozíčkářů, z. s.</t>
  </si>
  <si>
    <t>Kateřinice 112, PSČ 75621</t>
  </si>
  <si>
    <t>Moravské děti, z.s.</t>
  </si>
  <si>
    <t>Moravské Karpaty, o.p.s.</t>
  </si>
  <si>
    <t>Prlov 141, PSČ 75611</t>
  </si>
  <si>
    <t>Ostatní výzkum a vývoj v oblasti přírodních a technických věd</t>
  </si>
  <si>
    <t>Moravské snowboardové sdružení</t>
  </si>
  <si>
    <t>Otrokovice, Jungmannova 1235, PSČ 76502</t>
  </si>
  <si>
    <t>Moravské srdce, z.s.</t>
  </si>
  <si>
    <t>Hluk, Čtvrtě 1177, PSČ 68725</t>
  </si>
  <si>
    <t>Moravské včelařské společenství, z.s.</t>
  </si>
  <si>
    <t>Zlín, Malenovice, Fügnerova 309, PSČ 76302</t>
  </si>
  <si>
    <t>Moravsko - Slezský dobrman klub spolek</t>
  </si>
  <si>
    <t>Moravskoslezský klub chovatelů collií a sheltií, z.s.</t>
  </si>
  <si>
    <t>Zádveřice-Raková, Zádveřice 347, PSČ 76312</t>
  </si>
  <si>
    <t>Moravskoslezský kynologický svaz,  Kynologický klub Uherský Brod, pobočný spolek</t>
  </si>
  <si>
    <t>Uherský Brod, Amerika 376</t>
  </si>
  <si>
    <t>Moravskoslezský kynologický svaz, KK Nivnice 11007, pobočný spolek, Zámostí 1017, 68751 Nivnice</t>
  </si>
  <si>
    <t>Nivnice, Zámostí č. ev. 1017, PSČ 68751</t>
  </si>
  <si>
    <t>Moravskoslezský kynologický svaz, Kynologický klub Biskupice u Luhačovic, pobočný spolek</t>
  </si>
  <si>
    <t>Luhačovice, Kuželova 898, PSČ 76326</t>
  </si>
  <si>
    <t>Moravskoslezský kynologický svaz Kynologický klub Boršice pobočný spolek</t>
  </si>
  <si>
    <t>Boršice 521, PSČ 68709</t>
  </si>
  <si>
    <t>Moravskoslezský kynologický svaz Kynologický klub Březolupy, pobočný spolek</t>
  </si>
  <si>
    <t>Březolupy 573, PSČ 68713</t>
  </si>
  <si>
    <t>Moravskoslezský kynologický svaz Kynologický klub Bystřice pod Hostýnem pobočný spolek</t>
  </si>
  <si>
    <t>Chvalčov, Pod Hostýnem 824, PSČ 76872</t>
  </si>
  <si>
    <t>Moravskoslezský kynologický svaz, Kynologický klub Chropyně, pobočný spolek</t>
  </si>
  <si>
    <t>Chropyně, Haltýře 876, PSČ 76811</t>
  </si>
  <si>
    <t>Moravskoslezský kynologický svaz, Kynologický klub Kroměříž, pobočný spolek</t>
  </si>
  <si>
    <t>Kroměříž, Obvodová</t>
  </si>
  <si>
    <t>Moravskoslezský kynologický svaz, Kynologický klub Loukov ZO 10703 pobočný spolek</t>
  </si>
  <si>
    <t>Loukov 199, PSČ 76875</t>
  </si>
  <si>
    <t>Moravskoslezský kynologický svaz, Kynologický klub Mrlínek, pobočný spolek</t>
  </si>
  <si>
    <t>Mrlínek</t>
  </si>
  <si>
    <t>Mrlínek,</t>
  </si>
  <si>
    <t>Moravskoslezský kynologický svaz, Kynologický klub Uherské Hradiště, pobočný spolek</t>
  </si>
  <si>
    <t>Staré Město, Karoliny Světlé 1082, PSČ 68603</t>
  </si>
  <si>
    <t>Moravskoslezský kynologický svaz, Kynologický klub Uherský Ostroh, pobočný spolek</t>
  </si>
  <si>
    <t>Moravskoslezský kynologický svaz, Kynologický klub Vlčnov</t>
  </si>
  <si>
    <t>Vlčnov 1153, PSČ 68761</t>
  </si>
  <si>
    <t>Moravskoslezský kynologický svaz, z. s., ZO Zlechov kynologický klub</t>
  </si>
  <si>
    <t>Zlechov 596, PSČ 68710</t>
  </si>
  <si>
    <t>Moravskoslezský kynologický svaz, Základní kynologická organizace Hulín, pobočný spolek</t>
  </si>
  <si>
    <t>Hulín, Antonína Dvořáka 1200, PSČ 76824</t>
  </si>
  <si>
    <t>Moravskoslezský kynologický svaz, ZO Bojkovice pod Světlovem - kynologický klub</t>
  </si>
  <si>
    <t>Moravskoslezský kynologický svaz, ZO č. 11205, Kynologický klub Zlín-Lhotka, pobočný spolek</t>
  </si>
  <si>
    <t>Napajedla, Dr. Beneše 651, PSČ 76361</t>
  </si>
  <si>
    <t>Moravskoslezský kynologický svaz z.s., Kynologický klub Slavičín, pobočný spolek</t>
  </si>
  <si>
    <t>Lipová</t>
  </si>
  <si>
    <t>Lipová 124, PSČ 76321</t>
  </si>
  <si>
    <t>Moravskoslezský kynologický svaz, z.s., pobočný spolek Bánov</t>
  </si>
  <si>
    <t>Bánov 237, PSČ 68754</t>
  </si>
  <si>
    <t>Moravskoslezský kynologický svaz, z.s., ZO kynologický klub Otrokovice</t>
  </si>
  <si>
    <t>Otrokovice, Dobrovského 6424, PSČ 76502</t>
  </si>
  <si>
    <t>MoravskoSlezský Sarplaninac club</t>
  </si>
  <si>
    <t>Bojkovice, Krhov 36, PSČ 68771</t>
  </si>
  <si>
    <t>Moravsko-slovenská rozvojová agentura, o. s.</t>
  </si>
  <si>
    <t>Otrokovice, Na Uličce 1358, PSČ 76502</t>
  </si>
  <si>
    <t>Moravský letecký klastr, z.s.</t>
  </si>
  <si>
    <t>Opravy a instalace strojů a zařízení</t>
  </si>
  <si>
    <t>Moravský myslivecký spolek Diana</t>
  </si>
  <si>
    <t>Jankovice 154, PSČ 76901</t>
  </si>
  <si>
    <t>Moravský myslivecký spolek Lužná</t>
  </si>
  <si>
    <t>Lužná 230, PSČ 75611</t>
  </si>
  <si>
    <t>Moravský rybářský svaz, z.s. pobočný spolek Bojkovice</t>
  </si>
  <si>
    <t>Bojkovice, Močidla 78, PSČ 68771</t>
  </si>
  <si>
    <t>Moravský rybářský svaz, z.s. pobočný spolek Bystřice pod Hostýnem</t>
  </si>
  <si>
    <t>Moravský rybářský svaz, z.s. pobočný spolek Chropyně</t>
  </si>
  <si>
    <t>Chropyně, Haltýře 145, PSČ 76811</t>
  </si>
  <si>
    <t>Moravský rybářský svaz, z.s. pobočný spolek Hluk</t>
  </si>
  <si>
    <t>Hluk, Sokolská 1100, PSČ 68725</t>
  </si>
  <si>
    <t>Moravský rybářský svaz, z.s. pobočný spolek Holešov</t>
  </si>
  <si>
    <t>Moravský rybářský svaz, z.s. pobočný spolek Kostelany nad Moravou</t>
  </si>
  <si>
    <t>Kostelany nad Moravou 340, PSČ 68601</t>
  </si>
  <si>
    <t>Moravský rybářský svaz, z.s. pobočný spolek Kroměříž</t>
  </si>
  <si>
    <t>Kroměříž, Kojetínská 1180/19, PSČ 76701</t>
  </si>
  <si>
    <t>Moravský rybářský svaz, z.s. pobočný spolek Kunovice</t>
  </si>
  <si>
    <t>Kunovice, Na Bělince 1459, PSČ 68604</t>
  </si>
  <si>
    <t>Moravský rybářský svaz, z.s. pobočný spolek Kvasice</t>
  </si>
  <si>
    <t>Kvasice, Tlumačovská 685, PSČ 76821</t>
  </si>
  <si>
    <t>Moravský rybářský svaz, z.s. pobočný spolek Nedakonice</t>
  </si>
  <si>
    <t>Nedakonice 294, PSČ 68738</t>
  </si>
  <si>
    <t>Moravský rybářský svaz, z.s. pobočný spolek Osvětimany</t>
  </si>
  <si>
    <t>Moravský rybářský svaz, z.s. pobočný spolek Otrokovice</t>
  </si>
  <si>
    <t>Otrokovice, tř. Tomáše Bati 1610, PSČ 76502</t>
  </si>
  <si>
    <t>Moravský rybářský svaz, z.s. pobočný spolek Sehradice</t>
  </si>
  <si>
    <t>Moravský rybářský svaz, z.s. pobočný spolek Slavičín</t>
  </si>
  <si>
    <t>Moravský rybářský svaz, z.s. pobočný spolek Staré Město</t>
  </si>
  <si>
    <t>Staré Město 2219, PSČ 68603</t>
  </si>
  <si>
    <t>Moravský rybářský svaz, z.s. pobočný spolek Uherské Hradiště</t>
  </si>
  <si>
    <t>Uherské Hradiště, Mařatice, U Moravy 852, PSČ 68605</t>
  </si>
  <si>
    <t>Moravský rybářský svaz, z.s. pobočný spolek Uherský Brod</t>
  </si>
  <si>
    <t>Uherský Brod, Na Láně 1976, PSČ 68801</t>
  </si>
  <si>
    <t>Moravský rybářský svaz, z.s. pobočný spolek Uherský Ostroh</t>
  </si>
  <si>
    <t>Uherský Ostroh, Sv. Čecha 375, PSČ 68724</t>
  </si>
  <si>
    <t>Moravský rybářský svaz, z.s. pobočný spolek Zlín</t>
  </si>
  <si>
    <t>MORAVSKÝ RYBÁŘSKÝ SVAZ,NAPAJEDLA MÍSTNÍ ORGANIZACE</t>
  </si>
  <si>
    <t>Napajedla,</t>
  </si>
  <si>
    <t>Moravský spolek pro podporu ekoturismu a biofarem</t>
  </si>
  <si>
    <t>Zlín, Lužkovice, Pod Jurým 63, PSČ 76311</t>
  </si>
  <si>
    <t>Moravský sportovní klub z.s.</t>
  </si>
  <si>
    <t>Moravští madrigalisté z.s.</t>
  </si>
  <si>
    <t>Kroměříž, U Cihelny 643/12, PSČ 76701</t>
  </si>
  <si>
    <t>Moravští zemští páni, z.s.</t>
  </si>
  <si>
    <t>Kunovice, Na Bělince 109, PSČ 68604</t>
  </si>
  <si>
    <t>MORE &amp; MOVE English Camp z. s.</t>
  </si>
  <si>
    <t>Rožnov pod Radhoštěm, Žerotínská 2653, PSČ 75661</t>
  </si>
  <si>
    <t>Morkovčanka, z. s.</t>
  </si>
  <si>
    <t>Morkovice-Slížany, Morkovice, Havlíčkova 374, PSČ 76833</t>
  </si>
  <si>
    <t>MORKOVŠTÍ OCHOTNÍCI z.s.</t>
  </si>
  <si>
    <t>Most k domovu Zlín - sociální služby, z.ú.,</t>
  </si>
  <si>
    <t>Zlín, Štípa, Mariánské náměstí 48, PSČ 76314</t>
  </si>
  <si>
    <t>Moto CAVALIERS 08 o.s.</t>
  </si>
  <si>
    <t>Nivnice, Nábřežní 625, PSČ 68751</t>
  </si>
  <si>
    <t>MOTO KLUB NAPAJEDLA V AČR</t>
  </si>
  <si>
    <t>Napajedla, Dr. Beneše 1164, PSČ 76361</t>
  </si>
  <si>
    <t>MOTO KLUB Valašské Meziříčí</t>
  </si>
  <si>
    <t>Valašské Meziříčí, Krásno nad Bečvou, Schlattauerova 539/3, PSČ 75701</t>
  </si>
  <si>
    <t>Moto sport klub v AČR</t>
  </si>
  <si>
    <t>Staré Město, Slavomírova 1101, PSČ 68603</t>
  </si>
  <si>
    <t>Motobanda PAZÚŘI, z. s.</t>
  </si>
  <si>
    <t>Zlechov 84, PSČ 68710</t>
  </si>
  <si>
    <t>MOTOCAR SPORT - Club v AČR</t>
  </si>
  <si>
    <t>Zádveřice-Raková, Zádveřice 202, PSČ 76312</t>
  </si>
  <si>
    <t>Moto-club Horní Lideč z. s.</t>
  </si>
  <si>
    <t>Horní Lideč 165, PSČ 75612</t>
  </si>
  <si>
    <t>Motoclub-Kelč z.s.</t>
  </si>
  <si>
    <t>Motoklub Staré Město z.s.</t>
  </si>
  <si>
    <t>Staré Město, Velehradská 2230, PSČ 68603</t>
  </si>
  <si>
    <t>"Motoklub Valašský Vyskoček z.s."</t>
  </si>
  <si>
    <t>Střelná</t>
  </si>
  <si>
    <t>Střelná 202, PSČ 75612</t>
  </si>
  <si>
    <t>Motoklub Vítonice z.s.</t>
  </si>
  <si>
    <t>Vítonice</t>
  </si>
  <si>
    <t>Vítonice 91, PSČ 76861</t>
  </si>
  <si>
    <t>Motoklub Zlín</t>
  </si>
  <si>
    <t>Zlín, Budovatelská 4811</t>
  </si>
  <si>
    <t>Motokros Prusinovice, z.s.</t>
  </si>
  <si>
    <t>Prusinovice, Plačkov 56, PSČ 76842</t>
  </si>
  <si>
    <t>MOTOKROS VETERAN KLUB</t>
  </si>
  <si>
    <t>Valašské Meziříčí, Krásno nad Bečvou, Zašovská 238, PSČ 75701</t>
  </si>
  <si>
    <t>motokros-zlutava z.s.</t>
  </si>
  <si>
    <t>Napajedla, Sadová 1279, PSČ 76361</t>
  </si>
  <si>
    <t>MOTOODDÍL CBA o.s.</t>
  </si>
  <si>
    <t>Motorkáři z Ořechova zapsaný spolek Žebrák</t>
  </si>
  <si>
    <t>Ořechov 29, PSČ 68737</t>
  </si>
  <si>
    <t>Motorsport Strnadel, z.s.</t>
  </si>
  <si>
    <t>Rožnov pod Radhoštěm, Tylovice 2039, PSČ 75661</t>
  </si>
  <si>
    <t>MOTORSPORT Světinský, z. s.</t>
  </si>
  <si>
    <t>Dolní Němčí, Dvořákova 304, PSČ 68762</t>
  </si>
  <si>
    <t>"MOTORSPORT VALAŠSKÉ PŘÍKAZY"</t>
  </si>
  <si>
    <t>Valašské Příkazy 25, PSČ 75612</t>
  </si>
  <si>
    <t>Motosport klub Uherské Hradiště</t>
  </si>
  <si>
    <t>Uherské Hradiště, Rybárny, Šaňákova 48, PSČ 68601</t>
  </si>
  <si>
    <t>Motosport klub Zlín v AČR</t>
  </si>
  <si>
    <t>Zlín, Benešovo nábřeží 3686, PSČ 76001</t>
  </si>
  <si>
    <t>Mountain Biking Kateřinice, z. s.</t>
  </si>
  <si>
    <t>Kateřinice 191, PSČ 75621</t>
  </si>
  <si>
    <t>Mountaineering Academy, z.s.</t>
  </si>
  <si>
    <t>Hovězí 501, PSČ 75601</t>
  </si>
  <si>
    <t>MoveInArt, z.s.</t>
  </si>
  <si>
    <t>Valašské Meziříčí, Krásno nad Bečvou, Křižná 680/22, PSČ 75701</t>
  </si>
  <si>
    <t>Mozaika - vzdělávací a volnočasové centrum z.s.</t>
  </si>
  <si>
    <t>Lutopecny 129, PSČ 76701</t>
  </si>
  <si>
    <t>Mozaika o.p.s.</t>
  </si>
  <si>
    <t>Holešov, Žopy 50, PSČ 76901</t>
  </si>
  <si>
    <t>Činnosti související se zaměstnáním</t>
  </si>
  <si>
    <t>Mozaika Uherský Brod z. s.</t>
  </si>
  <si>
    <t>Uherský Brod, Františka Kožíka 2719, PSČ 68801</t>
  </si>
  <si>
    <t>MR MOTORSPORT v AČR</t>
  </si>
  <si>
    <t>Fryšták, Dr. Absolona 132, PSČ 76316</t>
  </si>
  <si>
    <t>M-racing team, z.s.</t>
  </si>
  <si>
    <t>Kostelany 4, PSČ 76701</t>
  </si>
  <si>
    <t>MRAVENIŠTĚ Zlín, z.s.</t>
  </si>
  <si>
    <t>Zlín, Podvesná VIII 3098, PSČ 76001</t>
  </si>
  <si>
    <t>”Mrazivá Šála, o.s.”</t>
  </si>
  <si>
    <t>Držková 102, PSČ 76319</t>
  </si>
  <si>
    <t>M-RODASPORT</t>
  </si>
  <si>
    <t>Staré Město, Za Mlýnem 1879, PSČ 68603</t>
  </si>
  <si>
    <t>MS Bílé Karpaty z.s.</t>
  </si>
  <si>
    <t>Uherský Brod, Na Chmelnici 2138, PSČ 68801</t>
  </si>
  <si>
    <t>MS Bratřejov, z.s.</t>
  </si>
  <si>
    <t>Bratřejov č. ev. 32, PSČ 76312</t>
  </si>
  <si>
    <t>MS CERONY BABICE, z.s.</t>
  </si>
  <si>
    <t>Babice 121, PSČ 68703</t>
  </si>
  <si>
    <t>MS Fryšták Dolní Ves z.s.</t>
  </si>
  <si>
    <t>Fryšták, Dolní Ves č. ev. 102, PSČ 76316</t>
  </si>
  <si>
    <t>MS Háj - Les, z.s.</t>
  </si>
  <si>
    <t>Huslenky 762, PSČ 75602</t>
  </si>
  <si>
    <t>MS Háj RADOŠÍN, z.s.,</t>
  </si>
  <si>
    <t>MS Háj TROJÁK, o. s.</t>
  </si>
  <si>
    <t>Rajnochovice 144, PSČ 76871</t>
  </si>
  <si>
    <t>MS Hliník z. s.</t>
  </si>
  <si>
    <t>Kurovice 68, PSČ 76852</t>
  </si>
  <si>
    <t>MS Hložec Štítná nad Vláří</t>
  </si>
  <si>
    <t>Štítná nad Vláří-Popov, Štítná nad Vláří 435, PSČ 76333</t>
  </si>
  <si>
    <t>MS Hradčovice-Drslavice,z.s.</t>
  </si>
  <si>
    <t>MS HRUBÁ JEDLA z.s.</t>
  </si>
  <si>
    <t>Slušovice, Zahradní 295, PSČ 76315</t>
  </si>
  <si>
    <t>MS JAVORNÍK RAJNOCHOVICE</t>
  </si>
  <si>
    <t>Rajnochovice 216, PSČ 76871</t>
  </si>
  <si>
    <t>MS Jedlová, z.s.</t>
  </si>
  <si>
    <t>Nový Hrozenkov 832, PSČ 75604</t>
  </si>
  <si>
    <t>MS JEHLIČKA, z.s.</t>
  </si>
  <si>
    <t>Bystřice pod Lopeníkem č. ev. 8, PSČ 68755</t>
  </si>
  <si>
    <t>MS Jívina</t>
  </si>
  <si>
    <t>Stupava</t>
  </si>
  <si>
    <t>Stupava 8, PSČ 68601</t>
  </si>
  <si>
    <t>MS Kněžpole z.s.</t>
  </si>
  <si>
    <t>Kněžpole 125, PSČ 68712</t>
  </si>
  <si>
    <t>MS KOMONEC POZLOVICE z.s.</t>
  </si>
  <si>
    <t>MS Královec - Val. Klobouky</t>
  </si>
  <si>
    <t>Valašské Klobouky, Na Výsluní 868, PSČ 76601</t>
  </si>
  <si>
    <t>MS Lesy Korytná</t>
  </si>
  <si>
    <t>Korytná 292, PSČ 68752</t>
  </si>
  <si>
    <t>MS LHOTA</t>
  </si>
  <si>
    <t>Pačlavice, Lhota 111, PSČ 76834</t>
  </si>
  <si>
    <t>MS Lhota-Karlovice, z. s.</t>
  </si>
  <si>
    <t>Lhota č. ev. 6, PSČ 76302</t>
  </si>
  <si>
    <t>MS Lípa Staré Město, z. s.</t>
  </si>
  <si>
    <t>Staré Město, Tovární 156, PSČ 68603</t>
  </si>
  <si>
    <t>MS Makyta - Les, z.s.</t>
  </si>
  <si>
    <t>MS MINAS - Hluboček o.s.</t>
  </si>
  <si>
    <t>Babice 81, PSČ 68703</t>
  </si>
  <si>
    <t>MS Neraz</t>
  </si>
  <si>
    <t>Nedachlebice 198, PSČ 68712</t>
  </si>
  <si>
    <t>MS Ostrý vrch Hluk</t>
  </si>
  <si>
    <t>MS PÍSKY</t>
  </si>
  <si>
    <t>Držková 34, PSČ 76319</t>
  </si>
  <si>
    <t>MS Pomoraví</t>
  </si>
  <si>
    <t>Spytihněv 409, PSČ 76364</t>
  </si>
  <si>
    <t>MS PROVODOV</t>
  </si>
  <si>
    <t>Provodov 91, PSČ 76345</t>
  </si>
  <si>
    <t>MS přehrada Bystřička z.s.</t>
  </si>
  <si>
    <t>Bystřička 82, PSČ 75624</t>
  </si>
  <si>
    <t>MS Příčky Chvalčov</t>
  </si>
  <si>
    <t>Chvalčov, Na Kamenci 608, PSČ 76872</t>
  </si>
  <si>
    <t>MS Radošín, z.s.</t>
  </si>
  <si>
    <t>MS Rovná</t>
  </si>
  <si>
    <t>Jankovice 8, PSČ 68704</t>
  </si>
  <si>
    <t>MS Sidonie - Les, z.s.</t>
  </si>
  <si>
    <t>MS Střílky-Zástřizly,z.s.</t>
  </si>
  <si>
    <t>Střílky, Koryčanská 47, PSČ 76804</t>
  </si>
  <si>
    <t>MS Uherský Brod, z.s.</t>
  </si>
  <si>
    <t>Uherský Brod 2641, PSČ 68801</t>
  </si>
  <si>
    <t>MS Vážany-Tučapy, z.s.</t>
  </si>
  <si>
    <t>MS Vsacko, z.s.</t>
  </si>
  <si>
    <t>Halenkov 90, PSČ 75603</t>
  </si>
  <si>
    <t>MS Vsetín Město</t>
  </si>
  <si>
    <t>MS Žlutava, z.s.</t>
  </si>
  <si>
    <t>Žlutava 267, PSČ 76361</t>
  </si>
  <si>
    <t>MSA Uherské Hradiště, z.s.</t>
  </si>
  <si>
    <t>Kunovice, Šlerkova 800, PSČ 68604</t>
  </si>
  <si>
    <t>MSKLC z.s.</t>
  </si>
  <si>
    <t>Bystřice pod Hostýnem, Na Nivách 1369, PSČ 76861</t>
  </si>
  <si>
    <t>MSV</t>
  </si>
  <si>
    <t>Zádveřice-Raková, Zádveřice 45, PSČ 76312</t>
  </si>
  <si>
    <t>MTB Březolupský sprint z.s.</t>
  </si>
  <si>
    <t>Březolupy 613, PSČ 68713</t>
  </si>
  <si>
    <t>MTB Chřiby o.s.</t>
  </si>
  <si>
    <t>Kvasice, Krajina 648, PSČ 76821</t>
  </si>
  <si>
    <t>MTB Javořina z.s.</t>
  </si>
  <si>
    <t>Strání, nám. P. St. Spáčila 15, PSČ 68765</t>
  </si>
  <si>
    <t>MTB Servis z.s.</t>
  </si>
  <si>
    <t>Napajedla, Lány 1031, PSČ 76361</t>
  </si>
  <si>
    <t>MTB team OTROKOVICE</t>
  </si>
  <si>
    <t>Otrokovice, Dobrovského 926</t>
  </si>
  <si>
    <t>MTBikers z. s.</t>
  </si>
  <si>
    <t>MTB-TRIAL CLUB z.s.</t>
  </si>
  <si>
    <t>Vsetín, Smetanova 1364, PSČ 75501</t>
  </si>
  <si>
    <t>Mudrlanti, z.s.</t>
  </si>
  <si>
    <t>Nezdenice 162, PSČ 68732</t>
  </si>
  <si>
    <t>Multimediální klub</t>
  </si>
  <si>
    <t>MULTI-S Racing z.s.</t>
  </si>
  <si>
    <t>Kroměříž, Kaplanova 4598/3, PSČ 76701</t>
  </si>
  <si>
    <t>MUN, z.s.</t>
  </si>
  <si>
    <t>Valašské Meziříčí, Podlesí 194, PSČ 75701</t>
  </si>
  <si>
    <t>MUSICA Holešov, z.s.</t>
  </si>
  <si>
    <t>Musica Liberis z.s.</t>
  </si>
  <si>
    <t>Kroměříž, Velehradská 3031/93, PSČ 76701</t>
  </si>
  <si>
    <t>Musica Minore, z.s.</t>
  </si>
  <si>
    <t>Valašské Klobouky, Cyrilometodějská 285, PSČ 76601</t>
  </si>
  <si>
    <t>Muškařský sportovní klub Bojkovice, z. s.</t>
  </si>
  <si>
    <t>Záhorovice 153, PSČ 68771</t>
  </si>
  <si>
    <t>Muškařský sportovní klub Zlín, z.s.</t>
  </si>
  <si>
    <t>Želechovice nad Dřevnicí, Osvobození 216, PSČ 76311</t>
  </si>
  <si>
    <t>Muzejní společnost Nedakonice, z.s.</t>
  </si>
  <si>
    <t>Nedakonice 531, PSČ 68738</t>
  </si>
  <si>
    <t>Muzejní společnost ve Valašském Meziříčí z. s.</t>
  </si>
  <si>
    <t>Valašské Meziříčí, Vsetínská 457, PSČ 75701</t>
  </si>
  <si>
    <t>Muzejní spolek Aloise Jaška v Bojkovicích</t>
  </si>
  <si>
    <t>Muzejní spolek Kotovica</t>
  </si>
  <si>
    <t>Veletiny 218, PSČ 68733</t>
  </si>
  <si>
    <t>Muzejní spolek v Uherském Hradišti</t>
  </si>
  <si>
    <t>Uherské Hradiště, Smetanovy sady 179, PSČ 68601</t>
  </si>
  <si>
    <t>Muzejní spolek ve Valašských Kloboukách</t>
  </si>
  <si>
    <t>Městské muzeum, Masarykovo nám. 276, Val. Klobouky</t>
  </si>
  <si>
    <t>Muzejní spolek Vlára v Brumově-Bylnici</t>
  </si>
  <si>
    <t>Brumov-Bylnice, Brumov, Podzámčí 861, PSČ 76331</t>
  </si>
  <si>
    <t>Muzeum pro všechny, z. s.</t>
  </si>
  <si>
    <t>Uherské Hradiště, Stojanova 531, PSČ 68601</t>
  </si>
  <si>
    <t>Muzikálové seskupení EVERYMAN</t>
  </si>
  <si>
    <t>Vodní 6, Kroměříž</t>
  </si>
  <si>
    <t>Činnosti politických stran a organizací</t>
  </si>
  <si>
    <t>Mužský pěvecký sbor Dolňácko Hluk, z. s.</t>
  </si>
  <si>
    <t>Mužský pěvecký sbor Dolněmčané, z.s.</t>
  </si>
  <si>
    <t>Dolní Němčí, Na Výsluní II 687, PSČ 68762</t>
  </si>
  <si>
    <t>Mužský pěvecký sbor Nedakonice, z.s.</t>
  </si>
  <si>
    <t>Nedakonice 67, PSČ 68738</t>
  </si>
  <si>
    <t>Mužský pěvecký sbor Ostrožská Lhota, z.s.</t>
  </si>
  <si>
    <t>Mužský pěvecký sbor Tupešané z.s.</t>
  </si>
  <si>
    <t>Zlechov 97, PSČ 68710</t>
  </si>
  <si>
    <t>Mužský sbor JMF Derfla z.s.</t>
  </si>
  <si>
    <t>Uherské Hradiště, Sady, Železniční 152, PSČ 68601</t>
  </si>
  <si>
    <t>Mužský sbor Kudlovice, z. s.</t>
  </si>
  <si>
    <t>Sušice</t>
  </si>
  <si>
    <t>Sušice 184, PSČ 68704</t>
  </si>
  <si>
    <t>Mužský sbor Súsedé, z.s.</t>
  </si>
  <si>
    <t>MX Hall z.s.</t>
  </si>
  <si>
    <t>Mikulůvka 331, PSČ 75624</t>
  </si>
  <si>
    <t>MX Prakšice-Pašovice, z.s.</t>
  </si>
  <si>
    <t>Hradčovice 290, PSČ 68733</t>
  </si>
  <si>
    <t>MX TEAM VALACH</t>
  </si>
  <si>
    <t>Želechovice nad Dřevnicí, Nad Školou 582, PSČ 76311</t>
  </si>
  <si>
    <t>MX-Enduro Branky, z.s.</t>
  </si>
  <si>
    <t>Branky</t>
  </si>
  <si>
    <t>Branky 6, PSČ 75645</t>
  </si>
  <si>
    <t>Mykologický klub Salaš z.s.</t>
  </si>
  <si>
    <t>Salaš 3, PSČ 68706</t>
  </si>
  <si>
    <t>„Myrtillus“</t>
  </si>
  <si>
    <t>Velké Karlovice 132, PSČ 75606</t>
  </si>
  <si>
    <t>MYSLI Jinak, z.s.</t>
  </si>
  <si>
    <t>Staré Město, Klukova 830, PSČ 68603</t>
  </si>
  <si>
    <t>Myslivci Ostrata, z.s.</t>
  </si>
  <si>
    <t>Myslivecká společnost Daněk Hostýn</t>
  </si>
  <si>
    <t>Kroměříž, Albertova 4038/23, PSČ 76701</t>
  </si>
  <si>
    <t>Myslivecká společnost NIVA Bojkovice, z. s.</t>
  </si>
  <si>
    <t>Bojkovice, Husova 994, PSČ 68771</t>
  </si>
  <si>
    <t>Myslivecká společnost ,,Přívoz" - Spytihněv, z. s.</t>
  </si>
  <si>
    <t>Spytihněv 458, PSČ 76364</t>
  </si>
  <si>
    <t>"Myslivecké a ochranářské sdružení Šumice, o. s."</t>
  </si>
  <si>
    <t>Šumice 81, PSČ 68731</t>
  </si>
  <si>
    <t>Myslivecké sdružení  Kopec Mistřice z. s.</t>
  </si>
  <si>
    <t>Myslivecké sdružení Bařinka</t>
  </si>
  <si>
    <t>Myslivecké sdružení Beskyd</t>
  </si>
  <si>
    <t>Myslivecké sdružení Bílovice - Ploština, z. s.</t>
  </si>
  <si>
    <t>Myslivecké sdružení Brodská</t>
  </si>
  <si>
    <t>Myslivecké sdružení Březovec Zubří, z.s.</t>
  </si>
  <si>
    <t>Zubří, Březovec 217, PSČ 75654</t>
  </si>
  <si>
    <t>Myslivecké sdružení Doubrava Zahnašovice,  z.s.</t>
  </si>
  <si>
    <t>Zahnašovice 43, PSČ 76901</t>
  </si>
  <si>
    <t>Myslivecké sdružení Dřínek Vlčnov, z.s.</t>
  </si>
  <si>
    <t>Vlčnov 237, PSČ 68761</t>
  </si>
  <si>
    <t>Myslivecké sdružení Háj Bánov, z. s.</t>
  </si>
  <si>
    <t>Bánov 590, PSČ 68754</t>
  </si>
  <si>
    <t>Myslivecké sdružení "HÁJ" Velehrad - Modrá,z.s.</t>
  </si>
  <si>
    <t>Velehrad, Vinohradní 167, PSČ 68706</t>
  </si>
  <si>
    <t>Myslivecké sdružení Hék Tlumačov z.s.</t>
  </si>
  <si>
    <t>Tlumačov, Dolní 101, PSČ 76362</t>
  </si>
  <si>
    <t>Myslivecké sdružení Holešov</t>
  </si>
  <si>
    <t>Myslivecké sdružení Holešov-Všetuly</t>
  </si>
  <si>
    <t>Všetuly, PSČ 769 01</t>
  </si>
  <si>
    <t>Myslivecké sdružení Holý vrch - Brumov, o.s.</t>
  </si>
  <si>
    <t>Brumov-Bylnice, Brumov, Družba 1190, PSČ 76331</t>
  </si>
  <si>
    <t>Myslivecké sdružení Hrabůvka Otrokovice, z.s.</t>
  </si>
  <si>
    <t>Otrokovice, Prostřední 417, PSČ 76502</t>
  </si>
  <si>
    <t>Myslivecké sdružení Hradisko Dobrotice - Žopy,  z.s.</t>
  </si>
  <si>
    <t>Holešov, Dobrotice 96, PSČ 76901</t>
  </si>
  <si>
    <t>Myslivecké sdružení Hrubý les, z.s.</t>
  </si>
  <si>
    <t>Uherské Hradiště, Mařatice, Vinohradská 241, PSČ 68605</t>
  </si>
  <si>
    <t>Myslivecké sdružení Hubert Salaš</t>
  </si>
  <si>
    <t>Salaš, okres Uherské Hradiště, PSČ 687 06</t>
  </si>
  <si>
    <t>Myslivecké sdružení Javořina-Bílá</t>
  </si>
  <si>
    <t>Valašské Meziříčí, Krásno nad Bečvou, Zašovská 170, PSČ 75701</t>
  </si>
  <si>
    <t>Myslivecké sdružení Komonec</t>
  </si>
  <si>
    <t>Myslivecké sdružení Korábek Uherské Hradiště, z.s.</t>
  </si>
  <si>
    <t>Uherské Hradiště, Na Splávku 1248, PSČ 68601</t>
  </si>
  <si>
    <t>Myslivecké sdružení Kyčera-Les, z.s.</t>
  </si>
  <si>
    <t>Huslenky 62, PSČ 75602</t>
  </si>
  <si>
    <t>Myslivecké sdružení Lázek Jablůnka, z.s.</t>
  </si>
  <si>
    <t>Myslivecké sdružení LESNÁ, z.s.</t>
  </si>
  <si>
    <t>Horní Němčí 379, PSČ 68764</t>
  </si>
  <si>
    <t>Myslivecké sdružení Lysina</t>
  </si>
  <si>
    <t>Myslivecké sdružení Miloňov</t>
  </si>
  <si>
    <t>Myslivecké sdružení Neubuz - Dešná, z.s.</t>
  </si>
  <si>
    <t>Myslivecké sdružení PASEKY - PRŽNO, z.s.</t>
  </si>
  <si>
    <t>Pržno 7, PSČ 75623</t>
  </si>
  <si>
    <t>Myslivecké sdružení Pláňava o.s.</t>
  </si>
  <si>
    <t>Pozděchov 1, PSČ 75611</t>
  </si>
  <si>
    <t>Myslivecké sdružení Ratiboř Červené, z. s.</t>
  </si>
  <si>
    <t>Ratiboř č. ev. 39, PSČ 75621</t>
  </si>
  <si>
    <t>Myslivecké sdružení Raťkov</t>
  </si>
  <si>
    <t>Myslivecké sdružení Razula</t>
  </si>
  <si>
    <t>Myslivecké sdružení Rusava z.s.</t>
  </si>
  <si>
    <t>Rusava 260, PSČ 76841</t>
  </si>
  <si>
    <t>Myslivecké sdružení Skaštice</t>
  </si>
  <si>
    <t>Myslivecké sdružení ŠANDERKA</t>
  </si>
  <si>
    <t>Velkoobchod s živými zvířaty</t>
  </si>
  <si>
    <t>Myslivecké sdružení TRUBISKA  Pozděchov, z. s.</t>
  </si>
  <si>
    <t>Pozděchov 82, PSČ 75611</t>
  </si>
  <si>
    <t>Myslivecké sdružení Uhliska z.s.</t>
  </si>
  <si>
    <t>Valašské Meziříčí, Krásno nad Bečvou, Hranická 272, PSČ 75701</t>
  </si>
  <si>
    <t>Myslivecké sdružení Valašská Bystřice, z.s.</t>
  </si>
  <si>
    <t>Valašská Bystřice 316, PSČ 75627</t>
  </si>
  <si>
    <t>Myslivecké sdružení Vysoká</t>
  </si>
  <si>
    <t>Myslivecké sdružení z. s. Veselá - Klečůvka</t>
  </si>
  <si>
    <t>Veselá</t>
  </si>
  <si>
    <t>Veselá 33, PSČ 76315</t>
  </si>
  <si>
    <t>Myslivecké sdružení Zašová - Sovinec, z.s.</t>
  </si>
  <si>
    <t>Zašová 605, PSČ 75651</t>
  </si>
  <si>
    <t>Myslivecké sdružení Zelené Paseky</t>
  </si>
  <si>
    <t>Myslivecké sdružení Žeranovice, z.s.</t>
  </si>
  <si>
    <t>Žeranovice 201, PSČ 76901</t>
  </si>
  <si>
    <t>Myslivecký spolek  Háj Troubky - Zdislavice</t>
  </si>
  <si>
    <t>Troubky-Zdislavice, Zdislavice 54, PSČ 76802</t>
  </si>
  <si>
    <t>Myslivecký spolek  Kátlina-Huslenky</t>
  </si>
  <si>
    <t>Huslenky 614, PSČ 75602</t>
  </si>
  <si>
    <t>Myslivecký spolek ,, Kudlovice Dolina"</t>
  </si>
  <si>
    <t>Kudlovice 39, PSČ 68703</t>
  </si>
  <si>
    <t>MYSLIVECKÝ SPOLEK - PODHŮŘÍ LOUČKA z.s.</t>
  </si>
  <si>
    <t>Loučka 46, PSČ 75644</t>
  </si>
  <si>
    <t>Myslivecký spolek  Rovná hora</t>
  </si>
  <si>
    <t>Hradčovice, Lhotka 17, PSČ 68733</t>
  </si>
  <si>
    <t>Skladování a vedlejší činnosti v dopravě</t>
  </si>
  <si>
    <t>Myslivecký spolek - Vysoké Pole, z.s.</t>
  </si>
  <si>
    <t>Vysoké Pole 247, PSČ 76325</t>
  </si>
  <si>
    <t>Myslivecký spolek BALÁŽ</t>
  </si>
  <si>
    <t>Zlín, Lhotka 49, PSČ 76302</t>
  </si>
  <si>
    <t>Myslivecký spolek Bánov, o.s.</t>
  </si>
  <si>
    <t>Bánov 464, PSČ 68754</t>
  </si>
  <si>
    <t>Myslivecký spolek Bílý vlk</t>
  </si>
  <si>
    <t>Vlčnov 879, PSČ 68761</t>
  </si>
  <si>
    <t>Myslivecký spolek Bohuslavice nad Vláří z.s.</t>
  </si>
  <si>
    <t>Bohuslavice nad Vláří 62, PSČ 76321</t>
  </si>
  <si>
    <t>Myslivecký spolek Boršice</t>
  </si>
  <si>
    <t>Myslivecký spolek Boršice u Blatnice</t>
  </si>
  <si>
    <t>Myslivecký spolek Boří Lhota u Kelče-Babice</t>
  </si>
  <si>
    <t>MYSLIVECKÝ SPOLEK BOŘÍ MÍKOVICE, z. s.</t>
  </si>
  <si>
    <t>Myslivecký spolek Boří Nítkovice</t>
  </si>
  <si>
    <t>Troubky-Zdislavice, Troubky 75, PSČ 76802</t>
  </si>
  <si>
    <t>Myslivecký spolek Branky-Poličná</t>
  </si>
  <si>
    <t>Branky 162, PSČ 75645</t>
  </si>
  <si>
    <t>Myslivecký spolek Brdisko Liptál</t>
  </si>
  <si>
    <t>Liptál 149, PSČ 75631</t>
  </si>
  <si>
    <t>Myslivecký spolek "Březí" Pašovice - Maršov</t>
  </si>
  <si>
    <t>Pašovice 100, PSČ 68756</t>
  </si>
  <si>
    <t>Myslivecký spolek Březina Prlov z.s.</t>
  </si>
  <si>
    <t>Prlov 177, PSČ 75611</t>
  </si>
  <si>
    <t>Myslivecký Spolek Březina Slušovice</t>
  </si>
  <si>
    <t>Hrobice 158, PSČ 76315</t>
  </si>
  <si>
    <t>Myslivecký spolek Březina, z.s.</t>
  </si>
  <si>
    <t>Myslivecký spolek Březolupy</t>
  </si>
  <si>
    <t>Myslivecký spolek Březovec Rudice</t>
  </si>
  <si>
    <t>Rudice</t>
  </si>
  <si>
    <t>Rudice 236, PSČ 68732</t>
  </si>
  <si>
    <t>Myslivecký spolek "Buchlov" Buchlovice</t>
  </si>
  <si>
    <t>Buchlovice, Hradišťská 778, PSČ 68708</t>
  </si>
  <si>
    <t>Myslivecký spolek Bukovina Popovice</t>
  </si>
  <si>
    <t>Popovice 25, PSČ 68604</t>
  </si>
  <si>
    <t>Myslivecký spolek Bukovina Slavkov pod Hostýnem</t>
  </si>
  <si>
    <t>Slavkov pod Hostýnem 14, PSČ 76861</t>
  </si>
  <si>
    <t>Myslivecký spolek Bukovina Topolná</t>
  </si>
  <si>
    <t>Topolná 420, PSČ 68711</t>
  </si>
  <si>
    <t>Myslivecký spolek Bylnice</t>
  </si>
  <si>
    <t>Brumov-Bylnice, Brumov, Na Vyhlídce 1403, PSČ 76331</t>
  </si>
  <si>
    <t>Myslivecký spolek Bynina - Jasenice</t>
  </si>
  <si>
    <t>Valašské Meziříčí, Bynina 62, PSČ 75701</t>
  </si>
  <si>
    <t>Myslivecký spolek Chlum Cetechovice Honětice</t>
  </si>
  <si>
    <t>Cetechovice 22, PSČ 76802</t>
  </si>
  <si>
    <t>Myslivecký spolek Chropyně</t>
  </si>
  <si>
    <t>Chropyně, J. Fučíka 666, PSČ 76811</t>
  </si>
  <si>
    <t>Myslivecký spolek Chřibsko  z.s.</t>
  </si>
  <si>
    <t>Kostelany 48, PSČ 76701</t>
  </si>
  <si>
    <t>Myslivecký spolek Chvalnov-Lísky</t>
  </si>
  <si>
    <t>Chvalnov-Lísky</t>
  </si>
  <si>
    <t>Chvalnov-Lísky, Chvalnov 68, PSČ 76805</t>
  </si>
  <si>
    <t>Myslivecký spolek Černava Lidečko</t>
  </si>
  <si>
    <t>Lidečko 536, PSČ 75612</t>
  </si>
  <si>
    <t>Myslivecký spolek DIANA Salaš</t>
  </si>
  <si>
    <t>Salaš 74, PSČ 68706</t>
  </si>
  <si>
    <t>Myslivecký spolek Díly Třebětice</t>
  </si>
  <si>
    <t>Třebětice 95, PSČ 76901</t>
  </si>
  <si>
    <t>Myslivecký spolek Dinotice</t>
  </si>
  <si>
    <t>Halenkov 655, PSČ 75603</t>
  </si>
  <si>
    <t>Myslivecký spolek Dlúhá Hůra</t>
  </si>
  <si>
    <t>Mikulůvka 247, PSČ 75624</t>
  </si>
  <si>
    <t>Myslivecký spolek Doliny Mirošov z.s.</t>
  </si>
  <si>
    <t>Myslivecký spolek Dolní-Horní Lhota</t>
  </si>
  <si>
    <t>Dolní Lhota č. ev. 28, PSČ 76323</t>
  </si>
  <si>
    <t>Myslivecký spolek Doubrava</t>
  </si>
  <si>
    <t>Kladeruby</t>
  </si>
  <si>
    <t>Kladeruby 72, PSČ 75643</t>
  </si>
  <si>
    <t>Myslivecký spolek Drnovice</t>
  </si>
  <si>
    <t>Drnovice</t>
  </si>
  <si>
    <t>Drnovice 113, PSČ 76325</t>
  </si>
  <si>
    <t>Myslivecký spolek Dubcová Kateřinice</t>
  </si>
  <si>
    <t>Kateřinice 193, PSČ 75621</t>
  </si>
  <si>
    <t>Myslivecký spolek Dubina Nětčice</t>
  </si>
  <si>
    <t>Zdounky, Nětčice 50, PSČ 76802</t>
  </si>
  <si>
    <t>Myslivecký spolek FALCO - MK</t>
  </si>
  <si>
    <t>Choryně 76, PSČ 75642</t>
  </si>
  <si>
    <t>Myslivecký spolek Francova Lhota</t>
  </si>
  <si>
    <t>Francova Lhota 325, PSČ 75614</t>
  </si>
  <si>
    <t>Myslivecký spolek Fryšták - Lukoveček</t>
  </si>
  <si>
    <t>Lukoveček</t>
  </si>
  <si>
    <t>Lukoveček, Ohrádky I 91, PSČ 76316</t>
  </si>
  <si>
    <t>Myslivecký spolek Gigula-Velké Karlovice</t>
  </si>
  <si>
    <t>Velké Karlovice 810, PSČ 75606</t>
  </si>
  <si>
    <t>Myslivecký spolek ,,Grúň" Hošťálková</t>
  </si>
  <si>
    <t>Hošťálková č. ev. 29, PSČ 75622</t>
  </si>
  <si>
    <t>Myslivecký spolek Háj Lešná</t>
  </si>
  <si>
    <t>Lešná, Perná 13, PSČ 75641</t>
  </si>
  <si>
    <t>Myslivecký spolek Háj Mysločovice</t>
  </si>
  <si>
    <t>Myslivecký spolek Háje Tučapy - Bořenovice</t>
  </si>
  <si>
    <t>Holešov, Všetuly, Sokolská 74, PSČ 76901</t>
  </si>
  <si>
    <t>Myslivecký spolek Havřice-Obora</t>
  </si>
  <si>
    <t>Uherský Brod 2642, PSČ 68801</t>
  </si>
  <si>
    <t>Myslivecký spolek Hluboček Korytná, z.s.</t>
  </si>
  <si>
    <t>Korytná č. ev. 29, PSČ 68752</t>
  </si>
  <si>
    <t>Myslivecký spolek Hluk</t>
  </si>
  <si>
    <t>Hluk, Sadová 483, PSČ 68725</t>
  </si>
  <si>
    <t>Myslivecký spolek Holý Vrch Brumov CZ</t>
  </si>
  <si>
    <t>Brumov-Bylnice, Brumov, Mlýnská 1393, PSČ 76331</t>
  </si>
  <si>
    <t>Myslivecký spolek Horka Seninka</t>
  </si>
  <si>
    <t>Seninka 100, PSČ 75611</t>
  </si>
  <si>
    <t>Myslivecký spolek Horní Lideč</t>
  </si>
  <si>
    <t>Horní Lideč 192, PSČ 75612</t>
  </si>
  <si>
    <t>Myslivecký spolek HORNÍ ROVEŇ Přílepy, z.s.</t>
  </si>
  <si>
    <t>Přílepy 1, PSČ 76901</t>
  </si>
  <si>
    <t>Myslivecký spolek Hostišová - Lhotka</t>
  </si>
  <si>
    <t>Hostišová, Hostišová - Horňák 100, PSČ 76301</t>
  </si>
  <si>
    <t>Myslivecký spolek Hovězí</t>
  </si>
  <si>
    <t>Hovězí 78, PSČ 75601</t>
  </si>
  <si>
    <t>Myslivecký spolek Hrabí</t>
  </si>
  <si>
    <t>Myslivecký spolek Hrabina Blazice</t>
  </si>
  <si>
    <t>Blazice</t>
  </si>
  <si>
    <t>Blazice 38, PSČ 76861</t>
  </si>
  <si>
    <t>Myslivecký spolek Hrabina Jankovice</t>
  </si>
  <si>
    <t>Jankovice 129, PSČ 76901</t>
  </si>
  <si>
    <t>Myslivecký spolek Hrabovina Biskupice</t>
  </si>
  <si>
    <t>Biskupice</t>
  </si>
  <si>
    <t>Biskupice 120, PSČ 76341</t>
  </si>
  <si>
    <t>Myslivecký spolek Hrádek</t>
  </si>
  <si>
    <t>Slavičín, Hrádek na Vlárské dráze, Nádražní 113, PSČ 76321</t>
  </si>
  <si>
    <t>Myslivecký spolek Hradisko-Zlín,z.s.</t>
  </si>
  <si>
    <t>Zlín, Kúty 1947, PSČ 76001</t>
  </si>
  <si>
    <t>Myslivecký spolek Hrubá Dolina Valašská Polanka</t>
  </si>
  <si>
    <t>Valašská Polanka 430, PSČ 75611</t>
  </si>
  <si>
    <t>Myslivecký spolek Hřivínův Újezd - Kaňovice</t>
  </si>
  <si>
    <t>Kaňovice</t>
  </si>
  <si>
    <t>Kaňovice 45, PSČ 76341</t>
  </si>
  <si>
    <t>Myslivecký spolek Hubert Bečvy</t>
  </si>
  <si>
    <t>Horní Bečva 1016, PSČ 75657</t>
  </si>
  <si>
    <t>Myslivecký spolek Hubert Březová</t>
  </si>
  <si>
    <t>Březová 407, PSČ 68767</t>
  </si>
  <si>
    <t>Myslivecký spolek HUBERT Morkovice, z.s.</t>
  </si>
  <si>
    <t>Morkovice-Slížany, Morkovice, Svatopluka Čecha 343, PSČ 76833</t>
  </si>
  <si>
    <t>Myslivecký spolek Hulín</t>
  </si>
  <si>
    <t>Hulín, Antonína Dvořáka 1305, PSČ 76824</t>
  </si>
  <si>
    <t>Myslivecký spolek Huštěnovice - Sušice</t>
  </si>
  <si>
    <t>Huštěnovice 318, PSČ 68703</t>
  </si>
  <si>
    <t>Myslivecký spolek Hutisko-Solanec</t>
  </si>
  <si>
    <t>Hutisko-Solanec, Hutisko 263, PSČ 75662</t>
  </si>
  <si>
    <t>Myslivecký spolek Hutisko-Solanec - Herálky</t>
  </si>
  <si>
    <t>Hutisko-Solanec, Hutisko 242, PSČ 75662</t>
  </si>
  <si>
    <t>Myslivecký spolek Hvězda Jarohněvice</t>
  </si>
  <si>
    <t>Jarohněvice 83, PSČ 76801</t>
  </si>
  <si>
    <t>Myslivecký Spolek Jalubí</t>
  </si>
  <si>
    <t>Jalubí 25, PSČ 68705</t>
  </si>
  <si>
    <t>Myslivecký spolek Jamné Slavičín z.s.</t>
  </si>
  <si>
    <t>Myslivecký spolek Jankovice</t>
  </si>
  <si>
    <t>Myslivecký spolek Jankovice Košíky,z.s.</t>
  </si>
  <si>
    <t>Myslivecký spolek Janová-Ústí</t>
  </si>
  <si>
    <t>Janová 200, PSČ 75501</t>
  </si>
  <si>
    <t>Myslivecký spolek Janovec Nedašova Lhota</t>
  </si>
  <si>
    <t>Nedašova Lhota</t>
  </si>
  <si>
    <t>Nedašova Lhota 10, PSČ 76332</t>
  </si>
  <si>
    <t>Myslivecký spolek Jaro Zdounky</t>
  </si>
  <si>
    <t>MYSLIVECKÝ SPOLEK JASENEC - POLICE</t>
  </si>
  <si>
    <t>Myslivecký spolek Jasenná pod Vartovnou</t>
  </si>
  <si>
    <t>Jasenná 317, PSČ 76313</t>
  </si>
  <si>
    <t>Myslivecký spolek Jasla Rokytnice</t>
  </si>
  <si>
    <t>Rokytnice 126, PSČ 76321</t>
  </si>
  <si>
    <t>Myslivecký spolek Javor Starý Hrozenkov, z.s.</t>
  </si>
  <si>
    <t>Starý Hrozenkov 255, PSČ 68774</t>
  </si>
  <si>
    <t>Myslivecký spolek Javorina Strání</t>
  </si>
  <si>
    <t>Strání, Květná, U sklárny 477, PSČ 68766</t>
  </si>
  <si>
    <t>Myslivecký spolek Javorník</t>
  </si>
  <si>
    <t>Štítná nad Vláří-Popov, Štítná nad Vláří 213, PSČ 76333</t>
  </si>
  <si>
    <t>Myslivecký spolek Javorník Osíčko, z.s.</t>
  </si>
  <si>
    <t>Osíčko 56, PSČ 76861</t>
  </si>
  <si>
    <t>Myslivecký spolek Javořina Halenkov</t>
  </si>
  <si>
    <t>Halenkov 68, PSČ 75603</t>
  </si>
  <si>
    <t>Myslivecký spolek Javořina-Růžďka</t>
  </si>
  <si>
    <t>Růžďka 271, PSČ 75625</t>
  </si>
  <si>
    <t>Myslivecký spolek Jeleňa Prakšice</t>
  </si>
  <si>
    <t>Prakšice 328, PSČ 68756</t>
  </si>
  <si>
    <t>Myslivecký spolek Jestřabí</t>
  </si>
  <si>
    <t>Jestřabí</t>
  </si>
  <si>
    <t>Jestřabí 1, PSČ 76333</t>
  </si>
  <si>
    <t>Myslivecký spolek Jezera Ostrožská Nová Ves</t>
  </si>
  <si>
    <t>Ostrožská Nová Ves, Za kostelem 960, PSČ 68722</t>
  </si>
  <si>
    <t>Myslivecký spolek KASIVEC - Slavkov, z.s.</t>
  </si>
  <si>
    <t>Slavkov 303, PSČ 68764</t>
  </si>
  <si>
    <t>Myslivecký spolek Kelečsko</t>
  </si>
  <si>
    <t>Myslivecký spolek Kladenka Přečkovice</t>
  </si>
  <si>
    <t>Bojkovice, Přečkovice 35, PSČ 68771</t>
  </si>
  <si>
    <t>Myslivecký spolek KLADNÁ ŽILÍN</t>
  </si>
  <si>
    <t>Luhačovice, Kladná Žilín 45, PSČ 76326</t>
  </si>
  <si>
    <t>Myslivecký spolek Kněhyně-Bečvy</t>
  </si>
  <si>
    <t>Horní Bečva 333, PSČ 75657</t>
  </si>
  <si>
    <t>Myslivecký spolek Kojetínek Veletiny, z.s.</t>
  </si>
  <si>
    <t>Vlčnov 1117, PSČ 68761</t>
  </si>
  <si>
    <t>Myslivecký spolek KONČITÁ</t>
  </si>
  <si>
    <t>Liptál 496, PSČ 75631</t>
  </si>
  <si>
    <t>Myslivecký spolek Koryčansko</t>
  </si>
  <si>
    <t>Koryčany, Jestřabice 158, PSČ 76805</t>
  </si>
  <si>
    <t>Myslivecký spolek Kostelany nad Moravou z.s.</t>
  </si>
  <si>
    <t>Kostelany nad Moravou 35, PSČ 68601</t>
  </si>
  <si>
    <t>Myslivecký spolek Kostelecký les</t>
  </si>
  <si>
    <t>Kostelec u Holešova 287, PSČ 76843</t>
  </si>
  <si>
    <t>Myslivecký spolek Kožušice</t>
  </si>
  <si>
    <t>Kunkovice 73, PSČ 76813</t>
  </si>
  <si>
    <t>Myslivecký spolek Krahulčí</t>
  </si>
  <si>
    <t>Břest 144, PSČ 76823</t>
  </si>
  <si>
    <t>Myslivecký spolek Kříby Bohuslavice - Březnice, z.s.</t>
  </si>
  <si>
    <t>Bohuslavice u Zlína</t>
  </si>
  <si>
    <t>Bohuslavice u Zlína 304, PSČ 76351</t>
  </si>
  <si>
    <t>MYSLIVECKÝ SPOLEK KŘÍDLO</t>
  </si>
  <si>
    <t>Chomýž</t>
  </si>
  <si>
    <t>Chomýž 52, PSČ 76861</t>
  </si>
  <si>
    <t>Myslivecký spolek Kudlov - Jaroslavice z.s.</t>
  </si>
  <si>
    <t>Zlín, Kudlov, Březovská 59, PSČ 76001</t>
  </si>
  <si>
    <t>Myslivecký spolek Kupčínek Nedachlebice</t>
  </si>
  <si>
    <t>Nedachlebice 250, PSČ 68712</t>
  </si>
  <si>
    <t>Myslivecký spolek Kvasice</t>
  </si>
  <si>
    <t>Kvasice 696, PSČ 76821</t>
  </si>
  <si>
    <t>Myslivecký spolek Kyčera Huslenky</t>
  </si>
  <si>
    <t>Myslivecký spolek Lačnov</t>
  </si>
  <si>
    <t>Lačnov 8, PSČ 75612</t>
  </si>
  <si>
    <t>Myslivecký spolek LANKA Dolní Němčí, z.s.</t>
  </si>
  <si>
    <t>Dolní Němčí, U Stadionu 903, PSČ 68762</t>
  </si>
  <si>
    <t>Myslivecký spolek Lechotice</t>
  </si>
  <si>
    <t>Lechotice</t>
  </si>
  <si>
    <t>Lechotice 100, PSČ 76852</t>
  </si>
  <si>
    <t>Myslivecký spolek Lhota Stráň</t>
  </si>
  <si>
    <t>Lhota u Vsetína 211, PSČ 75501</t>
  </si>
  <si>
    <t>Myslivecký spolek Lípa nad Dřevnicí, z.s.</t>
  </si>
  <si>
    <t>Myslivecký spolek Lípa Soběsuky</t>
  </si>
  <si>
    <t>Soběsuky 23, PSČ 76802</t>
  </si>
  <si>
    <t>Myslivecký spolek Lipina - Křekov</t>
  </si>
  <si>
    <t>Valašské Klobouky, Lipina 91, PSČ 76601</t>
  </si>
  <si>
    <t>Myslivecký spolek Lipina Počenice</t>
  </si>
  <si>
    <t>Myslivecký spolek Lipky Leskovec</t>
  </si>
  <si>
    <t>Myslivecký spolek Litenčice, z.s.</t>
  </si>
  <si>
    <t>Rataje, Popovice 126, PSČ 76812</t>
  </si>
  <si>
    <t>Myslivecký spolek LOKOV, z.s.</t>
  </si>
  <si>
    <t>Bojkovice, Krhov 38, PSČ 68771</t>
  </si>
  <si>
    <t>Myslivecký spolek Lopeník</t>
  </si>
  <si>
    <t>Lopeník</t>
  </si>
  <si>
    <t>Lopeník 67, PSČ 68767</t>
  </si>
  <si>
    <t>Myslivecký spolek Loučka</t>
  </si>
  <si>
    <t>Loučka 141, PSČ 76325</t>
  </si>
  <si>
    <t>Myslivecký spolek Lovecká obec, z.s.</t>
  </si>
  <si>
    <t>Stříbrnice</t>
  </si>
  <si>
    <t>Stříbrnice č.ev. 68, PSČ 687 09</t>
  </si>
  <si>
    <t>Myslivecký spolek Lověna - Brumov, z.s.</t>
  </si>
  <si>
    <t>Brumov-Bylnice, Brumov, Mlýnská 1390, PSČ 76331</t>
  </si>
  <si>
    <t>Myslivecký spolek Ludslavice</t>
  </si>
  <si>
    <t>Ludslavice 31, PSČ 76852</t>
  </si>
  <si>
    <t>Myslivecký spolek Luhačovice</t>
  </si>
  <si>
    <t>Luhačovice, V Drahách 1128, PSČ 76326</t>
  </si>
  <si>
    <t>Myslivecký spolek Lukov-Vlčková z.s.</t>
  </si>
  <si>
    <t>Lukov, Hrušoví 41, PSČ 76317</t>
  </si>
  <si>
    <t>Myslivecký spolek Lutonina</t>
  </si>
  <si>
    <t>Lutonina 4, PSČ 76312</t>
  </si>
  <si>
    <t>Myslivecký spolek Lutopecny - Měrůtky</t>
  </si>
  <si>
    <t>Lutopecny 1, PSČ 76701</t>
  </si>
  <si>
    <t>Myslivecký spolek Makyta</t>
  </si>
  <si>
    <t>Valašské Příkazy 59, PSČ 75612</t>
  </si>
  <si>
    <t>Myslivecký spolek Malá Bystřice</t>
  </si>
  <si>
    <t>Malá Bystřice 55, PSČ 75627</t>
  </si>
  <si>
    <t>Myslivecký spolek Martinice</t>
  </si>
  <si>
    <t>Martinice 16, PSČ 76901</t>
  </si>
  <si>
    <t>Myslivecký spolek Míškovice</t>
  </si>
  <si>
    <t>Míškovice 15, PSČ 76852</t>
  </si>
  <si>
    <t>Myslivecký spolek Modrá voda Záhorovice, z. s.</t>
  </si>
  <si>
    <t>Záhorovice 331, PSČ 68771</t>
  </si>
  <si>
    <t>Myslivecký spolek Mrlínek</t>
  </si>
  <si>
    <t>Mrlínek 10, PSČ 76861</t>
  </si>
  <si>
    <t>Myslivecký spolek MS - PK Pohořelice</t>
  </si>
  <si>
    <t>Myslivecký spolek Napajedla</t>
  </si>
  <si>
    <t>Napajedla, 2. května 1595, PSČ 76361</t>
  </si>
  <si>
    <t>Myslivecký spolek Návojná</t>
  </si>
  <si>
    <t>Návojná 122, PSČ 76332</t>
  </si>
  <si>
    <t>Myslivecký spolek Nedakonice</t>
  </si>
  <si>
    <t>Myslivecký spolek Nedašov,z.s.</t>
  </si>
  <si>
    <t>Nedašov 350, PSČ 76332</t>
  </si>
  <si>
    <t>Myslivecký spolek Nevšová</t>
  </si>
  <si>
    <t>Slavičín, Nevšová 43, PSČ 76321</t>
  </si>
  <si>
    <t>Myslivecký spolek Niva Šumice z.s.</t>
  </si>
  <si>
    <t>Myslivecký spolek Nivka - Semetín</t>
  </si>
  <si>
    <t>Ratiboř 137, PSČ 75621</t>
  </si>
  <si>
    <t>Myslivecký spolek Nový Hrozenkov</t>
  </si>
  <si>
    <t>Nový Hrozenkov č. ev. 25, PSČ 75604</t>
  </si>
  <si>
    <t>Myslivecký spolek OCHOZY Bystřice pod Hostýnem</t>
  </si>
  <si>
    <t>Bystřice pod Hostýnem, Rychlov, Přerovská 205, PSČ 76861</t>
  </si>
  <si>
    <t>Myslivecký spolek Ořechov z.s.</t>
  </si>
  <si>
    <t>Myslivecký spolek Ostrožská Lhota</t>
  </si>
  <si>
    <t>Ostrožská Lhota 162, PSČ 68723</t>
  </si>
  <si>
    <t>Myslivecký spolek Ostrožsko</t>
  </si>
  <si>
    <t>Uherský Ostroh, Třebízského 385, PSČ 68724</t>
  </si>
  <si>
    <t>Myslivecký spolek Ostřice</t>
  </si>
  <si>
    <t>Zlín, Malenovice, Tečovská 1052, PSČ 76302</t>
  </si>
  <si>
    <t>Myslivecký spolek Osvětimany, z.s.</t>
  </si>
  <si>
    <t>Myslivecký spolek Pačlavice</t>
  </si>
  <si>
    <t>Pačlavice, Lhota 123, PSČ 76834</t>
  </si>
  <si>
    <t>Myslivecký spolek Pitín-Hostětín, z.s.</t>
  </si>
  <si>
    <t>Pitín č. ev. 7, PSČ 68771</t>
  </si>
  <si>
    <t>Myslivecký spolek Podhájí-Újezdec u Luhačovic</t>
  </si>
  <si>
    <t>Uherský Brod, Újezdec 374, PSČ 68734</t>
  </si>
  <si>
    <t>Myslivecký spolek PODHOŘÍ Loukov, z.s.</t>
  </si>
  <si>
    <t>Myslivecký spolek Podhradní Lhota</t>
  </si>
  <si>
    <t>Podhradní Lhota 150, PSČ 76871</t>
  </si>
  <si>
    <t>Myslivecký spolek Podhůří Kunovice</t>
  </si>
  <si>
    <t>Kunovice 153, PSČ 75644</t>
  </si>
  <si>
    <t>Myslivecký spolek Podlesí Halenkovice</t>
  </si>
  <si>
    <t>Halenkovice 380, PSČ 76363</t>
  </si>
  <si>
    <t>Myslivecký spolek Polichno</t>
  </si>
  <si>
    <t>Luhačovice, Polichno 1, PSČ 76341</t>
  </si>
  <si>
    <t>Myslivecký spolek Portáš Huslenky</t>
  </si>
  <si>
    <t>Myslivecký spolek Postoupky-Hradisko</t>
  </si>
  <si>
    <t>Kroměříž, Postoupky 69, PSČ 76701</t>
  </si>
  <si>
    <t>Myslivecký spolek Poteč</t>
  </si>
  <si>
    <t>Poteč 12, PSČ 76601</t>
  </si>
  <si>
    <t>Myslivecký spolek Pravčice, z.s.</t>
  </si>
  <si>
    <t>Pravčice 157, PSČ 76824</t>
  </si>
  <si>
    <t>Myslivecký spolek Přehrada Karolinka z.s.</t>
  </si>
  <si>
    <t>Karolinka, Stanovnice 708, PSČ 75605</t>
  </si>
  <si>
    <t>Myslivecký spolek Příluky - Lůžkovice</t>
  </si>
  <si>
    <t>Zlín, Lužkovice, Zádědina 68, PSČ 76311</t>
  </si>
  <si>
    <t>Myslivecký spolek Racková</t>
  </si>
  <si>
    <t>Racková 220, PSČ 76001</t>
  </si>
  <si>
    <t>Myslivecký spolek Radegast-Prostřední Bečva</t>
  </si>
  <si>
    <t>Prostřední Bečva 232, PSČ 75656</t>
  </si>
  <si>
    <t>Myslivecký spolek Rataje</t>
  </si>
  <si>
    <t>Rataje 139, PSČ 76812</t>
  </si>
  <si>
    <t>Myslivecký spolek Ratiboř - Červené</t>
  </si>
  <si>
    <t>Myslivecký spolek Rochus Jarošov</t>
  </si>
  <si>
    <t>Uherské Hradiště, Jarošov, U Bagru 101, PSČ 68601</t>
  </si>
  <si>
    <t>Myslivecký spolek ROŠTĚNÍ, z.s.</t>
  </si>
  <si>
    <t>Roštění 144, PSČ 76843</t>
  </si>
  <si>
    <t>Myslivecký spolek Roštín</t>
  </si>
  <si>
    <t>Roštín 450, PSČ 76803</t>
  </si>
  <si>
    <t>Myslivecký spolek Rožnov-Sever</t>
  </si>
  <si>
    <t>Rožnov pod Radhoštěm, Ostravská 704, PSČ 75661</t>
  </si>
  <si>
    <t>Myslivecký spolek Rudimov</t>
  </si>
  <si>
    <t>Rudimov</t>
  </si>
  <si>
    <t>Rudimov 123, PSČ 76321</t>
  </si>
  <si>
    <t>Rusava 248, PSČ 76841</t>
  </si>
  <si>
    <t>MYSLIVECKÝ SPOLEK RYMICE</t>
  </si>
  <si>
    <t>Myslivecký spolek Rýsov Provodov z.s.</t>
  </si>
  <si>
    <t>Myslivecký spolek Rysová Vigantice, z.s.</t>
  </si>
  <si>
    <t>Vigantice 7, PSČ 75661</t>
  </si>
  <si>
    <t>Myslivecký spolek Řetechov - Skalky, z. s.</t>
  </si>
  <si>
    <t>Luhačovice, Řetechov 16, PSČ 76326</t>
  </si>
  <si>
    <t>Myslivecký spolek Sehradice</t>
  </si>
  <si>
    <t>Myslivecký spolek Sidonie - Cigán, z.s.</t>
  </si>
  <si>
    <t>Myslivecký spolek Skalka z. s.</t>
  </si>
  <si>
    <t>Otrokovice, Terezov 282, PSČ 76502</t>
  </si>
  <si>
    <t>Myslivecký spolek Slopné</t>
  </si>
  <si>
    <t>Slopné</t>
  </si>
  <si>
    <t>Slopné 112, PSČ 76323</t>
  </si>
  <si>
    <t>Myslivecký spolek Slovácko Polešovice</t>
  </si>
  <si>
    <t>Polešovice 790, PSČ 68737</t>
  </si>
  <si>
    <t>Myslivecký spolek SMOLINA</t>
  </si>
  <si>
    <t>Valašské Klobouky, Smolina 62, PSČ 76601</t>
  </si>
  <si>
    <t>Myslivecký spolek Srnová - Krhová</t>
  </si>
  <si>
    <t>Valašské Meziříčí, Bynina 44, PSČ 75701</t>
  </si>
  <si>
    <t>Myslivecký spolek STRÁNĚ</t>
  </si>
  <si>
    <t>Újezdec</t>
  </si>
  <si>
    <t>Újezdec 68, PSČ 68741</t>
  </si>
  <si>
    <t>Myslivecký spolek Stráž Choryně</t>
  </si>
  <si>
    <t>Choryně 196, PSČ 75642</t>
  </si>
  <si>
    <t>Myslivecký spolek Stráž Zlín</t>
  </si>
  <si>
    <t>Březnice 497, PSČ 76001</t>
  </si>
  <si>
    <t>Myslivecký spolek Strážná Březůvky-Doubravy</t>
  </si>
  <si>
    <t>Myslivecký spolek Střítež nad Bečvou</t>
  </si>
  <si>
    <t>Myslivecký spolek Stupava</t>
  </si>
  <si>
    <t>Stupava 90, PSČ 68601</t>
  </si>
  <si>
    <t>Myslivecký spolek Sudinka Petrůvka</t>
  </si>
  <si>
    <t>Myslivecký spolek Šanov</t>
  </si>
  <si>
    <t>Šanov</t>
  </si>
  <si>
    <t>Šanov 77, PSČ 76321</t>
  </si>
  <si>
    <t>Myslivecký spolek Šaranov Nivnice</t>
  </si>
  <si>
    <t>Myslivecký spolek Šelešovice</t>
  </si>
  <si>
    <t>Šelešovice</t>
  </si>
  <si>
    <t>Šelešovice 93, PSČ 76701</t>
  </si>
  <si>
    <t>Myslivecký spolek ŠTUDLOV-VAL.PŘÍKAZY</t>
  </si>
  <si>
    <t>Myslivecký spolek Tatarka Lipová - Haluzice</t>
  </si>
  <si>
    <t>Slavičín, K. Vystrčila 387, PSČ 76321</t>
  </si>
  <si>
    <t>Myslivecký spolek Tečovice</t>
  </si>
  <si>
    <t>Tečovice 52, PSČ 76302</t>
  </si>
  <si>
    <t>Myslivecký Spolek Tichov</t>
  </si>
  <si>
    <t>Tichov</t>
  </si>
  <si>
    <t>Tichov 48, PSČ 76601</t>
  </si>
  <si>
    <t>Myslivecký spolek Tisůvek Střelná</t>
  </si>
  <si>
    <t>Střelná 38, PSČ 75612</t>
  </si>
  <si>
    <t>Myslivecký spolek Traplice</t>
  </si>
  <si>
    <t>Traplice 255, PSČ 68704</t>
  </si>
  <si>
    <t>Myslivecký spolek Trávník</t>
  </si>
  <si>
    <t>Kroměříž, Těšnovice 143, PSČ 76701</t>
  </si>
  <si>
    <t>Myslivecký spolek Troják Bystřice pod Lopeníkem</t>
  </si>
  <si>
    <t>Bystřice pod Lopeníkem 70, PSČ 68755</t>
  </si>
  <si>
    <t>Myslivecký spolek Troják Věžky - Zlobice</t>
  </si>
  <si>
    <t>Myslivecký spolek TRUBISKA</t>
  </si>
  <si>
    <t>Pozděchov 27, PSČ 75611</t>
  </si>
  <si>
    <t>Myslivecký spolek Tupesy-Břestek</t>
  </si>
  <si>
    <t>Tupesy 10, PSČ 68707</t>
  </si>
  <si>
    <t>Myslivecký spolek Ublo</t>
  </si>
  <si>
    <t>Ublo 74, PSČ 76312</t>
  </si>
  <si>
    <t>Myslivecký spolek Uhřice-Prasklice</t>
  </si>
  <si>
    <t>Prasklice 51, PSČ 76833</t>
  </si>
  <si>
    <t>Myslivecký spolek ÚJEZD</t>
  </si>
  <si>
    <t>Újezd 136, PSČ 76325</t>
  </si>
  <si>
    <t>Myslivecký spolek Valašská Senice</t>
  </si>
  <si>
    <t>Myslivecký spolek Valašské Klobouky</t>
  </si>
  <si>
    <t>Valašské Klobouky, Brumovská 1051, PSČ 76601</t>
  </si>
  <si>
    <t>Myslivecký spolek Valašsko Vlachovice</t>
  </si>
  <si>
    <t>Vlachovice 36, PSČ 76324</t>
  </si>
  <si>
    <t>Myslivecký spolek Včelín Zlín-Louky</t>
  </si>
  <si>
    <t>Zlín, Louky, Chlumská č. ev. 5, PSČ 76302</t>
  </si>
  <si>
    <t>Myslivecký spolek Velká Lhota</t>
  </si>
  <si>
    <t>Velká Lhota, Malá Lhota 62, PSČ 75701</t>
  </si>
  <si>
    <t>Myslivecký spolek Velký Ořechov</t>
  </si>
  <si>
    <t>Velký Ořechov 221, PSČ 76307</t>
  </si>
  <si>
    <t>Myslivecký spolek Veselá - Hrachovec</t>
  </si>
  <si>
    <t>Valašské Meziříčí, Hrachovec 240, PSČ 75701</t>
  </si>
  <si>
    <t>Myslivecký spolek Vidče</t>
  </si>
  <si>
    <t>Myslivecký spolek VIDOVY</t>
  </si>
  <si>
    <t>Želechovice nad Dřevnicí, Paseky č. ev. 40, PSČ 76311</t>
  </si>
  <si>
    <t>Myslivecký spolek Vítonice</t>
  </si>
  <si>
    <t>Vítonice 134, PSČ 76861</t>
  </si>
  <si>
    <t>Myslivecký spolek Vizovice</t>
  </si>
  <si>
    <t>Vizovice, Kamenec 1300, PSČ 76312</t>
  </si>
  <si>
    <t>Myslivecký spolek vlastniků Dolní Bečva</t>
  </si>
  <si>
    <t>Dolní Bečva 70, PSČ 75655</t>
  </si>
  <si>
    <t>Myslivecký spolek Vlčí Důl Zlechov</t>
  </si>
  <si>
    <t>Zlechov 19, PSČ 68710</t>
  </si>
  <si>
    <t>Myslivecký spolek Vlčinec Částkov</t>
  </si>
  <si>
    <t>Myslivecký spolek Vranov Prusinovice z.s.</t>
  </si>
  <si>
    <t>Myslivecký spolek Vrchovina Hvozdná</t>
  </si>
  <si>
    <t>Hvozdná, Myslivecká č. ev. 38, PSČ 76310</t>
  </si>
  <si>
    <t>Myslivecký spolek Vsetín Jasenka</t>
  </si>
  <si>
    <t>Vsetín, Vesník 792, PSČ 75501</t>
  </si>
  <si>
    <t>Myslivecký spolek Vsetín-Jasenice</t>
  </si>
  <si>
    <t>Vsetín, Jasenická 1674, PSČ 75501</t>
  </si>
  <si>
    <t>Myslivecký spolek Vsetín-Rokytnice</t>
  </si>
  <si>
    <t>Vsetín, Lidická 1961, PSČ 75501</t>
  </si>
  <si>
    <t>Myslivecký spolek Všemina</t>
  </si>
  <si>
    <t>Všemina 185, PSČ 76315</t>
  </si>
  <si>
    <t>Myslivecký spolek Vysoké Pole - lesy</t>
  </si>
  <si>
    <t>Myslivecký spolek Zádveřice-Raková</t>
  </si>
  <si>
    <t>Zádveřice-Raková, Zádveřice č. ev. 39, PSČ 76312</t>
  </si>
  <si>
    <t>Myslivecký spolek Zálesí Ludkovice</t>
  </si>
  <si>
    <t>Myslivecký spolek Zálesí Zlámanec-Svárov</t>
  </si>
  <si>
    <t>Zlámanec 95, PSČ 68712</t>
  </si>
  <si>
    <t>Myslivecký spolek Záříčí</t>
  </si>
  <si>
    <t>Záříčí</t>
  </si>
  <si>
    <t>Záříčí 100, PSČ 76811</t>
  </si>
  <si>
    <t>Myslivecký spolek Zborovice - Medlov</t>
  </si>
  <si>
    <t>Zborovice, Hlavní 37, PSČ 76832</t>
  </si>
  <si>
    <t>Myslivecký spolek Zděchov</t>
  </si>
  <si>
    <t>Zděchov 1, PSČ 75607</t>
  </si>
  <si>
    <t>Myslivecký spolek Žalkovice</t>
  </si>
  <si>
    <t>Žalkovice</t>
  </si>
  <si>
    <t>Žalkovice 97, PSČ 76823</t>
  </si>
  <si>
    <t>Myslivecký spolek Želechovice nad Dřevnicí</t>
  </si>
  <si>
    <t>Myslivecký spolek Žítková</t>
  </si>
  <si>
    <t>Žítková 161, PSČ 68774</t>
  </si>
  <si>
    <t>Mysločovští obratlovci, z.s.</t>
  </si>
  <si>
    <t>Mysločovice 128, PSČ 76301</t>
  </si>
  <si>
    <t>MyšMaš - Sdružení pro alternativní kulturu a ekologii</t>
  </si>
  <si>
    <t>Bojkovice, Bezručova čtvrť 787, PSČ 68771</t>
  </si>
  <si>
    <t>Mýtina z.s.</t>
  </si>
  <si>
    <t>Uherské Hradiště, Františkánská 124, PSČ 68601</t>
  </si>
  <si>
    <t>M4Care.spolek</t>
  </si>
  <si>
    <t>Zlín, Ovsíková 7083, PSČ 76001</t>
  </si>
  <si>
    <t>NA CESTĚ, z. s.</t>
  </si>
  <si>
    <t>Vsetín, Palackého 138, PSČ 75501</t>
  </si>
  <si>
    <t>NA DLANI, o.p.s.</t>
  </si>
  <si>
    <t>Zlín, Štefánikova 5462, PSČ 76001</t>
  </si>
  <si>
    <t>NA DOMOVĚ, z.s.</t>
  </si>
  <si>
    <t>Zlín, Pod Stráněmi 743, PSČ 76001</t>
  </si>
  <si>
    <t>NA KONÁRI, z. s.</t>
  </si>
  <si>
    <t>Na Kopcu z.s.</t>
  </si>
  <si>
    <t>Holešov, Komenského 944/3, PSČ 76901</t>
  </si>
  <si>
    <t>„Na Kozinci”</t>
  </si>
  <si>
    <t>Rožnov pod Radhoštěm, Pod Kozincem 609, PSČ 75661</t>
  </si>
  <si>
    <t>Na lhotském kopci, z. s.</t>
  </si>
  <si>
    <t>Vlachova Lhota</t>
  </si>
  <si>
    <t>Vlachova Lhota 68, PSČ 76601</t>
  </si>
  <si>
    <t>Na Pasece, z.s.</t>
  </si>
  <si>
    <t>NA POLI DESIGNU, z. s.</t>
  </si>
  <si>
    <t>Bílovice 519, PSČ 68712</t>
  </si>
  <si>
    <t>NA POMOC FOTBALU - o.s.</t>
  </si>
  <si>
    <t>Zlín, Slezská 4773, PSČ 76005</t>
  </si>
  <si>
    <t>Na pomoc kočkám z.s.</t>
  </si>
  <si>
    <t>Na vlastní kůži, z.ú.</t>
  </si>
  <si>
    <t>Vsetín, Horní Jasenka 87, PSČ 75501</t>
  </si>
  <si>
    <t>Náboženská obec Církve československé husitské v Kroměříži</t>
  </si>
  <si>
    <t>Kroměříž, Milíčovo náměstí 527/1, PSČ 76701</t>
  </si>
  <si>
    <t>Náboženská obec Církve československé husitské v Kvasicích</t>
  </si>
  <si>
    <t>Kvasice, Husova 400, PSČ 76821</t>
  </si>
  <si>
    <t>Náboženská obec Církve československé husitské v Morkovicích</t>
  </si>
  <si>
    <t>Morkovice-Slížany, Morkovice, Náměstí 117, PSČ 76833</t>
  </si>
  <si>
    <t>Náboženská obec Církve československé husitské v Uherském Brodě</t>
  </si>
  <si>
    <t>Uherský Brod, Bří Lužů 290, PSČ 68801</t>
  </si>
  <si>
    <t>Náboženská obec Církve československé husitské ve Zborovicích</t>
  </si>
  <si>
    <t>Zborovice, Sokolská 235, PSČ 76832</t>
  </si>
  <si>
    <t>Náboženská obec Církve československé husitské ve Zlíně</t>
  </si>
  <si>
    <t>Zlín, Štefánikova 6305, PSČ 76001</t>
  </si>
  <si>
    <t>NADACE BRATŘÍ LUŽŮ</t>
  </si>
  <si>
    <t>Uherský Brod, Na Výsluní 1408, PSČ 68801</t>
  </si>
  <si>
    <t>Nadace Jana Pivečky</t>
  </si>
  <si>
    <t>Slavičín, Horní náměstí 111, PSČ 76321</t>
  </si>
  <si>
    <t>Nadace Masarykova gymnázia</t>
  </si>
  <si>
    <t>Vsetín, Tyršova 1069, PSČ 75501</t>
  </si>
  <si>
    <t>Nadace MORAVSKÉ SRDCE</t>
  </si>
  <si>
    <t>Nedakonice, Zahradní 408, PSČ 68738</t>
  </si>
  <si>
    <t>Nadace Most k domovu Zlín</t>
  </si>
  <si>
    <t>Nadace PORTAL pro umění Idy, Vladislava a Bety Vaculkových</t>
  </si>
  <si>
    <t>Uherské Hradiště, Masarykovo náměstí 35, PSČ 68601</t>
  </si>
  <si>
    <t>Nadace Pro půdu</t>
  </si>
  <si>
    <t>Chropyně, Tovačovská 473, PSČ 76811</t>
  </si>
  <si>
    <t>Nadace První lidský klub</t>
  </si>
  <si>
    <t>Kostelany 200, PSČ 76701</t>
  </si>
  <si>
    <t>Nadace SYNOT</t>
  </si>
  <si>
    <t>Uherské Hradiště, Mařatice, Jaktáře 1475, PSČ 68601</t>
  </si>
  <si>
    <t>Nadace Tomáše Bati</t>
  </si>
  <si>
    <t>Nadace Univerzity Tomáše Bati</t>
  </si>
  <si>
    <t>Nadace Valašský svět</t>
  </si>
  <si>
    <t>Vsetín, Sušilova 1610, PSČ 75501</t>
  </si>
  <si>
    <t>Nadace Živoucí světlo Maháprabhudíp satsang</t>
  </si>
  <si>
    <t>Nadační fond - HYGGE DOMOV</t>
  </si>
  <si>
    <t>Lhota 299, PSČ 76302</t>
  </si>
  <si>
    <t>Nadační fond - Mateřská škola - Koryčanské Paseky</t>
  </si>
  <si>
    <t>Rožnov pod Radhoštěm, Svazarmovská 1444, PSČ 75661</t>
  </si>
  <si>
    <t>Nadační fond ALTER EGO</t>
  </si>
  <si>
    <t>Valašské Meziříčí, Havlíčkova 234/1, PSČ 75701</t>
  </si>
  <si>
    <t>Nadační fond Aurora</t>
  </si>
  <si>
    <t>Morkovice-Slížany, Morkovice, Svatopluka Čecha 159, PSČ 76833</t>
  </si>
  <si>
    <t>Nadační fond CESTA KE HVĚZDÁM</t>
  </si>
  <si>
    <t>Nadační fond Charitativní běh Lukov</t>
  </si>
  <si>
    <t>Lukov, Hrušoví č. ev. 163, PSČ 76317</t>
  </si>
  <si>
    <t>Nadační fond CS CABOT</t>
  </si>
  <si>
    <t>Valašské Meziříčí, Krásno nad Bečvou, Masarykova 753, PSČ 75701</t>
  </si>
  <si>
    <t>Nadační fond CSS MAXKO</t>
  </si>
  <si>
    <t>Nadační fond Čestmíra Vančury</t>
  </si>
  <si>
    <t>Zlín, Vavrečkova 5333, PSČ 76001</t>
  </si>
  <si>
    <t>Nadační fond Dětský svět</t>
  </si>
  <si>
    <t>Uherské Hradiště, Otakarova 82, PSČ 68601</t>
  </si>
  <si>
    <t>Nadační fond Dr. Kachníka Nivnice</t>
  </si>
  <si>
    <t>Nivnice, náměstí Míru 138, PSČ 68751</t>
  </si>
  <si>
    <t>Nadační fond EUROCORP</t>
  </si>
  <si>
    <t>Valašské Klobouky, Sychrov 1061, PSČ 76601</t>
  </si>
  <si>
    <t>Nadační fond Filmana</t>
  </si>
  <si>
    <t>Nadační fond Filmový festival Zlín</t>
  </si>
  <si>
    <t>Distribuce filmů, videozáznamů a televizních programů</t>
  </si>
  <si>
    <t>Nadační fond FILMTALENT ZLÍN</t>
  </si>
  <si>
    <t>Nadační fond Folklorika</t>
  </si>
  <si>
    <t>Staré Město, Nádražní 575, PSČ 68603</t>
  </si>
  <si>
    <t>Nadační fond Future home</t>
  </si>
  <si>
    <t>Vsetín, Horní Jasenka, Pod Babykou 281, PSČ 75501</t>
  </si>
  <si>
    <t>NADAČNÍ FOND GENERACE 21</t>
  </si>
  <si>
    <t>Nadační fond GH 1899</t>
  </si>
  <si>
    <t>Holešov, Palackého 524/37, PSČ 76901</t>
  </si>
  <si>
    <t>Nadační fond GOLDEN APPLE CINEMA</t>
  </si>
  <si>
    <t>Rajnochovice 109, PSČ 76871</t>
  </si>
  <si>
    <t>Nadační fond Gymnázia Otrokovice</t>
  </si>
  <si>
    <t>Otrokovice, tř. Spojenců 907, PSČ 76502</t>
  </si>
  <si>
    <t>Nadační fond Gymnázia v Rožnově pod Radhoštěm</t>
  </si>
  <si>
    <t>Rožnov pod Radhoštěm, Koryčanské Paseky 1725, PSČ 75661</t>
  </si>
  <si>
    <t>NADAČNÍ FOND Gymnázia Zlín</t>
  </si>
  <si>
    <t>Zlín, Lesní čtvrť čp.1364</t>
  </si>
  <si>
    <t>Nadační fond hospicové péče UH</t>
  </si>
  <si>
    <t>Uherské Hradiště, Mariánské náměstí 78, PSČ 68601</t>
  </si>
  <si>
    <t>Nadační fond INTEGER</t>
  </si>
  <si>
    <t>Zlín, Boněcká 336, PSČ 76001</t>
  </si>
  <si>
    <t>Nadační fond Jana Antonína Bati</t>
  </si>
  <si>
    <t>Uherské Hradiště, Rybárny, Moravní nábřeží 2, PSČ 68601</t>
  </si>
  <si>
    <t>Nadační fond JMK</t>
  </si>
  <si>
    <t>Štítná nad Vláří-Popov, Štítná nad Vláří 206, PSČ 76333</t>
  </si>
  <si>
    <t>Nadační fond "Jonášek"</t>
  </si>
  <si>
    <t>Valašské Meziříčí, Krásno nad Bečvou, Zašovská 750, PSČ 75701</t>
  </si>
  <si>
    <t>Nadační fond Kroměřížská mincovna</t>
  </si>
  <si>
    <t>Kroměříž, Velké náměstí 38/21, PSČ 76701</t>
  </si>
  <si>
    <t>Nadační fond Křídla pro život</t>
  </si>
  <si>
    <t>Vizovice, Štěpská 949, PSČ 76312</t>
  </si>
  <si>
    <t>Nadační fond LOVE Dědině</t>
  </si>
  <si>
    <t>Nadační fond manželů Hradilových</t>
  </si>
  <si>
    <t>Rožnov pod Radhoštěm, Na Končinách 2757, PSČ 75661</t>
  </si>
  <si>
    <t>Nadační fond Martiny a Martina Růžičkových</t>
  </si>
  <si>
    <t>Nadační fond na podporu fotbalové mládeže Zlínského kraje</t>
  </si>
  <si>
    <t>Nadační fond Nemocnice Milosrdných bratří ve Vizovicích</t>
  </si>
  <si>
    <t>Vizovice, Zlínská 451, okres Zlín</t>
  </si>
  <si>
    <t>Nadační fond Obchodní akademie Tomáše Bati Zlín</t>
  </si>
  <si>
    <t>Zlín, nám. T. G. Masaryka 3669, PSČ 76001</t>
  </si>
  <si>
    <t>Nadační fond Opus Trinity</t>
  </si>
  <si>
    <t>Zašová 709, PSČ 75651</t>
  </si>
  <si>
    <t>Ostatní pomocné činnosti související s finančním zprostředkováním</t>
  </si>
  <si>
    <t>Nadační fond PASTELKA Základní školy Vizovice</t>
  </si>
  <si>
    <t>Vizovice, Školní 790, PSČ 76312</t>
  </si>
  <si>
    <t>Nadační fond P.F.S.</t>
  </si>
  <si>
    <t>Staré Město, Zerzavice 2146, PSČ 68601</t>
  </si>
  <si>
    <t>Nadační fond Pramen Luhačovice</t>
  </si>
  <si>
    <t>Nadační fond pro podporu ZUŠ Slovácko</t>
  </si>
  <si>
    <t>Uherské Hradiště, Protzkarova 1220, PSČ 68601</t>
  </si>
  <si>
    <t>Nadační fond pro rozvoj a podporu Slušovic</t>
  </si>
  <si>
    <t>Slušovice, Rovná 654, PSČ 76315</t>
  </si>
  <si>
    <t>Nadační fond pro rozvoj vsetínské porodnice</t>
  </si>
  <si>
    <t>Vsetín, Nemocniční 945, PSČ 755 32</t>
  </si>
  <si>
    <t>Nadační fond při Gymnáziu Kroměříž</t>
  </si>
  <si>
    <t>Kroměříž, Masarykovo náměstí 496/13, PSČ 76701</t>
  </si>
  <si>
    <t>Nadační fond při Mateřské škole Valašské Meziříčí, Seifertova 160, okres Vsetín, příspěvková organizace</t>
  </si>
  <si>
    <t>Valašské Meziříčí, Krásno nad Bečvou, Seifertova 160, PSČ 75701</t>
  </si>
  <si>
    <t>Nadační fond při MŠ Kraiczova ul. 362, Valašské Meziříčí</t>
  </si>
  <si>
    <t>Valašské Meziříčí, Kraiczova 362/11, PSČ 75701</t>
  </si>
  <si>
    <t>Nadační fond při speciální škole pro sluchově postižené</t>
  </si>
  <si>
    <t>Valašské Meziříčí, Vsetínská 454/53, PSČ 75701</t>
  </si>
  <si>
    <t>Nadační fond při Základní škole  Rožnov pod Radhoštěm, Tyršovo nábřeží</t>
  </si>
  <si>
    <t>Rožnov pod Radhoštěm, Tyršovo nábřeží 649, PSČ 75661</t>
  </si>
  <si>
    <t>Nadační fond při Základní škole Komenského II</t>
  </si>
  <si>
    <t>Zlín, Havlíčkovo nábřeží 2567, PSČ 76001</t>
  </si>
  <si>
    <t>Nadační fond při Základní škole v Hošťálkové</t>
  </si>
  <si>
    <t>Hošťálková 380, PSČ 75622</t>
  </si>
  <si>
    <t>Nadační fond při ZŠ Lešná</t>
  </si>
  <si>
    <t>Lešná 133, PSČ 75641</t>
  </si>
  <si>
    <t>Nadační fond při ZŠ Vyhlídka</t>
  </si>
  <si>
    <t>Valašské Meziříčí, Králova 380, PSČ 75701</t>
  </si>
  <si>
    <t>Nadační fond RADOST</t>
  </si>
  <si>
    <t>Nadační fond rodiny Rafajových</t>
  </si>
  <si>
    <t>Hutisko-Solanec, Hutisko 205, PSČ 75662</t>
  </si>
  <si>
    <t>Nadační fond rodiny Rudy</t>
  </si>
  <si>
    <t>Vizovice, Nádražní 1136, PSČ 76312</t>
  </si>
  <si>
    <t>Nadační fond Rozvoj dostihového sportu ve Slušovicích</t>
  </si>
  <si>
    <t>Slušovice, nám. Svobody 25, PSČ 76315</t>
  </si>
  <si>
    <t>Nadační fond rozvoje kulturního a duchovního života mládeže</t>
  </si>
  <si>
    <t>Brumov-Bylnice, Bylnice, Vlárská 283, PSČ 76331</t>
  </si>
  <si>
    <t>Nadační fond Řemeslo pomáhá</t>
  </si>
  <si>
    <t>Staré Město, Huštěnovská 2004, PSČ 68603</t>
  </si>
  <si>
    <t>Vsetín, Turkmenská 1612, PSČ 75501</t>
  </si>
  <si>
    <t>Vsetín, Záviše Kalandry 1095, PSČ 75501</t>
  </si>
  <si>
    <t>Nadační fond Sportovní agentura Slovácko</t>
  </si>
  <si>
    <t>Nadační fond ST Consult</t>
  </si>
  <si>
    <t>Uherské Hradiště, Menclovice 600, PSČ 68601</t>
  </si>
  <si>
    <t>Nadační fond Střední průmyslové školy stavební Valašské Meziříčí</t>
  </si>
  <si>
    <t>Valašské Meziříčí, Máchova 628/10, PSČ 75701</t>
  </si>
  <si>
    <t>Nadační fond Střední průmyslové školy strojnické Vsetín</t>
  </si>
  <si>
    <t>Vsetín, Pod Strání 1776, PSČ 75501</t>
  </si>
  <si>
    <t>Nadační fond Střední průmyslové školy Zlín</t>
  </si>
  <si>
    <t>Zlín, třída Tomáše Bati 4187, PSČ 76001</t>
  </si>
  <si>
    <t>Nadační fond Střední školy gastronomie a obchodu Zlín</t>
  </si>
  <si>
    <t>Zádveřice-Raková, Zádveřice 425, PSČ 76312</t>
  </si>
  <si>
    <t>Nadační fond Střední uměleckoprůmyslové školy Uherské Hradiště</t>
  </si>
  <si>
    <t>Halenkovice 724, PSČ 76363</t>
  </si>
  <si>
    <t>Nadační fond Střední zdravotnické školy ve Vsetíně</t>
  </si>
  <si>
    <t>Vsetín, nám. Svobody 809, PSČ 75501</t>
  </si>
  <si>
    <t>Nadační fond "Student"</t>
  </si>
  <si>
    <t>Valašské Meziříčí, Krásno nad Bečvou, Masarykova 101/18, PSČ 75701</t>
  </si>
  <si>
    <t>Nadační fond SVĚT OKEN</t>
  </si>
  <si>
    <t>Vsetín, Jasenická 1254, PSČ 75501</t>
  </si>
  <si>
    <t>Nadační fond SZeŠ Rožnov pod Radhoštěm</t>
  </si>
  <si>
    <t>Nadační fond Talent házená - šance pro všechny</t>
  </si>
  <si>
    <t>Nadační fond VIAIVA</t>
  </si>
  <si>
    <t>Uherské Hradiště, Poštovní 253, PSČ 68601</t>
  </si>
  <si>
    <t>Nadační fond Vyšší odborné školy pedagogické a sociální a Střední pedagogické školy v Kroměříži</t>
  </si>
  <si>
    <t>Kroměříž, 1. máje 221/10, PSČ 76701</t>
  </si>
  <si>
    <t>Nadační fond YASMINKA</t>
  </si>
  <si>
    <t>Koryčany, Masarykova 497, PSČ 76805</t>
  </si>
  <si>
    <t>Nadační fond Základní školy Dolní Bečva, okres Vsetín</t>
  </si>
  <si>
    <t>Dolní Bečva 578, PSČ 75655</t>
  </si>
  <si>
    <t>Nadační fond Základní školy Karolinka</t>
  </si>
  <si>
    <t>Karolinka, Kobylská 250, PSČ 75605</t>
  </si>
  <si>
    <t>Nadační fond Základní školy Rožnov pod Radhoštěm, Koryčanské Paseky 467</t>
  </si>
  <si>
    <t>Rožnov pod Radhoštěm, Sevastopolská 467, PSČ 75661</t>
  </si>
  <si>
    <t>Nadační fond Základní školy T.G. Masaryka Horní Bečva</t>
  </si>
  <si>
    <t>Horní Bečva 793, PSČ 75657</t>
  </si>
  <si>
    <t>Nadační fond Základní školy Vidče</t>
  </si>
  <si>
    <t>Vidče 181, PSČ 75653</t>
  </si>
  <si>
    <t>Nadační fond Základní školy Videčská ulice Rožnov pod Radhoštěm</t>
  </si>
  <si>
    <t>Rožnov pod Radhoštěm, Videčská 63, PSČ 75661</t>
  </si>
  <si>
    <t>Nadační fond Základní školy Zubří</t>
  </si>
  <si>
    <t>Zubří, PSČ 75654</t>
  </si>
  <si>
    <t>Nadační fond Základní školy 5.května</t>
  </si>
  <si>
    <t>Nadační fond základní umělecké školy Zlín Štefánikova</t>
  </si>
  <si>
    <t>Zlín, Štefánikova 91, PSČ 76001</t>
  </si>
  <si>
    <t>Nadační fond ZET</t>
  </si>
  <si>
    <t>Uherský Ostroh, Třebízského 82, PSČ 68724</t>
  </si>
  <si>
    <t>Nadační fond Zikmundova vila</t>
  </si>
  <si>
    <t>Zlín, Žlebová 2894, PSČ 76001</t>
  </si>
  <si>
    <t>Specializované stavební činnosti</t>
  </si>
  <si>
    <t>Nadační fond Zkruhu</t>
  </si>
  <si>
    <t>Rožnov pod Radhoštěm, Čs. armády 1168, PSČ 75661</t>
  </si>
  <si>
    <t>Nadační fond ZŠ a MŠ Hutisko - Solanec</t>
  </si>
  <si>
    <t>Hutisko-Solanec, Hutisko 605, PSČ 75662</t>
  </si>
  <si>
    <t>Nadační fond ZŠ Horní Lideč</t>
  </si>
  <si>
    <t>Horní Lideč 200, PSČ 75612</t>
  </si>
  <si>
    <t>Nadační fond ZŠ Loučka</t>
  </si>
  <si>
    <t>Loučka 188, PSČ 75644</t>
  </si>
  <si>
    <t>Nadační fond ZŠ Záhumení, Rožnov p. R.</t>
  </si>
  <si>
    <t>Rožnov pod Radhoštěm, Boženy Němcové 1180, PSČ 75661</t>
  </si>
  <si>
    <t>Nadační fond ZŮSTANEME DOMA</t>
  </si>
  <si>
    <t>Nadační fond ZUŠ Alfréda Radoka</t>
  </si>
  <si>
    <t>Nadační fond ZvŠ Horní Lideč</t>
  </si>
  <si>
    <t>Horní Lideč 130, PSČ 75612</t>
  </si>
  <si>
    <t>Nadační fond ŽIVOT DRUHÝM</t>
  </si>
  <si>
    <t>Kroměříž, Bílany 49, PSČ 76701</t>
  </si>
  <si>
    <t>Naděje Kavalíra Charlie</t>
  </si>
  <si>
    <t>Uherské Hradiště, Mařatice, Praporce 1131, PSČ 68605</t>
  </si>
  <si>
    <t>NADĚJE, otrokovická o.p.s.</t>
  </si>
  <si>
    <t>Otrokovice, Wolkerova 1274, PSČ 76502</t>
  </si>
  <si>
    <t>Ostatní ambulantní nebo terénní sociální služby</t>
  </si>
  <si>
    <t>Výroba pekařských, cukrářských a jiných moučných výrobků</t>
  </si>
  <si>
    <t>Naděje psů a koček</t>
  </si>
  <si>
    <t>Najdi svou krásu, z. s.</t>
  </si>
  <si>
    <t>Holešov, Všetuly, Zahradní 67, PSČ 76901</t>
  </si>
  <si>
    <t>Naked Bastet, z.s.</t>
  </si>
  <si>
    <t>Námořnická Unie o.s.</t>
  </si>
  <si>
    <t>Zlín, Štefánikova 2180, PSČ 76001</t>
  </si>
  <si>
    <t>NANY BIKE ZLÍN</t>
  </si>
  <si>
    <t>Zlín, Dukelská 4003, PSČ 76001</t>
  </si>
  <si>
    <t>Národní centrum nábytkového designu, obecně prospěšná společnost</t>
  </si>
  <si>
    <t>Národní házenkářský archiv</t>
  </si>
  <si>
    <t>Národní institut pro integraci osob s omezenou schopností pohybu a orientace České republiky, Krajská organizace Zlínského kraje, o.s.</t>
  </si>
  <si>
    <t>Zlín, Zálešná I 4057, PSČ 76001</t>
  </si>
  <si>
    <t>Národní institut pro integraci osob s omezenou schopností pohybu a orientace České republiky, o.s. (oficiální zkratka - NIPI ČR, o. s.)</t>
  </si>
  <si>
    <t>Národní sekce Mezinárodní organizace lidového umění v České republice, z.s.</t>
  </si>
  <si>
    <t>Národní studentská organizace z.s.</t>
  </si>
  <si>
    <t>Zlín, Slovenská 5511, PSČ 76001</t>
  </si>
  <si>
    <t>Národopisný krúžek Dolněmčan, z.s.</t>
  </si>
  <si>
    <t>Národopisný soubor Závršan, z.s.</t>
  </si>
  <si>
    <t>Návojná 21, PSČ 76332</t>
  </si>
  <si>
    <t>Národopisný spolek Klobučan</t>
  </si>
  <si>
    <t>Valašské Klobouky, Záhumení 517, PSČ 76601</t>
  </si>
  <si>
    <t>NÁRUČ LASKAVOSTI z.s.</t>
  </si>
  <si>
    <t>Zlín, Kostelec, Jetelová 598, PSČ 76314</t>
  </si>
  <si>
    <t>Náš kolektiv, z. s.</t>
  </si>
  <si>
    <t>Kroměříž, Vodní 82/27, PSČ 76701</t>
  </si>
  <si>
    <t>Naše Bartoška, z. s.</t>
  </si>
  <si>
    <t>Zlín, Příluky, Zborovská 4140, PSČ 76001</t>
  </si>
  <si>
    <t>Naše děti, Vaše šance z.s.</t>
  </si>
  <si>
    <t>Valašské Meziříčí, Podlesí č. ev. 104, PSČ 75701</t>
  </si>
  <si>
    <t>Naše Valašsko, z.s.</t>
  </si>
  <si>
    <t>Velké Karlovice 190, PSČ 75606</t>
  </si>
  <si>
    <t>"NATANAEL"</t>
  </si>
  <si>
    <t>Napajedla, Příční 732, PSČ 76361</t>
  </si>
  <si>
    <t>National Reining Horse Association Czech, z.s.</t>
  </si>
  <si>
    <t>Zádveřice-Raková, Zádveřice 8, PSČ 76312</t>
  </si>
  <si>
    <t>Natura Nobis, z.s.</t>
  </si>
  <si>
    <t>Nature</t>
  </si>
  <si>
    <t>Staré Město, Erbenova 1264, PSČ 68603</t>
  </si>
  <si>
    <t>Nava Gókula z.s.</t>
  </si>
  <si>
    <t>Morkovice-Slížany, Morkovice, Skavsko 519, PSČ 76833</t>
  </si>
  <si>
    <t>Návrat</t>
  </si>
  <si>
    <t>Zlín, Polní 4575, PSČ 76005</t>
  </si>
  <si>
    <t>“Návrat ovečky do Bílých Karpat - občanské sdružení“</t>
  </si>
  <si>
    <t>Valašské Klobouky, Brumovská 918, PSČ 76601</t>
  </si>
  <si>
    <t>NAZ5</t>
  </si>
  <si>
    <t>Rožnov pod Radhoštěm, Dubková 1529, PSČ 75661</t>
  </si>
  <si>
    <t>Nebuďme lhostejní z. s.</t>
  </si>
  <si>
    <t>Tečovice 79, PSČ 76302</t>
  </si>
  <si>
    <t>Nedachlebjan, zapsaný spolek</t>
  </si>
  <si>
    <t>Bílovice, Nedachlebice 250</t>
  </si>
  <si>
    <t>Nedoslýchaví Slovácka, z.s.</t>
  </si>
  <si>
    <t>Uherský Ostroh, Mašovy 275, PSČ 68724</t>
  </si>
  <si>
    <t>NEKKY, z.s.</t>
  </si>
  <si>
    <t>Zlín, Valachův žleb 5371, PSČ 76005</t>
  </si>
  <si>
    <t>NĚKOLIKASPŘEŽÍ, z.s.</t>
  </si>
  <si>
    <t>Uherské Hradiště, Mariánské náměstí 125, PSČ 68601</t>
  </si>
  <si>
    <t>NEMO Zlín, pobočný spolek SPMS</t>
  </si>
  <si>
    <t>Nestátní Nezisková Organizace Lotos z.s.</t>
  </si>
  <si>
    <t>Morkovice-Slížany, Morkovice, Skavsko 520, PSČ 76833</t>
  </si>
  <si>
    <t>Neurona, z.s.</t>
  </si>
  <si>
    <t>Lidečko 287, PSČ 75612</t>
  </si>
  <si>
    <t>NEVODROM</t>
  </si>
  <si>
    <t>„Nevšová dětem, o.s.”</t>
  </si>
  <si>
    <t>Slavičín, Nevšová 46, PSČ 76321</t>
  </si>
  <si>
    <t>Next RC Rally, z.s.</t>
  </si>
  <si>
    <t>Zlín, Bratří Jaroňků 4063, PSČ 76001</t>
  </si>
  <si>
    <t>NEZÁVISLÉ SDRUŽENÍ AKCIONÁŘŮ akciové společnosti Pozemního stavitelství Zlín</t>
  </si>
  <si>
    <t>Zlín, Mostní 948, PSČ 760 01</t>
  </si>
  <si>
    <t>Neziskovka, z.s.</t>
  </si>
  <si>
    <t>N.F.R.K., rodinný nadační fond</t>
  </si>
  <si>
    <t>Valašské Meziříčí, Krásno nad Bečvou, M. Alše 780, PSČ 75701</t>
  </si>
  <si>
    <t>NIEMANDI z. s.</t>
  </si>
  <si>
    <t>Provodov 240, PSČ 76345</t>
  </si>
  <si>
    <t>NIMBUS z.s.</t>
  </si>
  <si>
    <t>Vlčnov 1099, PSČ 68761</t>
  </si>
  <si>
    <t>NIVNIČKA, z. s.</t>
  </si>
  <si>
    <t>"Nivy IV Zlín"</t>
  </si>
  <si>
    <t>Zlín, Kvítková 1569/56, PSČ 76001</t>
  </si>
  <si>
    <t>NK Slavičín</t>
  </si>
  <si>
    <t>Slavičín, K Hájenkám 314, PSČ 76321</t>
  </si>
  <si>
    <t>Nohejbal klub Vsetín, z.s.</t>
  </si>
  <si>
    <t>Nohejbalový klub Bajda Kroměříž, z.s.</t>
  </si>
  <si>
    <t>Kroměříž, Na Sladovnách 1496/18, PSČ 76701</t>
  </si>
  <si>
    <t>Nordika Ski Zlín, z.s.</t>
  </si>
  <si>
    <t>„NOS OMNIS”</t>
  </si>
  <si>
    <t>Horní Lhota 122, PSČ 76323</t>
  </si>
  <si>
    <t>NOTABENE Bojkovice z.s.</t>
  </si>
  <si>
    <t>„Nová Míle”</t>
  </si>
  <si>
    <t>Halenkov 97</t>
  </si>
  <si>
    <t>NOVA poradenské centrum z.s.</t>
  </si>
  <si>
    <t>Rudice 134, PSČ 68732</t>
  </si>
  <si>
    <t>Nová Snaha z. s.</t>
  </si>
  <si>
    <t>Jarcová 200, PSČ 75701</t>
  </si>
  <si>
    <t>Nové proudy</t>
  </si>
  <si>
    <t>Nezdenice 213, PSČ 68732</t>
  </si>
  <si>
    <t>Nové Slovácko o.p.s.</t>
  </si>
  <si>
    <t>Nový cestovatel, z.s.</t>
  </si>
  <si>
    <t>Kvasice, Čtvrtky 702, PSČ 76821</t>
  </si>
  <si>
    <t>NRC klub v AČR</t>
  </si>
  <si>
    <t>Vlčková</t>
  </si>
  <si>
    <t>Vlčková 82, PSČ 76319</t>
  </si>
  <si>
    <t>Nuntius Regis, spolek šermu, tance a divadla</t>
  </si>
  <si>
    <t>Žlutava 194, PSČ 76361</t>
  </si>
  <si>
    <t>"o. s. Edukta"</t>
  </si>
  <si>
    <t>Kelč 32</t>
  </si>
  <si>
    <t>o. s. Jídlopis</t>
  </si>
  <si>
    <t>Nový Hrozenkov 725, PSČ 75604</t>
  </si>
  <si>
    <t>O. s. Občané Napajedel</t>
  </si>
  <si>
    <t>Napajedla, 1. máje 1053, PSČ 76361</t>
  </si>
  <si>
    <t>O Valašského pilařa, o.s.</t>
  </si>
  <si>
    <t>Karolinka, Vsetínská 597, PSČ 75605</t>
  </si>
  <si>
    <t>OB Holešov z. s.</t>
  </si>
  <si>
    <t>Holešov, Holajka 1018/4, PSČ 76901</t>
  </si>
  <si>
    <t>OB Vizovice z.s.</t>
  </si>
  <si>
    <t>Občané ulice Komenského v Uherském Brodě za slušné bydlení</t>
  </si>
  <si>
    <t>"Občané za udržení životního standardu v obci Štípa o.s."</t>
  </si>
  <si>
    <t>Zlín, Stará cesta 19, Erik Zajíček</t>
  </si>
  <si>
    <t>Občanská beseda Kyselovice</t>
  </si>
  <si>
    <t>Kyselovice 211, PSČ 76811</t>
  </si>
  <si>
    <t>Občanská poradna Kroměříž, z.s.</t>
  </si>
  <si>
    <t>Občanské energetické společenství Hříběcí hory, z.s.</t>
  </si>
  <si>
    <t>Reklama a průzkum trhu</t>
  </si>
  <si>
    <t>Občanské sdružení - HELP FOR REGI</t>
  </si>
  <si>
    <t>Zlín, Na Honech I 4898, PSČ 76005</t>
  </si>
  <si>
    <t>Občanské sdružení - SDRUŽENÍ KAMARÁDI</t>
  </si>
  <si>
    <t>Zlín - Zlínské Paseky 4387, PSČ 760 01</t>
  </si>
  <si>
    <t>„Občanské sdružení ABECEDA”</t>
  </si>
  <si>
    <t>Občanské sdružení Adeta</t>
  </si>
  <si>
    <t>Občanské sdružení AKCENT</t>
  </si>
  <si>
    <t>Zlín, Malenovice, třída Svobody 745, PSČ 76302</t>
  </si>
  <si>
    <t>Občanské sdružení Alfa Vsetín</t>
  </si>
  <si>
    <t>Občanské sdružení Alternativa 003</t>
  </si>
  <si>
    <t>Kroměříž, Kotojedská 461/15, PSČ 76701</t>
  </si>
  <si>
    <t>Občanské sdružení BALVAJ</t>
  </si>
  <si>
    <t>Vsetín, Smetanova 1336</t>
  </si>
  <si>
    <t>OBČANSKÉ SDRUŽENÍ BLESKOSVOD</t>
  </si>
  <si>
    <t>Zlín, Lorencova 3345, PSČ 76001</t>
  </si>
  <si>
    <t>Občanské sdružení Brutwánek</t>
  </si>
  <si>
    <t>Kroměříž, Vrchlického 2859/15, PSČ 76701</t>
  </si>
  <si>
    <t>Občanské sdružení Chřibská brána</t>
  </si>
  <si>
    <t>Staré Město, Nad Hřištěm 664, PSČ 68603</t>
  </si>
  <si>
    <t>Občanské sdružení ČAGAN</t>
  </si>
  <si>
    <t>Mistřice 427, PSČ 68712</t>
  </si>
  <si>
    <t>Občanské sdružení Černobílý život z.s.</t>
  </si>
  <si>
    <t>Vsetín, Stará cesta 1781, PSČ 75501</t>
  </si>
  <si>
    <t>Občanské sdružení Dědictví a budoucnost, z.s.</t>
  </si>
  <si>
    <t>Zlín, Lazy III 3671, PSČ 76001</t>
  </si>
  <si>
    <t>Občanské sdružení dětí a mládeže VOLNÝ ČAS Kroměříž</t>
  </si>
  <si>
    <t>OBČANSKÉ SDRUŽENÍ DR.STIVARA</t>
  </si>
  <si>
    <t>Korytná 297, PSČ 68752</t>
  </si>
  <si>
    <t>Občanské sdružení Dům na skále</t>
  </si>
  <si>
    <t>Velká Lhota 30, PSČ 757 01</t>
  </si>
  <si>
    <t>Občanské sdružení EMPIDUM</t>
  </si>
  <si>
    <t>Osíčko 159, PSČ 76861</t>
  </si>
  <si>
    <t>Občanské sdružení E-WORD</t>
  </si>
  <si>
    <t>Fryšták, Horní Ves, Vítovská 276, PSČ 76316</t>
  </si>
  <si>
    <t>Občanské sdružení Fiftýn</t>
  </si>
  <si>
    <t>Rožnov pod Radhoštěm, Dr. Milady Horákové 1012, PSČ 75661</t>
  </si>
  <si>
    <t>Občanské sdružení Freediving Team Zlín</t>
  </si>
  <si>
    <t>Zlín, Štípa, Dolečky I 524, PSČ 76314</t>
  </si>
  <si>
    <t>Občanské sdružení Game-net</t>
  </si>
  <si>
    <t>Bílovice 506, PSČ 68712</t>
  </si>
  <si>
    <t>Občanské sdružení GARDE</t>
  </si>
  <si>
    <t>Zlín, Kamenná 3853, PSČ 76001</t>
  </si>
  <si>
    <t>"Občanské sdružení Gibon"</t>
  </si>
  <si>
    <t>Zlín, Zálešná III 2616, PSČ 76001</t>
  </si>
  <si>
    <t>"Občanské sdružení Halenkovická dolina"</t>
  </si>
  <si>
    <t>Občanské sdružení Hokej Chropyně</t>
  </si>
  <si>
    <t>Chropyně, Moravská 714, PSČ 76811</t>
  </si>
  <si>
    <t>"občanské sdružení HUBERT - HOSTÝN"</t>
  </si>
  <si>
    <t>Chvalčov, U Revíru 333, PSČ 76872</t>
  </si>
  <si>
    <t>Občanské sdružení IHS</t>
  </si>
  <si>
    <t>Hutisko - Solanec</t>
  </si>
  <si>
    <t>Občanské sdružení Interevium - Zlín</t>
  </si>
  <si>
    <t>Zlín, Pod Stráněmi 511, PSČ 76001</t>
  </si>
  <si>
    <t>OBČANSKÉ SDRUŽENÍ ITF TAEKWON-DO ZLÍN</t>
  </si>
  <si>
    <t>Fryšták, Jaroslava Kvapila 120, PSČ 76316</t>
  </si>
  <si>
    <t>Občanské sdružení JOUBÍNEK</t>
  </si>
  <si>
    <t>Slavičín, Javorová I 395, PSČ 76321</t>
  </si>
  <si>
    <t>"Občanské sdružení Kelnický folklorní kroužek Fěrtůšek"</t>
  </si>
  <si>
    <t>Velký Ořechov, Obec Kelníky čp.1</t>
  </si>
  <si>
    <t>"Občanské sdružení KETC"</t>
  </si>
  <si>
    <t>Korytná 196, PSČ 68752</t>
  </si>
  <si>
    <t>Občanské sdružení Klidná Březnická</t>
  </si>
  <si>
    <t>Zlín, U Zimního stadionu 4080, PSČ 76001</t>
  </si>
  <si>
    <t>Občanské sdružení Klub důchodců ve Fryštáku, z.s.</t>
  </si>
  <si>
    <t>Fryšták, Komenského 381, PSČ 76316</t>
  </si>
  <si>
    <t>Občanské sdružení Klub zlínských dam Zlín</t>
  </si>
  <si>
    <t>Občanské sdružení Kostelec -Štípa</t>
  </si>
  <si>
    <t>Zlín, Kostelec, Obilná 620, PSČ 76314</t>
  </si>
  <si>
    <t>Občanské sdružení KRYLIAS</t>
  </si>
  <si>
    <t>Vrbka čp. 41, p. Kvasice</t>
  </si>
  <si>
    <t>Občanské sdružení "Kunovjan", z.s.</t>
  </si>
  <si>
    <t>Kunovice, Záchalupčí 952, PSČ 68604</t>
  </si>
  <si>
    <t>Občanské sdružení KVaK (Knihovny Valašského království)</t>
  </si>
  <si>
    <t>Vsetín, Svárov 714, PSČ 75501</t>
  </si>
  <si>
    <t>Občanské sdružení Lechotice.NET</t>
  </si>
  <si>
    <t>Lechotice 52, PSČ 76852</t>
  </si>
  <si>
    <t>Občanské sdružení LESŇÁČEK</t>
  </si>
  <si>
    <t>Zlín, Mladcová, Návesní 1, PSČ 76001</t>
  </si>
  <si>
    <t>"Občanské sdružení Lešetín"</t>
  </si>
  <si>
    <t>Zlín, Lešetín V 698, PSČ 76001</t>
  </si>
  <si>
    <t>Občanské sdružení Lípa 2007</t>
  </si>
  <si>
    <t>Kunovice, Záhumní 986, PSČ 68604</t>
  </si>
  <si>
    <t>Občanské sdružení Literární Luhačovice</t>
  </si>
  <si>
    <t>Občanské sdružení majitelů bytů, Nerudova ul. Kroměříž</t>
  </si>
  <si>
    <t>Kroměříž, Nerudova ul.</t>
  </si>
  <si>
    <t>Občanské sdružení Malenovice, z.s.</t>
  </si>
  <si>
    <t>Zlín, Malenovice, Masarykova 203, PSČ 76302</t>
  </si>
  <si>
    <t>Občanské sdružení M-Net</t>
  </si>
  <si>
    <t>Dolní Němčí, Hlucká 229, PSČ 68762</t>
  </si>
  <si>
    <t>Občanské sdružení modelářský kroužek Blaník Kunovice</t>
  </si>
  <si>
    <t>občanské sdružení MOVE</t>
  </si>
  <si>
    <t>Občanské sdružení "Naproti zóny"</t>
  </si>
  <si>
    <t>Martinice 187, PSČ 76901</t>
  </si>
  <si>
    <t>Občanské sdružení nestraníků Žeranovice</t>
  </si>
  <si>
    <t>Holešov, Žeranovice265</t>
  </si>
  <si>
    <t>Občanské sdružení NIKI</t>
  </si>
  <si>
    <t>Zlín, Louky, Šternberská 300, PSČ 76302</t>
  </si>
  <si>
    <t>Občanské sdružení NIVY</t>
  </si>
  <si>
    <t>Zlín, Nivy II 5504, PSČ 76001</t>
  </si>
  <si>
    <t>Občanské sdružení obce Nedakonice</t>
  </si>
  <si>
    <t>Nedakonice 432, PSČ 68738</t>
  </si>
  <si>
    <t>Občanské sdružení Ochrana přírody Střílky</t>
  </si>
  <si>
    <t>Střílky, Zámecká 191, PSČ 76804</t>
  </si>
  <si>
    <t>Občanské sdružení "Ochránci Hostýnských vrchů"</t>
  </si>
  <si>
    <t>Chvalčov, U Revíru 315, PSČ 76872</t>
  </si>
  <si>
    <t>Občanské sdružení Ochránců přírody - Kunovice, z.s.</t>
  </si>
  <si>
    <t>Občanské sdružení ochránců přírody Valašské Meziříčí</t>
  </si>
  <si>
    <t>Valašské Meziříčí, Krásno nad Bečvou, Zašovská 784, PSČ 75701</t>
  </si>
  <si>
    <t>Občanské sdružení PAINTBALL Žabka</t>
  </si>
  <si>
    <t>Strání, Drahy IV 1034, PSČ 68765</t>
  </si>
  <si>
    <t>Občanské sdružení podnikatelů Velkokarlovicka</t>
  </si>
  <si>
    <t>Prštné-Kútiky 637</t>
  </si>
  <si>
    <t>občanské sdružení POMINET</t>
  </si>
  <si>
    <t>Strání, Květná, J. A. Komenského 828, PSČ 68766</t>
  </si>
  <si>
    <t>Občanské sdružení Povidlo</t>
  </si>
  <si>
    <t>Zlín, Benešovo nábřeží 3944, PSČ 76001</t>
  </si>
  <si>
    <t>Občanské sdružení Pro Boršice, z.s.</t>
  </si>
  <si>
    <t>Občanské sdružení pro integraci cizinců "NADĚŽDA"</t>
  </si>
  <si>
    <t>Zlín, Lesní čtvrť III 5417, PSČ 76001</t>
  </si>
  <si>
    <t>Občanské sdružení pro klidné prostředí ve Vlčkové</t>
  </si>
  <si>
    <t>Vlčková 156, PSČ 76319</t>
  </si>
  <si>
    <t>Občanské sdružení Pro kuželky Vsetín</t>
  </si>
  <si>
    <t>Vsetín, Turkmenská 835, PSČ 75501</t>
  </si>
  <si>
    <t>Občanské sdružení pro ochranu přírodního a kulturního dědictví LOCUS</t>
  </si>
  <si>
    <t>Občanské sdružení PRO PATRIA MORAVIA</t>
  </si>
  <si>
    <t>Kroměříž, Bílanská 1611/22, PSČ 76701</t>
  </si>
  <si>
    <t>Občanské sdružení Pro Police</t>
  </si>
  <si>
    <t>Police 81, PSČ 75644</t>
  </si>
  <si>
    <t>Občanské sdružení pro rozvoj Kroměřížska z.s.</t>
  </si>
  <si>
    <t>"Občanské sdružení pro rozvoj města Valašské Meziříčí - Milenium"</t>
  </si>
  <si>
    <t>Valašské Meziříčí, Krásno nad Bečvou, Nádražní 546/6, PSČ 75701</t>
  </si>
  <si>
    <t>Občanské sdružení pro rozvoj Slovácka z.s.</t>
  </si>
  <si>
    <t>"Občanské sdružení pro uctění památky Josefa Sousedíka"</t>
  </si>
  <si>
    <t>Vsetín, Horní náměstí 29, PSČ 75501</t>
  </si>
  <si>
    <t>Občanské sdružení pro záchranu barokního hřbitova ve Střílkách, z.s.</t>
  </si>
  <si>
    <t>Občanské sdružení přátel sportu Bořenovice</t>
  </si>
  <si>
    <t>Bořenovice</t>
  </si>
  <si>
    <t>Bořenovice 5, PSČ 76901</t>
  </si>
  <si>
    <t>Občanské sdružení přátel školy sv. Dominika Savia</t>
  </si>
  <si>
    <t>Občanské sdružení přátel zábavy Racková</t>
  </si>
  <si>
    <t>Racková 80, PSČ 76001</t>
  </si>
  <si>
    <t>Občanské sdružení „Přátelé ulice Na Včelíně“</t>
  </si>
  <si>
    <t>Zlín, Prostřední 2742, PSČ 76001</t>
  </si>
  <si>
    <t>Občanské sdružení při Arcibiskupském gymnáziu v Kroměříži</t>
  </si>
  <si>
    <t>Občanské sdružení při dětském domově ve Valašském Meziříčí</t>
  </si>
  <si>
    <t>Valašské Meziříčí, Žerotínova 211 /Dětský domov/</t>
  </si>
  <si>
    <t>Občanské sdružení při Krizovém centru ve Valašském Meziříčí, Králova 370</t>
  </si>
  <si>
    <t>Valašské Meziříčí, Králova 370/37, PSČ 75701</t>
  </si>
  <si>
    <t>,,Občanské sdružení REAL KREDIT,,</t>
  </si>
  <si>
    <t>Uherské Hradiště, Velehradská třída 1206, PSČ 68601</t>
  </si>
  <si>
    <t>Občanské sdružení REZEDA</t>
  </si>
  <si>
    <t>Uherské Hradiště, Mařatice, Pod Rochusem 1387, PSČ 68605</t>
  </si>
  <si>
    <t>Občanské sdružení rodičů Bařice</t>
  </si>
  <si>
    <t>Bařice-Velké Těšany, Bařice 16, PSČ 76701</t>
  </si>
  <si>
    <t>"Občanské sdružení rodičů při základní a mateřské škole v Litenčicích"</t>
  </si>
  <si>
    <t>Litenčice 165, PSČ 76813</t>
  </si>
  <si>
    <t>"Občanské sdružení rodičů SLUNÍČKO"</t>
  </si>
  <si>
    <t>p. Březůvky, Provodov 161</t>
  </si>
  <si>
    <t>Občanské sdružení Romani godži</t>
  </si>
  <si>
    <t>Vsetín, Jiráskova 409, PSČ 75501</t>
  </si>
  <si>
    <t>Občanské sdružení Rovné šance</t>
  </si>
  <si>
    <t>Valašské Meziříčí, Krásno nad Bečvou, Sklářská 604/2, PSČ 75701</t>
  </si>
  <si>
    <t>Občanské sdružení Rybářský svaz Moravských Kopanic</t>
  </si>
  <si>
    <t>Starý Hrozenkov 245, PSČ 68774</t>
  </si>
  <si>
    <t>Občanské sdružení ředitelů - velitelů městských policií Olomouckého a Zlínského kraje</t>
  </si>
  <si>
    <t>Kroměříž, Velké náměstí 33, Městská policie Kroměříž</t>
  </si>
  <si>
    <t>Občanské sdružení SALAMANDR</t>
  </si>
  <si>
    <t>Košíky 122, PSČ 68704</t>
  </si>
  <si>
    <t>Občanské sdružení Slunná Luhačovice</t>
  </si>
  <si>
    <t>Luhačovice, Hrazanská 1036, PSČ 76326</t>
  </si>
  <si>
    <t>Občanské sdružení Soukolí</t>
  </si>
  <si>
    <t>pošta Bystřička, Oznice 44</t>
  </si>
  <si>
    <t>Občanské sdružení SPHEX Uherské Hradiště</t>
  </si>
  <si>
    <t>Občanské sdružení Sportoviště co nejblíže</t>
  </si>
  <si>
    <t>Zlín, Louky, Chlumská 396, PSČ 76302</t>
  </si>
  <si>
    <t>Občanské sdružení "Správný KROK"</t>
  </si>
  <si>
    <t>Občanské sdružení Staré Kvítkovice</t>
  </si>
  <si>
    <t>Otrokovice, Kvítkovice, Bartošova 251, PSČ 76502</t>
  </si>
  <si>
    <t>"Občanské sdružení Střevíček"</t>
  </si>
  <si>
    <t>Kroměříž, Vážany, Požárníků 302/1B, PSČ 76701</t>
  </si>
  <si>
    <t>Občanské sdružení Štefánikova u Masarykových škol</t>
  </si>
  <si>
    <t>Zlín, Štefánikova 2463/5, PSČ 76001</t>
  </si>
  <si>
    <t>Občanské sdružení Ta východní část Želechovic</t>
  </si>
  <si>
    <t>Želechovice nad Dřevnicí, Osvobození 303, PSČ 76311</t>
  </si>
  <si>
    <t>Občanské sdružení taxikářů města Valašské Meziříčí</t>
  </si>
  <si>
    <t>Krhová, U Bytovek 428, PSČ 75663</t>
  </si>
  <si>
    <t>Občanské sdružení Terezka z.s.</t>
  </si>
  <si>
    <t>Pravčice 27, PSČ 76824</t>
  </si>
  <si>
    <t>Občanské sdružení UnArt Lukov</t>
  </si>
  <si>
    <t>Lukov, K Boří 330, PSČ 76317</t>
  </si>
  <si>
    <t>Občanské sdružení Valaši</t>
  </si>
  <si>
    <t>Valašské Meziříčí, Krásno nad Bečvou, Hřbitovní 368/17, PSČ 75701</t>
  </si>
  <si>
    <t>OBČANSKÉ SDRUŽENÍ VALAŠSKÝ NÁZOR</t>
  </si>
  <si>
    <t>Hvozdná, Záhumení 261, PSČ 76310</t>
  </si>
  <si>
    <t>Občanské sdružení Vážaňák</t>
  </si>
  <si>
    <t>Kroměříž, Vážany, Osvoboditelů 225/42, PSČ 76701</t>
  </si>
  <si>
    <t>Občanské sdružení V-club</t>
  </si>
  <si>
    <t>Vsetín, Smetanova 1533, PSČ 75501</t>
  </si>
  <si>
    <t>Občanské sdružení vlastníků pozemků v t.zv. mezicestí k.ú. Malenovice-obec Zlín</t>
  </si>
  <si>
    <t>Zlín-Malenovice, Havlíčkova 335, Ing. Richard Jecho</t>
  </si>
  <si>
    <t>Občanské sdružení VLEHRADSKÁ SVĚTNICA</t>
  </si>
  <si>
    <t>Občanské sdružení Wifipočenice</t>
  </si>
  <si>
    <t>Počenice-Tetětice, Počenice 71, PSČ 76833</t>
  </si>
  <si>
    <t>OBČANSKÉ SDRUŽENÍ ZA DŮSTOJNÝ ŽIVOT</t>
  </si>
  <si>
    <t>Občanské sdružení ZewwwlNet</t>
  </si>
  <si>
    <t>Martinice 185, PSČ 76901</t>
  </si>
  <si>
    <t>Občanské sdružení Zobáček - sdružení přátel lidové písničky Zlín</t>
  </si>
  <si>
    <t>Občanské sdružení ŽEJDLÍK</t>
  </si>
  <si>
    <t>Otrokovice, Nádražní 1416, PSČ 76502</t>
  </si>
  <si>
    <t>Občanské sdružení Želechovice</t>
  </si>
  <si>
    <t>Želechovice nad Dřevnicí, 4. května 223, PSČ 76311</t>
  </si>
  <si>
    <t>Občanské sdružení "Život je náhoda"</t>
  </si>
  <si>
    <t>Zlín, Zálešná VIII 3170, PSČ 76001</t>
  </si>
  <si>
    <t>Občanské sdružení ŽOLÍK</t>
  </si>
  <si>
    <t>Uherské Hradiště, Zelný trh 1245, PSČ 68601</t>
  </si>
  <si>
    <t>"občanské sdružení"MSUR Liptál</t>
  </si>
  <si>
    <t>Liptál 134, PSČ 75631</t>
  </si>
  <si>
    <t>Občanský spolek LOM</t>
  </si>
  <si>
    <t>Medlovice 182, PSČ 68741</t>
  </si>
  <si>
    <t>Obecně prospěšná společnost Gymnázia Uherské Hradiště</t>
  </si>
  <si>
    <t>Uherské Hradiště, Velehradská třída 218, PSČ 68601</t>
  </si>
  <si>
    <t>Obecně prospěšná společnost Obchodní akademie a Vyšší odborné školy Uherské Hradiště</t>
  </si>
  <si>
    <t>Uherské Hradiště, Nádražní 22, PSČ 68601</t>
  </si>
  <si>
    <t>Obecně prospěšná společnost pro podporu vzdělání a praktické výuky na SOUZ Uh. Brod</t>
  </si>
  <si>
    <t>Uherský Brod, Svat. Čecha 1110, PSČ 68801</t>
  </si>
  <si>
    <t>Obecní klub Bořenovice - Nováček, z. s.</t>
  </si>
  <si>
    <t>Bořenovice 33, PSČ 76901</t>
  </si>
  <si>
    <t>Obecní klub Košíky, z.s.</t>
  </si>
  <si>
    <t>Obecní výbor Hrachovec z. s.</t>
  </si>
  <si>
    <t>Valašské Meziříčí, Hrachovec 260, PSČ 75701</t>
  </si>
  <si>
    <t>OBKLADAČI Group, z.s.</t>
  </si>
  <si>
    <t>Vyškovec 81, PSČ 68774</t>
  </si>
  <si>
    <t>Oblastní spolek Českého červeného kříže Kroměříž</t>
  </si>
  <si>
    <t>Kroměříž, Koperníkova 2646/1, PSČ 76701</t>
  </si>
  <si>
    <t>Oblastní spolek Českého červeného kříže Uherské Hradiště</t>
  </si>
  <si>
    <t>Uherské Hradiště, Palackého 293</t>
  </si>
  <si>
    <t>Oblastní spolek Českého červeného kříže Vsetín</t>
  </si>
  <si>
    <t>Vsetín, 4. května 287, PSČ 75501</t>
  </si>
  <si>
    <t>Oblastní spolek Českého červeného kříže Zlín</t>
  </si>
  <si>
    <t>Zlín, Potoky 3314, PSČ 76001</t>
  </si>
  <si>
    <t>Ochotnický soubor Lípa, z.s.</t>
  </si>
  <si>
    <t>Ochotnický spolek Kašava</t>
  </si>
  <si>
    <t>Kašava 24, PSČ 76319</t>
  </si>
  <si>
    <t>OCHOTNICKÝ SPOLEK KORYČANY</t>
  </si>
  <si>
    <t>Koryčany, Masarykova 633, PSČ 76805</t>
  </si>
  <si>
    <t>Ochrana práva, z. s.</t>
  </si>
  <si>
    <t>Kroměříž, Tylova 215/24, PSČ 76701</t>
  </si>
  <si>
    <t>Ochránci přírody VM z.s.</t>
  </si>
  <si>
    <t>Krhová, Ke Studánce 265, PSČ 75663</t>
  </si>
  <si>
    <t>Ochranný svaz hostinských a hoteliérů - OSHH</t>
  </si>
  <si>
    <t>Uherské Hradiště, Palackého náměstí 349, PSČ 68601</t>
  </si>
  <si>
    <t>OCR Zlín z. s.</t>
  </si>
  <si>
    <t>Zlín, Budovatelská 4797, PSČ 76005</t>
  </si>
  <si>
    <t>OCTOPUS, z.s.</t>
  </si>
  <si>
    <t>Otrokovice, Školní 1004, PSČ 76502</t>
  </si>
  <si>
    <t>Oddíl kulturistiky a fitness Vsetín, z.s.</t>
  </si>
  <si>
    <t>Vsetín, Mládí 1571, PSČ 75501</t>
  </si>
  <si>
    <t>Oddíl Radiového orientačního běhu Kunovice</t>
  </si>
  <si>
    <t>Kunovice 54, PSČ 75644</t>
  </si>
  <si>
    <t>odtadyma, o.p.s.</t>
  </si>
  <si>
    <t>Seninka 2, PSČ 75611</t>
  </si>
  <si>
    <t>oDušu, z.s.</t>
  </si>
  <si>
    <t>Huslenky 252, PSČ 75602</t>
  </si>
  <si>
    <t>OFF ROAD CLUB UHERSKÉ HRADIŠTĚ</t>
  </si>
  <si>
    <t>Uherské Hradiště, Mařatice, Vinohradská 430, PSČ 68605</t>
  </si>
  <si>
    <t>OFF ROAD TEAM Valašské Meziříčí</t>
  </si>
  <si>
    <t>Valašské Meziříčí, Juřinka 127, PSČ 75701</t>
  </si>
  <si>
    <t>Off Road Team Zlín</t>
  </si>
  <si>
    <t>Zlín, Louky, třída Tomáše Bati 385, PSČ 76302</t>
  </si>
  <si>
    <t>Off road4x4 z.s.</t>
  </si>
  <si>
    <t>Vsetín, Ohrada 1878, PSČ 75501</t>
  </si>
  <si>
    <t>Offroad Moravia o.s.</t>
  </si>
  <si>
    <t>Fryšták, Břetislava Bakaly 410, PSČ 76316</t>
  </si>
  <si>
    <t>OGAŘI TRUCK TRIAL TEAM Velké Karlovice,z.s.</t>
  </si>
  <si>
    <t>Velké Karlovice 654, PSČ 75606</t>
  </si>
  <si>
    <t>Ohnica, z.s.</t>
  </si>
  <si>
    <t>Přílepy 293, PSČ 76901</t>
  </si>
  <si>
    <t>Ohýřov, z.s.</t>
  </si>
  <si>
    <t>O-KOLO, z.s.</t>
  </si>
  <si>
    <t>Uherské Hradiště, Štěpnická 1160, PSČ 68606</t>
  </si>
  <si>
    <t>Okolohor z. s.</t>
  </si>
  <si>
    <t>Hošťálková 238, PSČ 75622</t>
  </si>
  <si>
    <t>Okrašlovací a zábavní spolek, z. s.</t>
  </si>
  <si>
    <t>Bystřice pod Hostýnem, Tř. Legií 662, PSČ 76861</t>
  </si>
  <si>
    <t>Okrašlovací spolek v Nítkovicích</t>
  </si>
  <si>
    <t>Nítkovice 3, PSČ 76813</t>
  </si>
  <si>
    <t>Okrašlovací spolek Vizovice</t>
  </si>
  <si>
    <t>Vizovice, Štěpská 562, PSČ 76312</t>
  </si>
  <si>
    <t>Okresní fotbalový svaz Kroměříž</t>
  </si>
  <si>
    <t>Okresní fotbalový svaz Uherské Hradiště</t>
  </si>
  <si>
    <t>Uherské Hradiště, Růžová 436, PSČ 68601</t>
  </si>
  <si>
    <t>Okresní fotbalový svaz Vsetín</t>
  </si>
  <si>
    <t>Vsetín, Svárov 1082, PSČ 75501</t>
  </si>
  <si>
    <t>Okresní fotbalový svaz Zlín</t>
  </si>
  <si>
    <t>Okresní organizace Českého svazu žen</t>
  </si>
  <si>
    <t>Nedefinováno</t>
  </si>
  <si>
    <t>Okresní rada Asociace školních sportovních klubů České republiky Kroměříž, pobočný spolek</t>
  </si>
  <si>
    <t>Okresní rada Asociace školních sportovních klubů České republiky Uherské Hradiště, pobočný spolek</t>
  </si>
  <si>
    <t>Uherský Brod, Za Humny 1420, PSČ 68801</t>
  </si>
  <si>
    <t>Okresní rada Asociace školních sportovních klubů České republiky Vsetín, pobočný spolek</t>
  </si>
  <si>
    <t>Valašské Meziříčí, Zdeňka Fibicha 287, PSČ 75701</t>
  </si>
  <si>
    <t>Okresní rada Asociace školních sportovních klubů České republiky Zlín, pobočný spolek</t>
  </si>
  <si>
    <t>Okresní sdružení ČUS Uherské Hradiště, z.s.</t>
  </si>
  <si>
    <t>OKRESNÍ ŠTÁB SÁLOVÉHO FOTBALU - ZLÍN</t>
  </si>
  <si>
    <t>Otrokovice, K. Čapka 1198, PSČ 76502</t>
  </si>
  <si>
    <t>Old Stars Hradišťan, z.s.</t>
  </si>
  <si>
    <t>Kunovice, Farská 1135, PSČ 68604</t>
  </si>
  <si>
    <t>Oldies Vsetín, z.s.</t>
  </si>
  <si>
    <t>Jablůnka 135, PSČ 75623</t>
  </si>
  <si>
    <t>OLD-STAR ROZMARÝN z.s.</t>
  </si>
  <si>
    <t>OLDŠAVA z. s.</t>
  </si>
  <si>
    <t>OLŠAVANKA, dechová hudba, z.s.</t>
  </si>
  <si>
    <t>Olšavěnka l Uherský Brod</t>
  </si>
  <si>
    <t>Olympia, z.s.</t>
  </si>
  <si>
    <t>Holešov, U Letiště 1150/3, PSČ 76901</t>
  </si>
  <si>
    <t>OMAKA, z. s.</t>
  </si>
  <si>
    <t>Prostřední Bečva 71, PSČ 75656</t>
  </si>
  <si>
    <t>Omega-rescue záchranáři z. s.</t>
  </si>
  <si>
    <t>Zborovice, Sokolská 252, PSČ 76832</t>
  </si>
  <si>
    <t>On One Ship, z.s.</t>
  </si>
  <si>
    <t>Mistřice 119, PSČ 68712</t>
  </si>
  <si>
    <t>Ondra na nohy a do života z.s.</t>
  </si>
  <si>
    <t>Zlín, Prštné, B. Němcové 338, PSČ 76001</t>
  </si>
  <si>
    <t>Ondřena, z.s.</t>
  </si>
  <si>
    <t>Kroměříž, Karolíny Světlé 3377/12, PSČ 76701</t>
  </si>
  <si>
    <t>ONENESS o.p.s.</t>
  </si>
  <si>
    <t>Rusava č. ev. 296, PSČ 76841</t>
  </si>
  <si>
    <t>ONKO Zlín spolek</t>
  </si>
  <si>
    <t>Zlín, Dlouhá 164, PSČ 76001</t>
  </si>
  <si>
    <t>Operárium, z.s.</t>
  </si>
  <si>
    <t>Vizovice, Pardubská 199, PSČ 76312</t>
  </si>
  <si>
    <t>Optimum</t>
  </si>
  <si>
    <t>Orbis Musica o. s.</t>
  </si>
  <si>
    <t>Březnice 292, PSČ 76001</t>
  </si>
  <si>
    <t>Orbiscool, z.s.</t>
  </si>
  <si>
    <t>Zlín, Prostřední 6529, PSČ 76001</t>
  </si>
  <si>
    <t>Orbisum</t>
  </si>
  <si>
    <t>Orchestrální sdružení Vsetín, z. s.</t>
  </si>
  <si>
    <t>"ORCHIDEJ" - sdružení pro pomoc a podporu postiženým a starším občanům</t>
  </si>
  <si>
    <t>Zlín, Masaryka 1280</t>
  </si>
  <si>
    <t>Orchis 2003, z.s.</t>
  </si>
  <si>
    <t>Březolupy 545, PSČ 68713</t>
  </si>
  <si>
    <t>Orel jednota Bratřejov</t>
  </si>
  <si>
    <t>Bratřejov 117, PSČ 76312</t>
  </si>
  <si>
    <t>Orel jednota Bystřice pod Hostýnem</t>
  </si>
  <si>
    <t>Bystřice pod Hostýnem, Za Drahou 853, PSČ 76861</t>
  </si>
  <si>
    <t>Orel jednota Drnovice u Valašských Klobouk</t>
  </si>
  <si>
    <t>Drnovice 139, PSČ 76325</t>
  </si>
  <si>
    <t>Orel jednota Halenkov - Huslenky</t>
  </si>
  <si>
    <t>Huslenky 115, PSČ 75602</t>
  </si>
  <si>
    <t>Orel jednota Holešov</t>
  </si>
  <si>
    <t>Holešov, Palackého 519/12, PSČ 76901</t>
  </si>
  <si>
    <t>Orel jednota Hovězí</t>
  </si>
  <si>
    <t>Hovězí 32, PSČ 75601</t>
  </si>
  <si>
    <t>Orel jednota Hradisko</t>
  </si>
  <si>
    <t>Kroměříž, Hradisko 26, PSČ 76701</t>
  </si>
  <si>
    <t>Orel jednota Hulín</t>
  </si>
  <si>
    <t>Hulín, Kostelní 132, PSČ 76824</t>
  </si>
  <si>
    <t>Orel jednota Kašava</t>
  </si>
  <si>
    <t>Kašava 160, PSČ 76319</t>
  </si>
  <si>
    <t>Orel jednota Kelč</t>
  </si>
  <si>
    <t>Kelč, Němetice 68, PSČ 75643</t>
  </si>
  <si>
    <t>Orel jednota Koryčany</t>
  </si>
  <si>
    <t>Koryčany, Masarykova 688, PSČ 76805</t>
  </si>
  <si>
    <t>Orel jednota Korytná</t>
  </si>
  <si>
    <t>Korytná 57, PSČ 68752</t>
  </si>
  <si>
    <t>Orel jednota Kroměříž</t>
  </si>
  <si>
    <t>Orel jednota Kunovice</t>
  </si>
  <si>
    <t>Kunovice, Osvobození 855, PSČ 68604</t>
  </si>
  <si>
    <t>Orel jednota Kunovice u Valašského Meziříčí</t>
  </si>
  <si>
    <t>Kunovice 3, PSČ 75644</t>
  </si>
  <si>
    <t>Orel jednota Morkovice</t>
  </si>
  <si>
    <t>Orel jednota Nivnice</t>
  </si>
  <si>
    <t>Nivnice, náměstí Míru 176, PSČ 68751</t>
  </si>
  <si>
    <t>Orel jednota Nový Hrozenkov</t>
  </si>
  <si>
    <t>Orel jednota Ostrožská Nová Ves</t>
  </si>
  <si>
    <t>Ostrožská Nová Ves, Dědina 594, PSČ 68722</t>
  </si>
  <si>
    <t>Orel jednota Pitín</t>
  </si>
  <si>
    <t>Pitín 15, PSČ 68771</t>
  </si>
  <si>
    <t>Orel jednota Polešovice</t>
  </si>
  <si>
    <t>Polešovice 293, PSČ 68737</t>
  </si>
  <si>
    <t>Orel jednota Slavičín</t>
  </si>
  <si>
    <t>Slavičín, Osvobození 248, PSČ 76321</t>
  </si>
  <si>
    <t>Orel jednota Staré Město</t>
  </si>
  <si>
    <t>Staré Město, náměstí Hrdinů 264, PSČ 68603</t>
  </si>
  <si>
    <t>Orel jednota Suchá Loz</t>
  </si>
  <si>
    <t>Orel jednota Uherské Hradiště</t>
  </si>
  <si>
    <t>Orel jednota Uherský Brod</t>
  </si>
  <si>
    <t>Uherský Brod, Lipová 2614, PSČ 68801</t>
  </si>
  <si>
    <t>Orel jednota Valašské Klobouky</t>
  </si>
  <si>
    <t>Valašské Klobouky, Koželužská 361, PSČ 76601</t>
  </si>
  <si>
    <t>Orel jednota Valašské Meziříčí</t>
  </si>
  <si>
    <t>Valašské Meziříčí, Komenského 2/2, PSČ 75701</t>
  </si>
  <si>
    <t>Orel jednota Velké Karlovice</t>
  </si>
  <si>
    <t>Velké Karlovice 686, PSČ 75606</t>
  </si>
  <si>
    <t>Orel jednota Vizovice</t>
  </si>
  <si>
    <t>Vizovice, Palackého Nám. 1203, PSČ 76312</t>
  </si>
  <si>
    <t>Orel jednota Zašová</t>
  </si>
  <si>
    <t>Zašová 722, PSČ 75651</t>
  </si>
  <si>
    <t>Orel jednota Zlín</t>
  </si>
  <si>
    <t>Orel jednota Zlín-Malenovice</t>
  </si>
  <si>
    <t>Zlín, Malenovice, Jar. Staši 150, PSČ 76302</t>
  </si>
  <si>
    <t>Orel župa Bauerova</t>
  </si>
  <si>
    <t>Orel župa Urbanova</t>
  </si>
  <si>
    <t>Orel župa Velehradská</t>
  </si>
  <si>
    <t>Ornitologický klub České republiky, z.s.</t>
  </si>
  <si>
    <t>Biskupice 158, PSČ 76341</t>
  </si>
  <si>
    <t>Ornix z.s.</t>
  </si>
  <si>
    <t>Dolní Němčí, Mírová 763, PSČ 68762</t>
  </si>
  <si>
    <t>o.s. Berg-Trophy Team</t>
  </si>
  <si>
    <t>Kunovice, Na Rynku 354, PSČ 68604</t>
  </si>
  <si>
    <t>OS chalupářské osady SAHARA z.s.</t>
  </si>
  <si>
    <t>Vsetín, Rokytnice, Okružní 451, PSČ 75501</t>
  </si>
  <si>
    <t>OS ČUS Kroměříž z.s.</t>
  </si>
  <si>
    <t>OS ČUS Vsetín, z. s.</t>
  </si>
  <si>
    <t>OS ČUS Zlín z.s.</t>
  </si>
  <si>
    <t>o.s. KARPATY</t>
  </si>
  <si>
    <t>Zlín, Obeciny IX 3620, PSČ 76001</t>
  </si>
  <si>
    <t>"o.s. Military Morava"</t>
  </si>
  <si>
    <t>Uherské Hradiště, Jana Žižky 746, PSČ 68606</t>
  </si>
  <si>
    <t>OS Ráj Veselá, z.s.</t>
  </si>
  <si>
    <t>Zašová, Veselá 38, PSČ 75651</t>
  </si>
  <si>
    <t>”o.s. SATURN”</t>
  </si>
  <si>
    <t>Strání, Na kopci 156, PSČ 68765</t>
  </si>
  <si>
    <t>o.s. Sportovní klub dobrovolných šipkařů</t>
  </si>
  <si>
    <t>Kroměříž, Vážany, Pionýrů 202/29, PSČ 76701</t>
  </si>
  <si>
    <t>o.s. Table Tennis Valaška Růžďka</t>
  </si>
  <si>
    <t>Růžďka 319, PSČ 75625</t>
  </si>
  <si>
    <t>"o.s. výchova pro šťastné dětství"</t>
  </si>
  <si>
    <t>Uherské Hradiště, Sady, Trnková 429, PSČ 68605</t>
  </si>
  <si>
    <t>"o.s. Zážitkové centrum"</t>
  </si>
  <si>
    <t>Halenkovice 619, PSČ 76363</t>
  </si>
  <si>
    <t>OSActiv, z. s.</t>
  </si>
  <si>
    <t>Strání, Sv. Cyrila a Metoděje 220, PSČ 68765</t>
  </si>
  <si>
    <t>Osada Lipka, z.s.</t>
  </si>
  <si>
    <t>Osada Želkov z.s.</t>
  </si>
  <si>
    <t>Holešov, Bezručova 1403/5, PSČ 76901</t>
  </si>
  <si>
    <t>Osmička - Malenovice, z.s.</t>
  </si>
  <si>
    <t>Zlín, Malenovice, Komenského 78, PSČ 76302</t>
  </si>
  <si>
    <t>OSOPS - Občanské sdružení ochránců potoka Svodnice</t>
  </si>
  <si>
    <t>Sazovice 180, PSČ 76301</t>
  </si>
  <si>
    <t>o.s.RC klub Elišky Junkové Zlín</t>
  </si>
  <si>
    <t>Zlín, Malenovice, Na Větrově 1124, PSČ 76302</t>
  </si>
  <si>
    <t>OSST Zlín, spolek</t>
  </si>
  <si>
    <t>Osteologická Akademie Zlín, o.p.s.</t>
  </si>
  <si>
    <t>Zlín, třída Tomáše Bati 3910, PSČ 76001</t>
  </si>
  <si>
    <t>Ostrévka, z.s.</t>
  </si>
  <si>
    <t>Nový Hrozenkov 429, PSČ 75604</t>
  </si>
  <si>
    <t>OSTROŽAN II z.s.</t>
  </si>
  <si>
    <t>Ostrožská jezera</t>
  </si>
  <si>
    <t>Uherské Hradiště, Vésky, Na Pastvišti 179, PSČ 68601</t>
  </si>
  <si>
    <t>Ostrožský pulling club</t>
  </si>
  <si>
    <t>Uherský Ostroh, Mašovy 281, PSČ 68724</t>
  </si>
  <si>
    <t>ostrožský splav z.s.</t>
  </si>
  <si>
    <t>Uherský Ostroh, Ostrožské Předměstí, Sídliště 816, PSČ 68724</t>
  </si>
  <si>
    <t>Otevřené sdružení, Vsetín</t>
  </si>
  <si>
    <t>Vsetín, Štěpánská 1514, PSČ 75501</t>
  </si>
  <si>
    <t>Otevřený spolek</t>
  </si>
  <si>
    <t>Rožnov pod Radhoštěm, Sladské č. ev. 111, PSČ 75661</t>
  </si>
  <si>
    <t>Othala z.s.</t>
  </si>
  <si>
    <t>Kvasice, Krajina 373, PSČ 76821</t>
  </si>
  <si>
    <t>OV ČSOP Vsetín</t>
  </si>
  <si>
    <t>Ovečka Vsetín, z.s.</t>
  </si>
  <si>
    <t>Vsetín, Červenka 2193, PSČ 75501</t>
  </si>
  <si>
    <t>Ovisis, o.s.</t>
  </si>
  <si>
    <t>Lukov, Slatiny 466, PSČ 76317</t>
  </si>
  <si>
    <t>Ozvěny života, z. s.</t>
  </si>
  <si>
    <t>Liptál 25, PSČ 75631</t>
  </si>
  <si>
    <t>PAHOP, Zdravotní ústav paliativní a hospicové péče, z.ú.</t>
  </si>
  <si>
    <t>PAHORKY</t>
  </si>
  <si>
    <t>Valašské Klobouky, Cyrilometodějská 885, PSČ 76601</t>
  </si>
  <si>
    <t>Paint Horse Club České republiky z.s.</t>
  </si>
  <si>
    <t>Bezměrov 65, PSČ 76701</t>
  </si>
  <si>
    <t>Paintball Klub Rožnov pod Radhoštěm z.s.</t>
  </si>
  <si>
    <t>Rožnov pod Radhoštěm, Jarní 2909, PSČ 75661</t>
  </si>
  <si>
    <t>Paintball MORAVIA UNIT</t>
  </si>
  <si>
    <t>Paintball Žopy</t>
  </si>
  <si>
    <t>Holešov, Školní 462/38, PSČ 76901</t>
  </si>
  <si>
    <t>Pales Riders Team, z.s.</t>
  </si>
  <si>
    <t>Rožnov pod Radhoštěm, Partyzánská 1008, PSČ 75661</t>
  </si>
  <si>
    <t>PALLIARE - CARPE DIEM z.ú.</t>
  </si>
  <si>
    <t>Palma z. s.</t>
  </si>
  <si>
    <t>Mikulůvka 251, PSČ 75624</t>
  </si>
  <si>
    <t>PAMPA, z.s.</t>
  </si>
  <si>
    <t>Kroměříž, Postoupky 246, PSČ 76701</t>
  </si>
  <si>
    <t>PanFunk z.s.</t>
  </si>
  <si>
    <t>Lukov, K Boří 156, PSČ 76317</t>
  </si>
  <si>
    <t>PANTOK KICKBOX, z.s.</t>
  </si>
  <si>
    <t>Pár kapek v moři z.s.</t>
  </si>
  <si>
    <t>ParaAgility Walachia z.s.</t>
  </si>
  <si>
    <t>Lipová 117, PSČ 76321</t>
  </si>
  <si>
    <t>Paráda, z.s.</t>
  </si>
  <si>
    <t>Kroměříž, Tovačovského 3250/22A, PSČ 76701</t>
  </si>
  <si>
    <t>Paragliding klub Kroměříž z.s.</t>
  </si>
  <si>
    <t>Jarohněvice 23, PSČ 76801</t>
  </si>
  <si>
    <t>Paragliding Kroměříž, z.s.</t>
  </si>
  <si>
    <t>Kroměříž, Gorkého 2571/46, PSČ 76701</t>
  </si>
  <si>
    <t>Parawalachia z.s.</t>
  </si>
  <si>
    <t>Slušovice, Padělky 554, PSČ 76315</t>
  </si>
  <si>
    <t>Parhůn z.s.</t>
  </si>
  <si>
    <t>Valašská Polanka 103, PSČ 75611</t>
  </si>
  <si>
    <t>Park Rochus, o.p.s.</t>
  </si>
  <si>
    <t>Paroplavební společnost o.s.</t>
  </si>
  <si>
    <t>Huslenky 159, PSČ 75602</t>
  </si>
  <si>
    <t>Partnerství a spolupráce, z.s.</t>
  </si>
  <si>
    <t>Partnerství pro Velehrad, z. s.</t>
  </si>
  <si>
    <t>„Paseky”</t>
  </si>
  <si>
    <t>Chvalčov, Na Říce 117</t>
  </si>
  <si>
    <t>Pasení a výpasy Vlčnov, z.s.</t>
  </si>
  <si>
    <t>Vlčnov 595, PSČ 68761</t>
  </si>
  <si>
    <t>Passmusic, z. s.</t>
  </si>
  <si>
    <t>Napajedla, Komenského 1529, PSČ 76361</t>
  </si>
  <si>
    <t>Pastýř</t>
  </si>
  <si>
    <t>Patchwork Zlínsko</t>
  </si>
  <si>
    <t>Zlín, Štípa, Na Výpustě 412, PSČ 76314</t>
  </si>
  <si>
    <t>Patriot Kroměříž, z.s.</t>
  </si>
  <si>
    <t>Kroměříž, Bílanská 1644/45, PSČ 76701</t>
  </si>
  <si>
    <t>Paulivera, z.s.</t>
  </si>
  <si>
    <t>Pavilon 607 z.s.</t>
  </si>
  <si>
    <t>Uherské Hradiště, Mařatice, Na Stráni 538, PSČ 68605</t>
  </si>
  <si>
    <t>Pečovatelská služba Zlín, o.p.s.</t>
  </si>
  <si>
    <t>Zlín, Příluky, Broučkova 292, PSČ 76001</t>
  </si>
  <si>
    <t>Penguin foundation, z.s.</t>
  </si>
  <si>
    <t>Uherský Brod, Horní Valy 1319, PSČ 68801</t>
  </si>
  <si>
    <t>„Pennello, o.s.”</t>
  </si>
  <si>
    <t>Vsetín, Trávníky 1433</t>
  </si>
  <si>
    <t>PEQ BIKE TEAM</t>
  </si>
  <si>
    <t>PERBENE o.p.s.</t>
  </si>
  <si>
    <t>Kunovice, Cihlářská 1312, PSČ 68604</t>
  </si>
  <si>
    <t>PermaNet z.s.</t>
  </si>
  <si>
    <t>Růžďka 328, PSČ 75625</t>
  </si>
  <si>
    <t>Pernštejnové, zapsaný spolek</t>
  </si>
  <si>
    <t>Břest 48, PSČ 76823</t>
  </si>
  <si>
    <t>Petanque klub Stříbrné kule Buchlovice z.s.</t>
  </si>
  <si>
    <t>Buchlovice, Řadová 566, PSČ 68708</t>
  </si>
  <si>
    <t>PETRKLÍČ, o.p.s.</t>
  </si>
  <si>
    <t>Uherské Hradiště, Vésky, Na Krajině 44, PSČ 68601</t>
  </si>
  <si>
    <t>Pěvecká skupina Blaženky, z. s.</t>
  </si>
  <si>
    <t>Vsetín, Štěpánská 1884, PSČ 75501</t>
  </si>
  <si>
    <t>Pěvecké sdružení valašských učitelek, z.s.</t>
  </si>
  <si>
    <t>Pěvecký sbor Buchlovice</t>
  </si>
  <si>
    <t>Buchlovice, Tyršova 735, PSČ 68708</t>
  </si>
  <si>
    <t>Pěvecký sbor CANTARE, z.s.</t>
  </si>
  <si>
    <t>Slavičín, náměstí Mezi Šenky 121, PSČ 76321</t>
  </si>
  <si>
    <t>Pěvecký sbor Cantica a dětská opera Zlín, z. s.</t>
  </si>
  <si>
    <t>Zlín, Luční 4591, PSČ 76005</t>
  </si>
  <si>
    <t>Pěvecký sbor CANTUS Morkovice z.s.</t>
  </si>
  <si>
    <t>Morkovice-Slížany, Morkovice, Nádražní 405, PSČ 76833</t>
  </si>
  <si>
    <t>Pěvecký sbor Coro Valacco, z. s.</t>
  </si>
  <si>
    <t>Pěvecký sbor DVOŘÁK Uherský Brod, z.s.</t>
  </si>
  <si>
    <t>Pěvecký sbor Hedvika, z.s.</t>
  </si>
  <si>
    <t>Valašské Meziříčí, Výletní 1423, PSČ 75701</t>
  </si>
  <si>
    <t>"Pěvecký sbor Laetitia - Zlín, z. s."</t>
  </si>
  <si>
    <t>Pěvecký sbor Moravan Kroměříž, z.s.</t>
  </si>
  <si>
    <t>Kroměříž, Talichova 3698/21, PSČ 76701</t>
  </si>
  <si>
    <t>Pěvecký sbor POLANKA, z. s.</t>
  </si>
  <si>
    <t>Seninka 111, PSČ 75611</t>
  </si>
  <si>
    <t>Pěvecký sbor Radost, z.s.</t>
  </si>
  <si>
    <t>Zlín, Kostelec, Okrajová 454, PSČ 76314</t>
  </si>
  <si>
    <t>Pěvecký sbor Smetana - Hulín, z.s.</t>
  </si>
  <si>
    <t>Hulín, nám. Míru 123, PSČ 76824</t>
  </si>
  <si>
    <t>Pěvecký sbor SONET, z.s.</t>
  </si>
  <si>
    <t>Vsetín, Rokytnice, Pod Bečevnou 172, PSČ 75501</t>
  </si>
  <si>
    <t>Pěvecký sbor TREGLER, spolek</t>
  </si>
  <si>
    <t>Bystřice pod Hostýnem, Masarykovo nám. 133, PSČ 76861</t>
  </si>
  <si>
    <t>Pevnost Neposkvrněné, z.s.</t>
  </si>
  <si>
    <t>Růžďka 117, PSČ 75625</t>
  </si>
  <si>
    <t>Pickleball Zlín z.s.</t>
  </si>
  <si>
    <t>Zlín, Plesníkova 5559, PSČ 76005</t>
  </si>
  <si>
    <t>PIDILAND</t>
  </si>
  <si>
    <t>Uherské Hradiště, náměstí Republiky 955, PSČ 68601</t>
  </si>
  <si>
    <t>Pionýr, z. s. - Olomoucko-zlínská krajská organizace Pionýra</t>
  </si>
  <si>
    <t>Pionýr, z. s. - Pionýrská skupina Bystřice pod Hostýnem</t>
  </si>
  <si>
    <t>Bystřice pod Hostýnem, 6. května</t>
  </si>
  <si>
    <t>Pionýr, z. s. - Pionýrská skupina dr. Mirko Očadlíka</t>
  </si>
  <si>
    <t>Holešov, Všetuly, Sokolská 70, PSČ 76901</t>
  </si>
  <si>
    <t>Pionýr, z. s. - Pionýrská skupina Klubovna Čtrnáctka</t>
  </si>
  <si>
    <t>Zlín, Podvesná XIV 5490, PSČ 76001</t>
  </si>
  <si>
    <t>Pionýr, z. s. - Pionýrská skupina Obránců míru Chropyně</t>
  </si>
  <si>
    <t>Chropyně, Hrad 466, PSČ 76811</t>
  </si>
  <si>
    <t>Pionýr, z. s. - Pionýrská skupina Táborníci</t>
  </si>
  <si>
    <t>Poličná 551, PSČ 75701</t>
  </si>
  <si>
    <t>Pionýr, z. s. - Pionýrská skupina Zborovice</t>
  </si>
  <si>
    <t>Zborovice, Sokolská zahrada</t>
  </si>
  <si>
    <t>Pionýr, z. s. - Pionýrská skupina Zlínská Radooost</t>
  </si>
  <si>
    <t>Martinice 273, PSČ 76901</t>
  </si>
  <si>
    <t>Pionýr, z. s. - Pionýrské centrum Kroměříž</t>
  </si>
  <si>
    <t>Pionýr, z. s. - Pionýrské centrum Kunovice</t>
  </si>
  <si>
    <t>Kunovice, Na Řádku 813, PSČ 68604</t>
  </si>
  <si>
    <t>Pionýr, z. s. - 2.pionýrská skupina Julia Fučíka Kroměříž</t>
  </si>
  <si>
    <t>Pionýrem ze Slovácka do světa, z.s.</t>
  </si>
  <si>
    <t>Jalubí 372, PSČ 68705</t>
  </si>
  <si>
    <t>Pírko</t>
  </si>
  <si>
    <t>Zlín, Kotěrova 4395</t>
  </si>
  <si>
    <t>PITĚNSKÁ BESEDA, z.s.</t>
  </si>
  <si>
    <t>Pitín 341, PSČ 68771</t>
  </si>
  <si>
    <t>PKM Bike Team, z.s.</t>
  </si>
  <si>
    <t>Police 159, PSČ 75644</t>
  </si>
  <si>
    <t>Plastic Whale Shark z.s.</t>
  </si>
  <si>
    <t>Mysločovice 67, PSČ 76301</t>
  </si>
  <si>
    <t>Plastikářský klastr z.s.</t>
  </si>
  <si>
    <t>Výroba pryžových a plastových výrobků</t>
  </si>
  <si>
    <t>Výzkum a vývoj v oblasti přírodních a technických věd</t>
  </si>
  <si>
    <t>Technické zkoušky a analýzy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</si>
  <si>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</si>
  <si>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</si>
  <si>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</si>
  <si>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</si>
  <si>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Úprava odpadů k dalšímu využití, kromě demontáže vraků, strojů a zařízení</t>
  </si>
  <si>
    <t>Ostatní poradenství v oblasti podnikání a řízení</t>
  </si>
  <si>
    <t>Platforma pro podporu sociálního podnikání na Kroměřížsku z.s.</t>
  </si>
  <si>
    <t>Kroměříž, Gen. Svobody 1214/20, PSČ 76701</t>
  </si>
  <si>
    <t>PLATINUM-ONE spolek</t>
  </si>
  <si>
    <t>Uherské Hradiště, Sady, Trnková 477, PSČ 68605</t>
  </si>
  <si>
    <t>Plavecké sporty Kroměříž, z.s.</t>
  </si>
  <si>
    <t>Kroměříž, Obvodová 3965/17, PSČ 76701</t>
  </si>
  <si>
    <t>Plavecký klub Vsetín z.s.</t>
  </si>
  <si>
    <t>PLAVECKÝ KLUB ZLÍN, z.s.</t>
  </si>
  <si>
    <t>„Plavecký oddíl Rožnov pod Radhoštěm”</t>
  </si>
  <si>
    <t>Rožnov pod Radhoštěm, Moravská 1787, PSČ 75661</t>
  </si>
  <si>
    <t>"Ples KM"</t>
  </si>
  <si>
    <t>Kroměříž, Karolíny Světlé 3366/6, PSČ 76701</t>
  </si>
  <si>
    <t>"P.N. HOCKEY o.s."</t>
  </si>
  <si>
    <t>Kroměříž, Havlíčkova 3932/118, PSČ 76701</t>
  </si>
  <si>
    <t>P&amp;O Engineering racing team o.s.</t>
  </si>
  <si>
    <t>Chvalčov, Na Kamenci 401, PSČ 76872</t>
  </si>
  <si>
    <t>Pobočka České silniční společnosti při Správa a údržba silnic Valašské Meziříčí</t>
  </si>
  <si>
    <t>Valašské Meziříčí, Krásno nad Bečvou, Jiráskova 35, PSČ 75701</t>
  </si>
  <si>
    <t>Pobočný spolek AVZO TSČ Hluk</t>
  </si>
  <si>
    <t>Hluk, Prostřední 794, PSČ 68725</t>
  </si>
  <si>
    <t>pobočný spolek Občanská poradna Pod křídly</t>
  </si>
  <si>
    <t>Valašské Meziříčí, Nábřeží 268, PSČ 75701</t>
  </si>
  <si>
    <t>Pobřežní hlídka z.s.</t>
  </si>
  <si>
    <t>Tučapy</t>
  </si>
  <si>
    <t>Tučapy 132, PSČ 68709</t>
  </si>
  <si>
    <t>Pobyty ve tmě a v přírodě z. s.</t>
  </si>
  <si>
    <t>Chvalčov č. ev. 253, PSČ 76872</t>
  </si>
  <si>
    <t>POD HVĚZDAMI, o.s.</t>
  </si>
  <si>
    <t>Lukoveček, Masarykova 31, PSČ 76316</t>
  </si>
  <si>
    <t>Pod Lány o.s.</t>
  </si>
  <si>
    <t>PODANÁ TLAPKA z.s.</t>
  </si>
  <si>
    <t>Modrá 137, PSČ 68706</t>
  </si>
  <si>
    <t>PODHORAN SPORT TEAM</t>
  </si>
  <si>
    <t>Bystřice pod Hostýnem, Masarykovo nám. 136, PSČ 76861</t>
  </si>
  <si>
    <t>Podhostýnská Hasičská Liga, z.s.</t>
  </si>
  <si>
    <t>Zdounky, Nětčice 70, PSČ 76802</t>
  </si>
  <si>
    <t>Podhostýnská KomuNitka, z. s.</t>
  </si>
  <si>
    <t>Jankovice 68, PSČ 76901</t>
  </si>
  <si>
    <t>Podhostýnský spolek</t>
  </si>
  <si>
    <t>Bystřice pod Hostýnem, Přerovská 1084, PSČ 76861</t>
  </si>
  <si>
    <t>Podhostýnští zahradníci o.s.</t>
  </si>
  <si>
    <t>Bystřice pod Hostýnem, Za Drahou 1276, PSČ 76861</t>
  </si>
  <si>
    <t>PODKARPATSKÍ RUSÍNY, z.s.</t>
  </si>
  <si>
    <t>Zlobice</t>
  </si>
  <si>
    <t>Zlobice 72, PSČ 76831</t>
  </si>
  <si>
    <t>Podlesí</t>
  </si>
  <si>
    <t>Zlín, Podlesí II 4938, PSČ 76005</t>
  </si>
  <si>
    <t>"Podlesí Zlín o.s."</t>
  </si>
  <si>
    <t>Zlín, Podlesí 5407</t>
  </si>
  <si>
    <t>Podnikatelský klub REGION 47, z. s.</t>
  </si>
  <si>
    <t>Uherské Hradiště, Mariánské náměstí 123, PSČ 68601</t>
  </si>
  <si>
    <t>„Podpora ovčáctví se psy o.s.”</t>
  </si>
  <si>
    <t>Vsetín, Rokytnice 63, PSČ 75501</t>
  </si>
  <si>
    <t>Podpora regionů Čech, Moravy a Slezka o. s.</t>
  </si>
  <si>
    <t>Podpora studentů, o.p.s.</t>
  </si>
  <si>
    <t>Staré Město, Velehradská 1527, PSČ 68603</t>
  </si>
  <si>
    <t>PODSKALIČÍ-Společnost pro podporu prázdninové činnosti dětí a mládeže</t>
  </si>
  <si>
    <t>Pohádkové rodinné centrum z.s.</t>
  </si>
  <si>
    <t>Rožnov pod Radhoštěm, Pivovarská 6, PSČ 75661</t>
  </si>
  <si>
    <t>POHEDA - zapsaný spolek</t>
  </si>
  <si>
    <t>Tlumačov, Machovská 444, PSČ 76362</t>
  </si>
  <si>
    <t>Pohnuté divadlo Loukov z. s.</t>
  </si>
  <si>
    <t>Loukov 239, PSČ 76875</t>
  </si>
  <si>
    <t>POHODA HOLEŠOV</t>
  </si>
  <si>
    <t>Holešov, Všetuly, Za Vodou 253, PSČ 76901</t>
  </si>
  <si>
    <t>Pohoda VSC o.s.</t>
  </si>
  <si>
    <t>Vsetín, Bratří Hlaviců 145, PSČ 75501</t>
  </si>
  <si>
    <t>Pohodový Ostroh, z.s.</t>
  </si>
  <si>
    <t>Uherský Ostroh, Ostrožské Předměstí, Blatnická 518, PSČ 68724</t>
  </si>
  <si>
    <t>Pohoršov Koryčany, o.s.</t>
  </si>
  <si>
    <t>Koryčany, Tovární čtvrť 695, PSČ 76805</t>
  </si>
  <si>
    <t>Pohybová akademie Radko Linharta z.s.</t>
  </si>
  <si>
    <t>Pohybové centrum Akademie Valašsko z.s.</t>
  </si>
  <si>
    <t>Pojďme si hrát z. s.</t>
  </si>
  <si>
    <t>Roštění 179, PSČ 76843</t>
  </si>
  <si>
    <t>„POJĎTE S NÁMI“</t>
  </si>
  <si>
    <t>POKER CLUB CLASSICK o. s.</t>
  </si>
  <si>
    <t>Zlín, Okružní 4724, PSČ 76005</t>
  </si>
  <si>
    <t>POKER CLUB OSMEK o.s.</t>
  </si>
  <si>
    <t>Uherský Ostroh, Ostrožské Předměstí, Hradišťská 162, PSČ 68724</t>
  </si>
  <si>
    <t>Pokerová asociace České republiky, o. s.</t>
  </si>
  <si>
    <t>Zlín, Prštné, Kútíky 105, PSČ 76001</t>
  </si>
  <si>
    <t>Policejní sportovní klub Zlín, z. s.</t>
  </si>
  <si>
    <t>Zlín, J. A. Bati 5637, PSČ 76001</t>
  </si>
  <si>
    <t>Polo Club Slušovice z.s.</t>
  </si>
  <si>
    <t>Zlín, Velíková, Borovicová 194, PSČ 76314</t>
  </si>
  <si>
    <t>POLYGON bezpečí z.s.</t>
  </si>
  <si>
    <t>Bystřice pod Hostýnem, Slobodova 1323, PSČ 76861</t>
  </si>
  <si>
    <t>Polygon, z. s.</t>
  </si>
  <si>
    <t>Věžky 109, PSČ 76833</t>
  </si>
  <si>
    <t>Pomoc ježkům, z.s.</t>
  </si>
  <si>
    <t>Luhačovice, Hrazanská 1107, PSČ 76326</t>
  </si>
  <si>
    <t>Pomoc na cestě z.s.</t>
  </si>
  <si>
    <t>Zlín, náměstí Práce 2512, PSČ 76001</t>
  </si>
  <si>
    <t>Pomoc potřebným, z.s.</t>
  </si>
  <si>
    <t>Staré Město, Bratří Mrštíků 1582, PSČ 68603</t>
  </si>
  <si>
    <t>Pomoc pro Angolu, o.s.</t>
  </si>
  <si>
    <t>Machová 188, PSČ 76301</t>
  </si>
  <si>
    <t>"POMOC PRO TEBE o.s."</t>
  </si>
  <si>
    <t>Všemina 288, PSČ 76315</t>
  </si>
  <si>
    <t>Pomoc v problémových životních situacích</t>
  </si>
  <si>
    <t>Hluk, Sadová 480, PSČ 68725</t>
  </si>
  <si>
    <t>Pony Club Modrá, z.s.</t>
  </si>
  <si>
    <t>Staré Město, Velehradská 1558, PSČ 68603</t>
  </si>
  <si>
    <t>Pony Ranč Kvasice, z.s.</t>
  </si>
  <si>
    <t>Kvasice, Horní 126, PSČ 76821</t>
  </si>
  <si>
    <t>"POPINY, z.s. - Spolek poskytující pomoc potřebným"</t>
  </si>
  <si>
    <t>Kroměříž, Vrchlického 682/4, PSČ 76701</t>
  </si>
  <si>
    <t>Poradenské centrum pro sluchově postižené Kroměříž, o.p.s.</t>
  </si>
  <si>
    <t>"Porta Futura z.s."</t>
  </si>
  <si>
    <t>Kroměříž, Velké náměstí 48/41, PSČ 76701</t>
  </si>
  <si>
    <t>Porta Ranger, z.ú.</t>
  </si>
  <si>
    <t>Valašská Bystřice 703, PSČ 75627</t>
  </si>
  <si>
    <t>Porta Temporis z.s.</t>
  </si>
  <si>
    <t>Napajedla, Komenského 1081, PSČ 76361</t>
  </si>
  <si>
    <t>Portage z.s.</t>
  </si>
  <si>
    <t>Tečovice 294, PSČ 76302</t>
  </si>
  <si>
    <t>Poskla</t>
  </si>
  <si>
    <t>Hutisko-Solanec, Hutisko 113, PSČ 75662</t>
  </si>
  <si>
    <t>Potápěči Divestar</t>
  </si>
  <si>
    <t>Potápěči Oceanpadi Zlín, z.s.</t>
  </si>
  <si>
    <t>Zlín, Smetanova 5225, PSČ 76001</t>
  </si>
  <si>
    <t>Potápěčský klub Oceán PRO, pobočný spolek SPMS</t>
  </si>
  <si>
    <t>Zlín, Hradská 888, PSČ 76001</t>
  </si>
  <si>
    <t>Potravinová banka ve Zlínském kraji, z. s.</t>
  </si>
  <si>
    <t>Pozemkový spolek Naše Příroda, z.s.</t>
  </si>
  <si>
    <t>Ostrožská Lhota 104, PSČ 68723</t>
  </si>
  <si>
    <t>Pozemkový spolek Pod Čupama</t>
  </si>
  <si>
    <t>Nivnice, Pořádí 22, PSČ 68751</t>
  </si>
  <si>
    <t>Poznávej, o.s.</t>
  </si>
  <si>
    <t>Zlín, Slovenská 3659, PSČ 76001</t>
  </si>
  <si>
    <t>PPK Malenovice, z.s.</t>
  </si>
  <si>
    <t>Zlín, Malenovice, Husova 797, PSČ 76302</t>
  </si>
  <si>
    <t>PPP z.s.</t>
  </si>
  <si>
    <t>PPZ o.s. (Pohybem pro zdraví)</t>
  </si>
  <si>
    <t>Zlín, Jílová 4577, PSČ 76005</t>
  </si>
  <si>
    <t>Prabhupád Bhavan</t>
  </si>
  <si>
    <t>Práce nanečisto, z.ú.</t>
  </si>
  <si>
    <t>Rožnov pod Radhoštěm, 5. května 1350, PSČ 75661</t>
  </si>
  <si>
    <t>Prachem Svatební cesty z.s.</t>
  </si>
  <si>
    <t>Kostelany 143, PSČ 76701</t>
  </si>
  <si>
    <t>Pramen RUSAVY</t>
  </si>
  <si>
    <t>Pravé Moravské, o.s.</t>
  </si>
  <si>
    <t>Zlín, Březnická 5566, PSČ 76001</t>
  </si>
  <si>
    <t>Pravoslavná církevní obec v Kroměříži</t>
  </si>
  <si>
    <t>"PRENATAL Zlín, o.p.s."</t>
  </si>
  <si>
    <t>Zlín, Slunečná 4548, PSČ 76005</t>
  </si>
  <si>
    <t>Prevence Zlín</t>
  </si>
  <si>
    <t>PRIVALAB - spolek privátních diagnostických laboratoří, z.s.</t>
  </si>
  <si>
    <t>Pro Beskydy, o.s.</t>
  </si>
  <si>
    <t>Pro Golf, o. s.</t>
  </si>
  <si>
    <t>Zlín, Podlesí IV 5349, PSČ 76005</t>
  </si>
  <si>
    <t>„Pro Mistřice“</t>
  </si>
  <si>
    <t>Mistřice 40, PSČ 68712</t>
  </si>
  <si>
    <t>PRO RADOST HLUK, spolek</t>
  </si>
  <si>
    <t>Hluk, Na Přídělech 1271, PSČ 68725</t>
  </si>
  <si>
    <t>Pro šťastné psí oči, z.s.</t>
  </si>
  <si>
    <t>Polešovice 792, PSČ 68737</t>
  </si>
  <si>
    <t>Pro Vás, z.s.</t>
  </si>
  <si>
    <t>Buchlovice, Kostelní 68, PSČ 68708</t>
  </si>
  <si>
    <t>Pro život dětem, z. s.</t>
  </si>
  <si>
    <t>Mistřice 439, PSČ 68712</t>
  </si>
  <si>
    <t>PRO-BIO Svaz ekologických zemědělců, regionální centrum Bílé Karpaty</t>
  </si>
  <si>
    <t>Starý Hrozenkov 11, PSČ 68774</t>
  </si>
  <si>
    <t>PROCHISPORT o.s.</t>
  </si>
  <si>
    <t>Chropyně, J. Fučíka 668, PSČ 76811</t>
  </si>
  <si>
    <t>ProDřevo, z.s.</t>
  </si>
  <si>
    <t>Lukoveček 183, PSČ 76316</t>
  </si>
  <si>
    <t>Profesní komora autodopravců okresu Kroměříž</t>
  </si>
  <si>
    <t>Profesní sdružení přechodných pěstounů z.s.</t>
  </si>
  <si>
    <t>Zlobice 23, PSČ 76831</t>
  </si>
  <si>
    <t>PRO-FI education, o.s.</t>
  </si>
  <si>
    <t>Profue První pomoc</t>
  </si>
  <si>
    <t>Halenkovice 547, PSČ 76363</t>
  </si>
  <si>
    <t>PROFUE z.s.</t>
  </si>
  <si>
    <t>PROHANDL z.s.</t>
  </si>
  <si>
    <t>Morkovice-Slížany, Morkovice, Nádražní 11, PSČ 76833</t>
  </si>
  <si>
    <t>PRO-SENIOR o.p.s.</t>
  </si>
  <si>
    <t>ProSPojení, z.s.</t>
  </si>
  <si>
    <t>Traplice 365, PSČ 68704</t>
  </si>
  <si>
    <t>Prosport trade z.s.</t>
  </si>
  <si>
    <t>Prostě Cirkus z.s.</t>
  </si>
  <si>
    <t>Branky 185, PSČ 75645</t>
  </si>
  <si>
    <t>Prostodol</t>
  </si>
  <si>
    <t>Pržno 199, PSČ 75623</t>
  </si>
  <si>
    <t>Prostor Lazy z. s.</t>
  </si>
  <si>
    <t>Zlín, Lazy II 5647, PSČ 76001</t>
  </si>
  <si>
    <t>Provodov, z.s.</t>
  </si>
  <si>
    <t>Průmyslový areál Rožnov, z.s.</t>
  </si>
  <si>
    <t>Rožnov pod Radhoštěm, 1. máje 2230, PSČ 75661</t>
  </si>
  <si>
    <t>První Golfový Klub Československý o.s.</t>
  </si>
  <si>
    <t>Uherské Hradiště, Jarošov, Pivovarská 302, PSČ 68601</t>
  </si>
  <si>
    <t>První organizace pro kroměřížskou kulturu, z.s.</t>
  </si>
  <si>
    <t>Kostelany 161, PSČ 76701</t>
  </si>
  <si>
    <t>PŘÁTELÉ A KAMARÁDI z.s.</t>
  </si>
  <si>
    <t>Hulín, Boženy Němcové 983, PSČ 76824</t>
  </si>
  <si>
    <t>Přátelé Drahlova, spolek</t>
  </si>
  <si>
    <t>Kroměříž, Drahlov 37, PSČ 76701</t>
  </si>
  <si>
    <t>Přátelé harmonické výchovy, z. s.</t>
  </si>
  <si>
    <t>Otrokovice, J. Jabůrkové 1404, PSČ 76502</t>
  </si>
  <si>
    <t>Přátelé houslí, z.s.</t>
  </si>
  <si>
    <t>Přátelé koní a přírody</t>
  </si>
  <si>
    <t>Branky 92, PSČ 75645</t>
  </si>
  <si>
    <t>Přátelé koní Cimi</t>
  </si>
  <si>
    <t>Hulín, Sadová 934, PSČ 76824</t>
  </si>
  <si>
    <t>Přátelé Slovácké Pálenky, z.s.</t>
  </si>
  <si>
    <t>Přátelé Slovácké Slivovice, z.s.</t>
  </si>
  <si>
    <t>Přátelé společenství Cenacolo, z.s.</t>
  </si>
  <si>
    <t>Zlín, Podvesná VII 3097, PSČ 76001</t>
  </si>
  <si>
    <t>Přátelé školy vidění- malířská škola, z.s.</t>
  </si>
  <si>
    <t>Strání, Květná, Ořechová 561, PSČ 68766</t>
  </si>
  <si>
    <t>"Přátelé tance, o.s."</t>
  </si>
  <si>
    <t>Kroměříž, Máchova 2476, Marek Dvorník</t>
  </si>
  <si>
    <t>Přátelé tenisu Sušice</t>
  </si>
  <si>
    <t>Sušice 54, PSČ 68704</t>
  </si>
  <si>
    <t>"Přátelé vína Jalubí o.s."</t>
  </si>
  <si>
    <t>Jalubí 442, PSČ 68705</t>
  </si>
  <si>
    <t>Přátelé z lásky, z.s.</t>
  </si>
  <si>
    <t>Přátelé základní školy Ořechov, z. s.</t>
  </si>
  <si>
    <t>Přátelé zpětné vazby z. s.</t>
  </si>
  <si>
    <t>Uherské Hradiště, Míkovice, Na Příkopě 127, PSČ 68609</t>
  </si>
  <si>
    <t>Přátelé ZŠ Jana Bezděka, z. s.</t>
  </si>
  <si>
    <t>Přehradní</t>
  </si>
  <si>
    <t>Fryšták, Přehradní 414, PSČ 76316</t>
  </si>
  <si>
    <t>Překonání Gravitace z.s.</t>
  </si>
  <si>
    <t>Kroměříž, Těšnovice 49, PSČ 76701</t>
  </si>
  <si>
    <t>Přílepský kulturní spolek, z.s.</t>
  </si>
  <si>
    <t>Přílepy 152, PSČ 76901</t>
  </si>
  <si>
    <t>„PŘIROZENÍ”</t>
  </si>
  <si>
    <t>Kroměříž, Gorkého 1106/21, PSČ 76701</t>
  </si>
  <si>
    <t>PŘÍSTAV PLNÝ AKTIVIT, z. s.</t>
  </si>
  <si>
    <t>Strání, Rubanice 877, PSČ 68765</t>
  </si>
  <si>
    <t>Přístav ProCulture</t>
  </si>
  <si>
    <t>Valašské Meziříčí, Krásno nad Bečvou, Vrbenská 62/4, PSČ 75701</t>
  </si>
  <si>
    <t>Přístav 316 z.s.</t>
  </si>
  <si>
    <t>Vsetín, Zahradní 1186, PSČ 75501</t>
  </si>
  <si>
    <t>Psí domov u Lišky z.s.</t>
  </si>
  <si>
    <t>Střílky, Hradská 38, PSČ 76804</t>
  </si>
  <si>
    <t>Psí pohlazení z.s.</t>
  </si>
  <si>
    <t>Napajedla, Zámoraví 372, PSČ 76361</t>
  </si>
  <si>
    <t>Psí sporty Skaštice, z.s.</t>
  </si>
  <si>
    <t>Hulín, Družba II 1272, PSČ 76824</t>
  </si>
  <si>
    <t>Psí sporty Valašsko, z. s.</t>
  </si>
  <si>
    <t>Brumov-Bylnice, Brumov, Hrbáč 1135, PSČ 76331</t>
  </si>
  <si>
    <t>Psí školka Kroměříž</t>
  </si>
  <si>
    <t>Kroměříž, Chropyňská 2848/26, PSČ 76701</t>
  </si>
  <si>
    <t>PTERODACTYL´S AVIATORS - občanské sdružení letecké amatérské asociace ČR Uherský Brod</t>
  </si>
  <si>
    <t>Uherský Brod, Neradice 753, PSČ 68801</t>
  </si>
  <si>
    <t>Pterodaktyl</t>
  </si>
  <si>
    <t>Uherské Hradiště, Míkovice, Podboří 238, PSČ 68609</t>
  </si>
  <si>
    <t>Půjčovna lodí St.Město z.s.</t>
  </si>
  <si>
    <t>Staré Město, Michalská 1752, PSČ 68603</t>
  </si>
  <si>
    <t>Q prostor Zlín z. s.</t>
  </si>
  <si>
    <t>Kunovice, V Humnech 1582, PSČ 68604</t>
  </si>
  <si>
    <t>Quietus-Day Lanpárty</t>
  </si>
  <si>
    <t>Uherské Hradiště, Míkovice, Hlavní 258, PSČ 68609</t>
  </si>
  <si>
    <t>RACING HUB, z. s.</t>
  </si>
  <si>
    <t>Hvozdná, Strmá 106, PSČ 76310</t>
  </si>
  <si>
    <t>Racing MouldPro Klub v AČR</t>
  </si>
  <si>
    <t>Zlín, Prštné, B. Němcové 489, PSČ 76001</t>
  </si>
  <si>
    <t>Rackleton klub Vsetín, o.s.</t>
  </si>
  <si>
    <t>Vsetín, Na Příkopě 797, PSČ 75501</t>
  </si>
  <si>
    <t>Rada rodičů při AGKM, z.s.</t>
  </si>
  <si>
    <t>Rada rodičů při ZŠ Slovenská 3076, Zlín, zapsaný spolek</t>
  </si>
  <si>
    <t>Zlín, Slovenská 3076, PSČ 76001</t>
  </si>
  <si>
    <t>Rada rodičů ZŠ a MŠ Poličná, z.s.</t>
  </si>
  <si>
    <t>č.p. 276, 757 01 Poličná</t>
  </si>
  <si>
    <t>Rada školy při SPŠ chemické a gymnáziu Zlín</t>
  </si>
  <si>
    <t>Zlín, nám. T. G. Masaryka 2734, PSČ 76001</t>
  </si>
  <si>
    <t>Radioamatérský a střelecký klub Liptál z.s.</t>
  </si>
  <si>
    <t>Liptál 81, PSČ 75631</t>
  </si>
  <si>
    <t>Radioklub Kunovice, z.s.</t>
  </si>
  <si>
    <t>Radioklub Moravia Garant</t>
  </si>
  <si>
    <t>Radioklub OK2KJT Vsetín, z.s.</t>
  </si>
  <si>
    <t>Vsetín, MUDr. Františka Sovy 62, PSČ 75501</t>
  </si>
  <si>
    <t>Radioklub OK2KOG v Zubří, z.s.</t>
  </si>
  <si>
    <t>Zubří, Nad Fojstvím 1204, PSČ 75654</t>
  </si>
  <si>
    <t>Radioklub Otrokovice OK2KGE, z. s.</t>
  </si>
  <si>
    <t>Otrokovice, Nádražní 1612, PSČ 76502</t>
  </si>
  <si>
    <t>Radioklub Zlín</t>
  </si>
  <si>
    <t>Zlín, Kudlov, Švambovce 477, PSČ 76001</t>
  </si>
  <si>
    <t>RADIOODÍL CBA o.s.</t>
  </si>
  <si>
    <t>RADOST 2011, o.s. (Rackovský Dobrovolný Ochotnický Spolek Tradic - 2011)</t>
  </si>
  <si>
    <t>Racková 221, PSČ 76001</t>
  </si>
  <si>
    <t>"RAJNOCHOVSKÉ KULTURNÍ LÉTO"</t>
  </si>
  <si>
    <t>Rajnochovice 249, PSČ 76871</t>
  </si>
  <si>
    <t>Rally klub Paseky z.s.</t>
  </si>
  <si>
    <t>Želechovice nad Dřevnicí, Paseky 522, PSČ 76311</t>
  </si>
  <si>
    <t>"Rally Klub Traplice o.s."</t>
  </si>
  <si>
    <t>Traplice 428, PSČ 68704</t>
  </si>
  <si>
    <t>Rally team Luhačovice klub v AČR</t>
  </si>
  <si>
    <t>Luhačovice, Družstevní 86, PSČ 76326</t>
  </si>
  <si>
    <t>RALLYE AUTO KLUB V AČR</t>
  </si>
  <si>
    <t>RALLYE TEAM ZLÍN</t>
  </si>
  <si>
    <t>Zlín, Díly I 4041, PSČ 76001</t>
  </si>
  <si>
    <t>RALLYFAN.CZ KLUB v AČR</t>
  </si>
  <si>
    <t>Podkopná Lhota</t>
  </si>
  <si>
    <t>Podkopná Lhota 113, PSČ 76318</t>
  </si>
  <si>
    <t>Rallyklub východní Morava v AČR</t>
  </si>
  <si>
    <t>Otrokovice, Napajedelská 1552, PSČ 76502</t>
  </si>
  <si>
    <t>RALLYSPRINT KLUB v AČR</t>
  </si>
  <si>
    <t>Podkopná Lhota 136, PSČ 76318</t>
  </si>
  <si>
    <t>Ranch Lucky Valley</t>
  </si>
  <si>
    <t>Zádveřice-Raková, 8</t>
  </si>
  <si>
    <t>Ranch Lucky Valley, z.s.</t>
  </si>
  <si>
    <t>Ranč u Hromnice, z. s.</t>
  </si>
  <si>
    <t>Police 167, PSČ 75644</t>
  </si>
  <si>
    <t>Ranč u Tuffa z.s.</t>
  </si>
  <si>
    <t>Holešov, Dobrotice 150, PSČ 76901</t>
  </si>
  <si>
    <t>RANDOM DATA ACCESS z.s.</t>
  </si>
  <si>
    <t>Rare Places, z. s.</t>
  </si>
  <si>
    <t>Valašské Příkazy 52, PSČ 75612</t>
  </si>
  <si>
    <t>RAVA speed racing, z.s.</t>
  </si>
  <si>
    <t>Vizovice, 3. května 1274, PSČ 76312</t>
  </si>
  <si>
    <t>RAVOS MOTOR SPORT Zlín - Prštné</t>
  </si>
  <si>
    <t>Zlín, Vodní 105, PSČ 76001</t>
  </si>
  <si>
    <t>RB:BOYS, z.s.</t>
  </si>
  <si>
    <t>Uherské Hradiště, Sady, Větrná 434, PSČ 68605</t>
  </si>
  <si>
    <t>RC auta Vizovice, z.s.</t>
  </si>
  <si>
    <t>Vizovice, Říčanská 731, PSČ 76312</t>
  </si>
  <si>
    <t>RC Cvrček z. s.</t>
  </si>
  <si>
    <t>Vyškovec 1, PSČ 68774</t>
  </si>
  <si>
    <t>RC MODEL Boršice</t>
  </si>
  <si>
    <t>Boršice 395, PSČ 68709</t>
  </si>
  <si>
    <t>RC OFFROAD TEAM FRYŠTÁK, z.s.</t>
  </si>
  <si>
    <t>Fryšták, Horní Ves, Ke Skalce 295, PSČ 76316</t>
  </si>
  <si>
    <t>RC RALLYE KLUB SLAVIČÍN</t>
  </si>
  <si>
    <t>Slavičín, Družstevní 664, PSČ 76321</t>
  </si>
  <si>
    <t>Realitní Asociace RAA</t>
  </si>
  <si>
    <t>Uherské Hradiště, Nádražní 30, PSČ 68601</t>
  </si>
  <si>
    <t>Rebellius, z.s.</t>
  </si>
  <si>
    <t>Vsetín, Smetanova 1365, PSČ 75501</t>
  </si>
  <si>
    <t>REDNECKS BOWL z.s.</t>
  </si>
  <si>
    <t>REDNECKS GYM z.s.</t>
  </si>
  <si>
    <t>Reduvia, občanské sdružení</t>
  </si>
  <si>
    <t>Láz 2282, Rožnov pod Radhoštěm</t>
  </si>
  <si>
    <t>Region Radhošť</t>
  </si>
  <si>
    <t>Rožnov pod Radhoštěm - Tylovice 1805, PSČ 756 01</t>
  </si>
  <si>
    <t>Uherské Hradiště, Masarykovo náměstí 21, PSČ 68601</t>
  </si>
  <si>
    <t>Luhačovice, Masarykova 175, PSČ 76326</t>
  </si>
  <si>
    <t>REGION 2000 plus, obecně prospěšná společnost</t>
  </si>
  <si>
    <t>Regionální cech Společenstva kominíků ČR Zlínského kraje</t>
  </si>
  <si>
    <t>Uherské Hradiště, Mařatice, 28. října 1381, PSČ 68601</t>
  </si>
  <si>
    <t>Regionální centrum řemesel, z. s.</t>
  </si>
  <si>
    <t>Regionální filmový fond z. s.</t>
  </si>
  <si>
    <t>Regionální pěvecké centrum Vsetín, z. s.</t>
  </si>
  <si>
    <t>Regionální rozvojová agentura Bílé Karpaty - Moravské Kopanice o.p.s.</t>
  </si>
  <si>
    <t>Starý Hrozenkov, Žítková 51, okres Uherské Hradiště, PSČ 687 74</t>
  </si>
  <si>
    <t>Regionální rozvojová agentura Bílé Karpaty, o.p.s.</t>
  </si>
  <si>
    <t>Zlín, třída Tomáše Bati 5146, PSČ 76001</t>
  </si>
  <si>
    <t>Regionální vzdělávací institut, z.s.</t>
  </si>
  <si>
    <t>Regionsport</t>
  </si>
  <si>
    <t>Regioprotokol - vzdělávací institut, z.s.</t>
  </si>
  <si>
    <t>R-Ego, z.s.</t>
  </si>
  <si>
    <t>Slavičín, náměstí Mezi Šenky 19, PSČ 76321</t>
  </si>
  <si>
    <t>Reiningová asociace České republiky</t>
  </si>
  <si>
    <t>Kroměříž, Vejvanovského 384/1, PSČ 76701</t>
  </si>
  <si>
    <t>Rekreační sporty Kroměříž z.s.</t>
  </si>
  <si>
    <t>Relax Club Uherské Hradiště</t>
  </si>
  <si>
    <t>Uherské Hradiště, Jarošov, Drahy 406, PSČ 68601</t>
  </si>
  <si>
    <t>Remazury</t>
  </si>
  <si>
    <t>Zlín, Santražiny 1623, PSČ 76001</t>
  </si>
  <si>
    <t>Remizujeme, z. s.</t>
  </si>
  <si>
    <t>Uherské Hradiště, Jarošov, Za Humny 213, PSČ 68601</t>
  </si>
  <si>
    <t>”REPELENT21”</t>
  </si>
  <si>
    <t>Napajedla, Kvítkovická 1528, PSČ 76361</t>
  </si>
  <si>
    <t>Rescue SAR Morava, z. s.</t>
  </si>
  <si>
    <t>Neubuz 80, PSČ 76315</t>
  </si>
  <si>
    <t>Rescue team Hostýnské vrchy z.s.</t>
  </si>
  <si>
    <t>Bystřice pod Hostýnem, A. Kašpara 1476, PSČ 76861</t>
  </si>
  <si>
    <t>Restart enduro team o.s.</t>
  </si>
  <si>
    <t>Rožnov pod Radhoštěm, Lipová 411, PSČ 75661</t>
  </si>
  <si>
    <t>ReŠaNa z. s.</t>
  </si>
  <si>
    <t>Kroměříž, Raisova 2212/6, PSČ 76701</t>
  </si>
  <si>
    <t>Retro Expres, z.s.</t>
  </si>
  <si>
    <t>Ride2sCool, z.s.</t>
  </si>
  <si>
    <t>Záříčí 168, PSČ 76811</t>
  </si>
  <si>
    <t>Robert a Petr šachy, z. s.</t>
  </si>
  <si>
    <t>Robinsonky, z.s.</t>
  </si>
  <si>
    <t>Rock group Neutral, z.s.</t>
  </si>
  <si>
    <t>Topolná 204, PSČ 68711</t>
  </si>
  <si>
    <t>RODESO, z. ú.</t>
  </si>
  <si>
    <t>Bystřice pod Hostýnem, Havlíčkova 102, PSČ 76861</t>
  </si>
  <si>
    <t>Činnosti spotřebitelských organizací</t>
  </si>
  <si>
    <t>Rodičovská Akademie při Základní škole Morkovice, z.s.</t>
  </si>
  <si>
    <t>Morkovice-Slížany, Morkovice, 17. listopadu 416, PSČ 76833</t>
  </si>
  <si>
    <t>Rodičovské sdružení při ZŠ v Hluku, z.s.</t>
  </si>
  <si>
    <t>Hluk, nám. Komenského 950, PSČ 68725</t>
  </si>
  <si>
    <t>Rodičovské sdružení při ZŠ Vsetín, Trávníky, z.s.</t>
  </si>
  <si>
    <t>Vsetín, Matouše Václavka 1217, PSČ 75501</t>
  </si>
  <si>
    <t>Rodičovské sdružení při ZŠ Vsetín-Ohrada</t>
  </si>
  <si>
    <t>Vsetín-Ohrada</t>
  </si>
  <si>
    <t>Rodina sv. Zdislavy, z. s.</t>
  </si>
  <si>
    <t>Hutisko-Solanec, Solanec pod Soláněm 395, PSČ 75662</t>
  </si>
  <si>
    <t>Rodina svatého Josefa, z. s.</t>
  </si>
  <si>
    <t>Nedakonice 296, PSČ 68738</t>
  </si>
  <si>
    <t>Rodina u nás, z.s.</t>
  </si>
  <si>
    <t>Poličná 21, PSČ 75701</t>
  </si>
  <si>
    <t>Rodina ve Zlíně z. s.</t>
  </si>
  <si>
    <t>Zlín, Pod Babou 5622, PSČ 76001</t>
  </si>
  <si>
    <t>Rodinná harmonie z.s.</t>
  </si>
  <si>
    <t>Rodinné a mateřské centrum Slavičín, z.s.</t>
  </si>
  <si>
    <t>Slavičín, Komenského 883, PSČ 76321</t>
  </si>
  <si>
    <t>Rodinné a mateřské centrum Vsetín, z.s.</t>
  </si>
  <si>
    <t>Vsetín, Jasenice 943, PSČ 75501</t>
  </si>
  <si>
    <t>Rodinné centrum Bonifác</t>
  </si>
  <si>
    <t>Uherské Hradiště, Husova 838, PSČ 68606</t>
  </si>
  <si>
    <t>Rodinné centrum Brouček, z.s.</t>
  </si>
  <si>
    <t>Vizovice, Zahradní 1053, PSČ 76312</t>
  </si>
  <si>
    <t>Rodinné centrum Břestek, z. s.</t>
  </si>
  <si>
    <t>Buchlovice, Břestek 102, MŠ</t>
  </si>
  <si>
    <t>Rodinné centrum Dráček Břest z. s.</t>
  </si>
  <si>
    <t>Břest 355, PSČ 76823</t>
  </si>
  <si>
    <t>Rodinné centrum Kačenka, z. s.</t>
  </si>
  <si>
    <t>"Rodinné centrum Kalíšek" z.s.</t>
  </si>
  <si>
    <t>Rodinné centrum Knoflík, z.s.</t>
  </si>
  <si>
    <t>Rodinné centrum Kroměříž, z.s. a Středisko výchovné péče</t>
  </si>
  <si>
    <t>Kroměříž, Kollárova 658/13, PSČ 76701</t>
  </si>
  <si>
    <t>Rodinné centrum Náruč z. s.</t>
  </si>
  <si>
    <t>Uherský Brod, U Školky 2148, PSČ 68801</t>
  </si>
  <si>
    <t>Rodinné centrum NEBOJSA z.s.</t>
  </si>
  <si>
    <t>Rodinné centrum Sedmikráska, z. s.</t>
  </si>
  <si>
    <t>Chropyně, Podlesí 865, PSČ 76811</t>
  </si>
  <si>
    <t>Rodinné centrum Slůně Kelč z. s.</t>
  </si>
  <si>
    <t>Rodinné centrum Valašské Klobouky, z.s.</t>
  </si>
  <si>
    <t>Rodinné centrum ZK, o.s.</t>
  </si>
  <si>
    <t>Fryšták, Horní Ves, Hornoveská 111, PSČ 76316</t>
  </si>
  <si>
    <t>Rodinné centrum Žofinka Uherské Hradiště, z.s.</t>
  </si>
  <si>
    <t>Uherské Hradiště, Mařatice, Sadová 833, PSČ 68605</t>
  </si>
  <si>
    <t>Rodinné domy Kudlov, občanské sdružení</t>
  </si>
  <si>
    <t>Zlín, Kudlov, Výšina 627, PSČ 76001</t>
  </si>
  <si>
    <t>Rodinné, komunitní a vzdělávací centrum Emcéčko, z.s.</t>
  </si>
  <si>
    <t>Valašské Meziříčí, J. K. Tyla 418, PSČ 75701</t>
  </si>
  <si>
    <t>Rodinné muzeum zemědělství Stodůlka Ořechov z.s.</t>
  </si>
  <si>
    <t>Ořechov 88, PSČ 68737</t>
  </si>
  <si>
    <t>rodinný klub Lesní domeček, z. s.</t>
  </si>
  <si>
    <t>Zlín, Štefánikova 6757, PSČ 76001</t>
  </si>
  <si>
    <t>Rodinný nadační fond Boris</t>
  </si>
  <si>
    <t>Holešov, nám. Dr. E. Beneše 25/27, PSČ 76901</t>
  </si>
  <si>
    <t>Rodostrom z. s.</t>
  </si>
  <si>
    <t>Rodová osada, o.s.</t>
  </si>
  <si>
    <t>Zlín, Malenovice, Chelčického 831, PSČ 76302</t>
  </si>
  <si>
    <t>ROGA TRANS z.s.</t>
  </si>
  <si>
    <t>Doubravy 3, PSČ 76345</t>
  </si>
  <si>
    <t>Rohálov Bike Team, z.s.</t>
  </si>
  <si>
    <t>Prusinovice, Zámčisko 105, PSČ 76842</t>
  </si>
  <si>
    <t>Rokec Zlín, z.s.</t>
  </si>
  <si>
    <t>Romské sdružení Zlínského kraje pro právo, spravedlnost a vzdělání</t>
  </si>
  <si>
    <t>Zlín, Na Honech III 4926, PSČ 76005</t>
  </si>
  <si>
    <t>Romský rozum</t>
  </si>
  <si>
    <t>Uherský Brod, Větrná 2060, PSČ 68801</t>
  </si>
  <si>
    <t>Rosa multiflora, z.s.</t>
  </si>
  <si>
    <t>Valašské Meziříčí, Zdeňka Fibicha 1203, PSČ 75701</t>
  </si>
  <si>
    <t>Rosička z. s.</t>
  </si>
  <si>
    <t>Jarcová 102, PSČ 75701</t>
  </si>
  <si>
    <t>ROSNIČKA, spolek</t>
  </si>
  <si>
    <t>Staré Město, Kostelanská 2158, PSČ 68603</t>
  </si>
  <si>
    <t>ROSOS z.s.</t>
  </si>
  <si>
    <t>Valašské Meziříčí, Krásno nad Bečvou, Hřbitovní 286/29, PSČ 75701</t>
  </si>
  <si>
    <t>ROSTEME každičkým okamžikem, z. s.</t>
  </si>
  <si>
    <t>Staré Město, Hradišťská 472, PSČ 68603</t>
  </si>
  <si>
    <t>ROSTOU!</t>
  </si>
  <si>
    <t>Zlín, Kudlov, Vrchy 547, PSČ 76001</t>
  </si>
  <si>
    <t>Rotaract klub Zlín, z. s.</t>
  </si>
  <si>
    <t>Rotary klub Kroměříž, zapsaný spolek</t>
  </si>
  <si>
    <t>Kroměříž, Jánská 25/1, PSČ 76701</t>
  </si>
  <si>
    <t>Rotary klub Uherský Brod, z.s.</t>
  </si>
  <si>
    <t>Rotary klub Zlín, z.s.</t>
  </si>
  <si>
    <t>Rottal klub Holešov, z. s.</t>
  </si>
  <si>
    <t>Rottweiler club Zlín</t>
  </si>
  <si>
    <t>Rovné šance dětem, z.s.</t>
  </si>
  <si>
    <t>Uherské Hradiště, Rybárny, Šaňákova 51, PSČ 68601</t>
  </si>
  <si>
    <t>Royal Rangers v ČR z.s.</t>
  </si>
  <si>
    <t>Vsetín, Generála Klapálka 620, PSČ 75501</t>
  </si>
  <si>
    <t>Royal Rangers Zlínský kraj</t>
  </si>
  <si>
    <t>Žlutava 296, PSČ 76361</t>
  </si>
  <si>
    <t>ROYAL SNOOKER z.s.</t>
  </si>
  <si>
    <t>Holešov, Žopy 17, PSČ 76901</t>
  </si>
  <si>
    <t>Rozárka - Rodiče za rozvoj kompetencí o.s.</t>
  </si>
  <si>
    <t>Kroměříž, Kollárova 976/39, PSČ 76701</t>
  </si>
  <si>
    <t>"Rozhledna Zlín o.s."</t>
  </si>
  <si>
    <t>ROZÍNA DĚTEM z. s.</t>
  </si>
  <si>
    <t>Nový Hrozenkov 437, Základní škola</t>
  </si>
  <si>
    <t>Rozínek o.s.</t>
  </si>
  <si>
    <t>Nový Hrozenkov 707, PSČ 75604</t>
  </si>
  <si>
    <t>„ROZKVĚT OSOBNOSTI”</t>
  </si>
  <si>
    <t>Vsetín, U Hřiště 1231, PSČ 75501</t>
  </si>
  <si>
    <t>ROZKVĚT sdružení občanů z.s.</t>
  </si>
  <si>
    <t>Bojkovice, Bezručova čtvrť 766, PSČ 68771</t>
  </si>
  <si>
    <t>Rozruch Fryšták z.s.</t>
  </si>
  <si>
    <t>Fryšták, Horní Ves, Ke Skalce 346, PSČ 76316</t>
  </si>
  <si>
    <t>ROZRUCH o.s.</t>
  </si>
  <si>
    <t>Fryšták, Horní Ves, Hornoveská 123, PSČ 76316</t>
  </si>
  <si>
    <t>Rozumění z.s.</t>
  </si>
  <si>
    <t>Otrokovice, Wolkerova 8962, PSČ 76502</t>
  </si>
  <si>
    <t>Rozvojová agentura zlínského kraje, z.s.</t>
  </si>
  <si>
    <t>Rozvojový HR klastr z. s.</t>
  </si>
  <si>
    <t>Želechovice nad Dřevnicí, Paseky 616, PSČ 76311</t>
  </si>
  <si>
    <t>Rožnov město tradic, z. s.</t>
  </si>
  <si>
    <t>Rožnov pod Radhoštěm, Masarykovo náměstí 182, PSČ 75661</t>
  </si>
  <si>
    <t>Rožnovská lesní mateřská škola z.s.</t>
  </si>
  <si>
    <t>Rožnov pod Radhoštěm, Horní Dráhy 2761, PSČ 75661</t>
  </si>
  <si>
    <t>Rožnovské občanské sdružení pro ochranu krajiny</t>
  </si>
  <si>
    <t>Rožnov pod Radhoštěm, Dolní Paseky 269, PSČ 75661</t>
  </si>
  <si>
    <t>Rožnovský tenisový klub, z.s.</t>
  </si>
  <si>
    <t>Rožnov pod Radhoštěm, Příčná 583, PSČ 75661</t>
  </si>
  <si>
    <t>RR49, z.s.</t>
  </si>
  <si>
    <t>Zlín, Sadová 149, PSČ 76001</t>
  </si>
  <si>
    <t>R.S. Progress z.s.</t>
  </si>
  <si>
    <t>Rsport.Extreme, z.s.</t>
  </si>
  <si>
    <t>Valašské Meziříčí, Fügnerova 479/9, PSČ 75701</t>
  </si>
  <si>
    <t>RUBIC, z.s.</t>
  </si>
  <si>
    <t>Otrokovice, Kvítkovice, SNP 1182, PSČ 76502</t>
  </si>
  <si>
    <t>RUDDY TRUCK TEAM</t>
  </si>
  <si>
    <t>Tupesy 278, PSČ 68707</t>
  </si>
  <si>
    <t>RUGBY CLUB UHERSKÉ HRADIŠTĚ</t>
  </si>
  <si>
    <t>Uherské Hradiště, Za Alejí 1072, PSČ 68606</t>
  </si>
  <si>
    <t>Rugby Club Zlín, z.s.</t>
  </si>
  <si>
    <t>Rumpál, spolek</t>
  </si>
  <si>
    <t>Luhačovice, Lužné 1032, PSČ 76326</t>
  </si>
  <si>
    <t>RUN, o.p.s.</t>
  </si>
  <si>
    <t>Vsetín, Sychrov 51, PSČ 75501</t>
  </si>
  <si>
    <t>Runners club Kroměříž, z.s.</t>
  </si>
  <si>
    <t>RUSAVA IN o.s.</t>
  </si>
  <si>
    <t>Rusava č. ev. 334, PSČ 76841</t>
  </si>
  <si>
    <t>RUSKÁ SYSTEMA o.s.</t>
  </si>
  <si>
    <t>Vsetín, Družstevní 1171, PSČ 75501</t>
  </si>
  <si>
    <t>Růžová veverka z.s.</t>
  </si>
  <si>
    <t>Holešov, Pivovarská 1404, PSČ 76901</t>
  </si>
  <si>
    <t>Rybáři Horní Němčí z.s.</t>
  </si>
  <si>
    <t>Horní Němčí 407, PSČ 68764</t>
  </si>
  <si>
    <t>Rybáři Kopanice, z.s.</t>
  </si>
  <si>
    <t>Rybáři u Kovárny z.s.</t>
  </si>
  <si>
    <t>Kroměříž, Drahlov 50, PSČ 76701</t>
  </si>
  <si>
    <t>Rybářské sdružení Brusné</t>
  </si>
  <si>
    <t>Rybářské sdružení Roštění z. s.</t>
  </si>
  <si>
    <t>Rybářský klub Grádo Hulín</t>
  </si>
  <si>
    <t>Hulín, nám. Míru 112, PSČ 76824</t>
  </si>
  <si>
    <t>Rybářský spolek - Hluk</t>
  </si>
  <si>
    <t>Rybářský spolek Janová</t>
  </si>
  <si>
    <t>Rybářský spolek Jestřabice z.s.</t>
  </si>
  <si>
    <t>Koryčany, Jestřabice 52, PSČ 76805</t>
  </si>
  <si>
    <t>Rybářský spolek Kateřinice z.s.</t>
  </si>
  <si>
    <t>Rybářský spolek Lechotice</t>
  </si>
  <si>
    <t>Lechotice 87, PSČ 76852</t>
  </si>
  <si>
    <t>Rybářský spolek Luh Napajedla z.s.</t>
  </si>
  <si>
    <t>Napajedla, Masarykovo náměstí 207, PSČ 76361</t>
  </si>
  <si>
    <t>Rybářský spolek Napajedla - Spytihněv</t>
  </si>
  <si>
    <t>Spytihněv 419, PSČ 76364</t>
  </si>
  <si>
    <t>Rybářský spolek Ořechov</t>
  </si>
  <si>
    <t>Ořechov 111, PSČ 68737</t>
  </si>
  <si>
    <t>Rybářský spolek Pohořelice, z.s.</t>
  </si>
  <si>
    <t>Rybářský spolek Zahnašovice</t>
  </si>
  <si>
    <t>Zahnašovice 105, PSČ 76901</t>
  </si>
  <si>
    <t>Rybářský spolek-Buchlovice</t>
  </si>
  <si>
    <t>Rybářský svaz Luhačovického Zálesí z.s.</t>
  </si>
  <si>
    <t>Pozlovice č. ev. 30, PSČ 76326</t>
  </si>
  <si>
    <t>Rybníkářství "ŠTĚRKÁČ" Topolná, z.s.</t>
  </si>
  <si>
    <t>Rymická strašidla z.s.</t>
  </si>
  <si>
    <t>"Rytmus pro život",z.s.</t>
  </si>
  <si>
    <t>RZM Racing, z.s.</t>
  </si>
  <si>
    <t>Luhačovice, Nádražní 298, PSČ 76326</t>
  </si>
  <si>
    <t>Ředitelé mateřských škol Zlínského kraje z.s.</t>
  </si>
  <si>
    <t>Zlín, Prštné, Svat. Čecha 516, PSČ 76001</t>
  </si>
  <si>
    <t>Řeholní dům Kongregace kněží Mariánů v Brumově - Bylnici</t>
  </si>
  <si>
    <t>Brumov-Bylnice, Brumov, 1. května 1018, PSČ 76331</t>
  </si>
  <si>
    <t>Římskokatolická duchovní správa Stojanov</t>
  </si>
  <si>
    <t>Velehrad, Salašská 62, PSČ 68706</t>
  </si>
  <si>
    <t>Římskokatolická duchovní správa Svatý Hostýn</t>
  </si>
  <si>
    <t>Chvalčov, Svatý Hostýn 107, PSČ 76872</t>
  </si>
  <si>
    <t>Římskokatolická farnost Babice u Uherského Hradiště</t>
  </si>
  <si>
    <t>Babice 3, PSČ 68703</t>
  </si>
  <si>
    <t>Římskokatolická farnost Bánov</t>
  </si>
  <si>
    <t>Bánov 10, PSČ 68754</t>
  </si>
  <si>
    <t>Římskokatolická farnost Bílavsko</t>
  </si>
  <si>
    <t>Bystřice pod Hostýnem, Bílavsko 5, PSČ 76861</t>
  </si>
  <si>
    <t>Římskokatolická farnost Bílovice</t>
  </si>
  <si>
    <t>Bílovice 42, PSČ 68712</t>
  </si>
  <si>
    <t>Římskokatolická farnost Blazice</t>
  </si>
  <si>
    <t>Blazice 36, PSČ 76861</t>
  </si>
  <si>
    <t>Římskokatolická farnost Bojkovice</t>
  </si>
  <si>
    <t>Bojkovice, Husova 62, PSČ 68771</t>
  </si>
  <si>
    <t>Římskokatolická farnost Boršice u Blatnice</t>
  </si>
  <si>
    <t>Boršice u Blatnice 31, PSČ 68763</t>
  </si>
  <si>
    <t>Římskokatolická farnost Boršice u Buchlovic</t>
  </si>
  <si>
    <t>Boršice 191, PSČ 68709</t>
  </si>
  <si>
    <t>Římskokatolická farnost Branky</t>
  </si>
  <si>
    <t>Branky 98, PSČ 75645</t>
  </si>
  <si>
    <t>Římskokatolická farnost Bratřejov</t>
  </si>
  <si>
    <t>Římskokatolická farnost Brumov</t>
  </si>
  <si>
    <t>Římskokatolická farnost Břest</t>
  </si>
  <si>
    <t>Břest 18, PSČ 76823</t>
  </si>
  <si>
    <t>Římskokatolická farnost Březnice u Zlína</t>
  </si>
  <si>
    <t>Březnice 14, PSČ 76001</t>
  </si>
  <si>
    <t>Římskokatolická farnost Březolupy</t>
  </si>
  <si>
    <t>Březolupy 139, PSČ 68713</t>
  </si>
  <si>
    <t>Římskokatolická farnost Březová u Uherského Brodu</t>
  </si>
  <si>
    <t>Březová 11, PSČ 68767</t>
  </si>
  <si>
    <t>Římskokatolická farnost Buchlovice</t>
  </si>
  <si>
    <t>Buchlovice, Kostelní 279, PSČ 68708</t>
  </si>
  <si>
    <t>Římskokatolická farnost Bystřice pod Hostýnem</t>
  </si>
  <si>
    <t>Římskokatolická farnost Cetechovice</t>
  </si>
  <si>
    <t>Cetechovice 9, PSČ 76802</t>
  </si>
  <si>
    <t>Římskokatolická farnost Choryně</t>
  </si>
  <si>
    <t>Choryně 55, PSČ 75642</t>
  </si>
  <si>
    <t>Římskokatolická farnost Chropyně</t>
  </si>
  <si>
    <t>Chropyně, Komenského 31, PSČ 76811</t>
  </si>
  <si>
    <t>Římskokatolická farnost Chvalnov</t>
  </si>
  <si>
    <t>Chvalnov-Lísky, Chvalnov 50, PSČ 76805</t>
  </si>
  <si>
    <t>Římskokatolická farnost Dolní Bečva</t>
  </si>
  <si>
    <t>Dolní Bečva 245, PSČ 75655</t>
  </si>
  <si>
    <t>Římskokatolická farnost Dolní Němčí</t>
  </si>
  <si>
    <t>Dolní Němčí, Kostelní 34, PSČ 68762</t>
  </si>
  <si>
    <t>Římskokatolická farnost Francova Lhota</t>
  </si>
  <si>
    <t>Francova Lhota 149, PSČ 75614</t>
  </si>
  <si>
    <t>Římskokatolická farnost Fryšták</t>
  </si>
  <si>
    <t>Fryšták, P. I. Stuchlého 25, PSČ 76316</t>
  </si>
  <si>
    <t>Římskokatolická farnost Halenkov</t>
  </si>
  <si>
    <t>Halenkov 66, PSČ 75603</t>
  </si>
  <si>
    <t>Římskokatolická farnost Halenkovice</t>
  </si>
  <si>
    <t>Halenkovice 236, PSČ 76363</t>
  </si>
  <si>
    <t>Římskokatolická farnost Hluk</t>
  </si>
  <si>
    <t>Římskokatolická farnost Holešov</t>
  </si>
  <si>
    <t>Holešov, nám. Dr. E. Beneše 40/13, PSČ 76901</t>
  </si>
  <si>
    <t>Římskokatolická farnost Horní Bečva</t>
  </si>
  <si>
    <t>Horní Bečva 1031, PSČ 75657</t>
  </si>
  <si>
    <t>Římskokatolická farnost Horní Lhota</t>
  </si>
  <si>
    <t>Horní Lhota 26, PSČ 76323</t>
  </si>
  <si>
    <t>Římskokatolická farnost Horní Němčí</t>
  </si>
  <si>
    <t>Horní Němčí 90, PSČ 68764</t>
  </si>
  <si>
    <t>Římskokatolická farnost Hošťálková</t>
  </si>
  <si>
    <t>Hošťálková 155, PSČ 75622</t>
  </si>
  <si>
    <t>Římskokatolická farnost Hoštice u Zdounek</t>
  </si>
  <si>
    <t>Hoštice 132, PSČ 76813</t>
  </si>
  <si>
    <t>Římskokatolická farnost Hovězí</t>
  </si>
  <si>
    <t>Hovězí 5, PSČ 75601</t>
  </si>
  <si>
    <t>Římskokatolická farnost Hradčovice</t>
  </si>
  <si>
    <t>Hradčovice 1, PSČ 68733</t>
  </si>
  <si>
    <t>Římskokatolická farnost Hradisko u Kroměříže</t>
  </si>
  <si>
    <t>Římskokatolická farnost Hulín</t>
  </si>
  <si>
    <t>Římskokatolická farnost Huštěnovice</t>
  </si>
  <si>
    <t>Huštěnovice 175, PSČ 68703</t>
  </si>
  <si>
    <t>Římskokatolická farnost Hutisko</t>
  </si>
  <si>
    <t>Hutisko-Solanec, Solanec pod Soláněm 443, PSČ 75662</t>
  </si>
  <si>
    <t>Římskokatolická farnost Hvozdná</t>
  </si>
  <si>
    <t>Hvozdná, Hlavní 58, PSČ 76310</t>
  </si>
  <si>
    <t>Římskokatolická farnost Jalubí</t>
  </si>
  <si>
    <t>Jalubí 140, PSČ 68705</t>
  </si>
  <si>
    <t>Římskokatolická farnost Jankovice</t>
  </si>
  <si>
    <t>Římskokatolická farnost Jasenná u Vizovic</t>
  </si>
  <si>
    <t>Jasenná 61, PSČ 76313</t>
  </si>
  <si>
    <t>Římskokatolická farnost Kašava</t>
  </si>
  <si>
    <t>Kašava 1, PSČ 76319</t>
  </si>
  <si>
    <t>Římskokatolická farnost Kelč</t>
  </si>
  <si>
    <t>Kelč 107, PSČ 75643</t>
  </si>
  <si>
    <t>Římskokatolická farnost Komňa</t>
  </si>
  <si>
    <t>Komňa 4, PSČ 68771</t>
  </si>
  <si>
    <t>Římskokatolická farnost Koryčany</t>
  </si>
  <si>
    <t>Koryčany, Náměstí 62, PSČ 76805</t>
  </si>
  <si>
    <t>Římskokatolická farnost Korytná</t>
  </si>
  <si>
    <t>Korytná 139, PSČ 68752</t>
  </si>
  <si>
    <t>Římskokatolická farnost Kostelany nad Moravou</t>
  </si>
  <si>
    <t>Kostelany nad Moravou 354, PSČ 68601</t>
  </si>
  <si>
    <t>Římskokatolická farnost Kostelec u Holešova</t>
  </si>
  <si>
    <t>Kostelec u Holešova 38, PSČ 76843</t>
  </si>
  <si>
    <t>Římskokatolická farnost Kunovice</t>
  </si>
  <si>
    <t>Kunovice, Farská 1340, PSČ 68604</t>
  </si>
  <si>
    <t>Římskokatolická farnost Kurovice</t>
  </si>
  <si>
    <t>Kurovice 50, PSČ 76852</t>
  </si>
  <si>
    <t>Římskokatolická farnost Kvasice</t>
  </si>
  <si>
    <t>Kvasice, A. Dohnala 17, PSČ 76821</t>
  </si>
  <si>
    <t>Římskokatolická farnost Kyselovice</t>
  </si>
  <si>
    <t>Kyselovice 61, PSČ 76811</t>
  </si>
  <si>
    <t>Římskokatolická farnost Lešná</t>
  </si>
  <si>
    <t>Lešná 37, PSČ 75641</t>
  </si>
  <si>
    <t>Římskokatolická farnost Lhota u Malenovic</t>
  </si>
  <si>
    <t>Lhota 36, PSČ 76302</t>
  </si>
  <si>
    <t>Římskokatolická farnost Lidečko</t>
  </si>
  <si>
    <t>Lidečko 37, PSČ 75612</t>
  </si>
  <si>
    <t>Římskokatolická farnost Liptál</t>
  </si>
  <si>
    <t>Liptál 170, PSČ 75631</t>
  </si>
  <si>
    <t>Římskokatolická farnost Litenčice</t>
  </si>
  <si>
    <t>Litenčice 71, PSČ 76813</t>
  </si>
  <si>
    <t>Římskokatolická farnost Loučka u Valašského Meziříčí</t>
  </si>
  <si>
    <t>Loučka 39, PSČ 75644</t>
  </si>
  <si>
    <t>Římskokatolická farnost Loukov</t>
  </si>
  <si>
    <t>Loukov 41, PSČ 76875</t>
  </si>
  <si>
    <t>Římskokatolická farnost Ludslavice</t>
  </si>
  <si>
    <t>Ludslavice 157, PSČ 76852</t>
  </si>
  <si>
    <t>Římskokatolická farnost Luhačovice</t>
  </si>
  <si>
    <t>Luhačovice, Pod Kamennou 1000, PSČ 76326</t>
  </si>
  <si>
    <t>Římskokatolická farnost Lukov</t>
  </si>
  <si>
    <t>Lukov, Pod Kaštany 79, PSČ 76317</t>
  </si>
  <si>
    <t>Římskokatolická farnost Morkovice</t>
  </si>
  <si>
    <t>Římskokatolická farnost Mysločovice</t>
  </si>
  <si>
    <t>Mysločovice 10, PSČ 76301</t>
  </si>
  <si>
    <t>Římskokatolická farnost Napajedla</t>
  </si>
  <si>
    <t>Napajedla, Masarykovo náměstí 213, PSČ 76361</t>
  </si>
  <si>
    <t>Římskokatolická farnost Nedakonice</t>
  </si>
  <si>
    <t>Nedakonice 307, PSČ 68738</t>
  </si>
  <si>
    <t>Římskokatolická farnost Nedašov</t>
  </si>
  <si>
    <t>Nedašov 72, PSČ 76332</t>
  </si>
  <si>
    <t>Římskokatolická farnost Nezdenice</t>
  </si>
  <si>
    <t>Nezdenice 1, PSČ 68732</t>
  </si>
  <si>
    <t>Římskokatolická farnost Nivnice</t>
  </si>
  <si>
    <t>Nivnice, náměstí Míru 178, PSČ 68751</t>
  </si>
  <si>
    <t>Římskokatolická farnost Nový Hrozenkov</t>
  </si>
  <si>
    <t>Nový Hrozenkov 460, PSČ 75604</t>
  </si>
  <si>
    <t>Římskokatolická farnost Ostrožská Lhota</t>
  </si>
  <si>
    <t>Ostrožská Lhota 64, PSČ 68723</t>
  </si>
  <si>
    <t>Římskokatolická farnost Ostrožská Nová Ves</t>
  </si>
  <si>
    <t>Ostrožská Nová Ves, Dědina 152, PSČ 68722</t>
  </si>
  <si>
    <t>Římskokatolická farnost Osvětimany</t>
  </si>
  <si>
    <t>Osvětimany 54, PSČ 68742</t>
  </si>
  <si>
    <t>Římskokatolická farnost Otrokovice</t>
  </si>
  <si>
    <t>Římskokatolická farnost Pačlavice</t>
  </si>
  <si>
    <t>Pačlavice 21, PSČ 76834</t>
  </si>
  <si>
    <t>Římskokatolická farnost Panny Marie Kroměříž</t>
  </si>
  <si>
    <t>Kroměříž, Riegrovo náměstí 165/3, PSČ 76701</t>
  </si>
  <si>
    <t>Římskokatolická farnost Panny Marie Pomocnice křesťanů Zlín</t>
  </si>
  <si>
    <t>Římskokatolická farnost Pitín</t>
  </si>
  <si>
    <t>Pitín 113, PSČ 68771</t>
  </si>
  <si>
    <t>Římskokatolická farnost Počenice</t>
  </si>
  <si>
    <t>Počenice-Tetětice, Počenice 94, PSČ 76833</t>
  </si>
  <si>
    <t>Římskokatolická farnost Pohořelice</t>
  </si>
  <si>
    <t>Pohořelice, Farská 18, PSČ 76361</t>
  </si>
  <si>
    <t>Římskokatolická farnost Polešovice</t>
  </si>
  <si>
    <t>Polešovice 228, PSČ 68737</t>
  </si>
  <si>
    <t>Římskokatolická farnost Popovice u Uherského Hradiště</t>
  </si>
  <si>
    <t>Popovice 186, PSČ 68604</t>
  </si>
  <si>
    <t>Římskokatolická farnost Pozděchov</t>
  </si>
  <si>
    <t>Pozděchov 72, PSČ 75611</t>
  </si>
  <si>
    <t>Římskokatolická farnost Pozlovice</t>
  </si>
  <si>
    <t>Pozlovice, Hlavní 39, PSČ 76326</t>
  </si>
  <si>
    <t>Římskokatolická farnost Prakšice</t>
  </si>
  <si>
    <t>Prakšice 184, PSČ 68756</t>
  </si>
  <si>
    <t>Římskokatolická farnost Prasklice</t>
  </si>
  <si>
    <t>Prasklice 105, PSČ 76833</t>
  </si>
  <si>
    <t>Římskokatolická farnost Pravčice</t>
  </si>
  <si>
    <t>Pravčice 5, PSČ 76824</t>
  </si>
  <si>
    <t>Římskokatolická farnost Provodov</t>
  </si>
  <si>
    <t>Provodov 200, PSČ 76345</t>
  </si>
  <si>
    <t>Římskokatolická farnost Prusinovice</t>
  </si>
  <si>
    <t>Prusinovice, Zámčisko 30, PSČ 76842</t>
  </si>
  <si>
    <t>Římskokatolická farnost Pržno</t>
  </si>
  <si>
    <t>Pržno 52, PSČ 75623</t>
  </si>
  <si>
    <t>Římskokatolická farnost Rajnochovice</t>
  </si>
  <si>
    <t>Rajnochovice 12, PSČ 76871</t>
  </si>
  <si>
    <t>Římskokatolická farnost Rataje u Kroměříže</t>
  </si>
  <si>
    <t>Rataje 30, PSČ 76812</t>
  </si>
  <si>
    <t>Římskokatolická farnost Roštín</t>
  </si>
  <si>
    <t>Roštín 27, PSČ 76803</t>
  </si>
  <si>
    <t>Římskokatolická farnost Rožnov pod Radhoštěm</t>
  </si>
  <si>
    <t>Rožnov pod Radhoštěm, Pivovarská 31, PSČ 75661</t>
  </si>
  <si>
    <t>Římskokatolická farnost Rudice</t>
  </si>
  <si>
    <t>Rudice 49, PSČ 68732</t>
  </si>
  <si>
    <t>Římskokatolická farnost Rusava</t>
  </si>
  <si>
    <t>Rusava 54, PSČ 76841</t>
  </si>
  <si>
    <t>Římskokatolická farnost Růžďka</t>
  </si>
  <si>
    <t>Růžďka 195, PSČ 75625</t>
  </si>
  <si>
    <t>Římskokatolická farnost Rymice</t>
  </si>
  <si>
    <t>Rymice 55, PSČ 76901</t>
  </si>
  <si>
    <t>Římskokatolická farnost Slavičín</t>
  </si>
  <si>
    <t>Slavičín, Komenského 4, PSČ 76321</t>
  </si>
  <si>
    <t>Římskokatolická farnost Slušovice</t>
  </si>
  <si>
    <t>Římskokatolická farnost Spytihněv</t>
  </si>
  <si>
    <t>Spytihněv 1, PSČ 76364</t>
  </si>
  <si>
    <t>Římskokatolická farnost Staré Město u Uherského Hradiště</t>
  </si>
  <si>
    <t>Staré Město, náměstí Hrdinů 8, PSČ 68603</t>
  </si>
  <si>
    <t>Římskokatolická farnost Starý Hrozenkov</t>
  </si>
  <si>
    <t>Starý Hrozenkov 79, PSČ 68774</t>
  </si>
  <si>
    <t>Římskokatolická farnost Strání</t>
  </si>
  <si>
    <t>Strání, nám. P. St. Spáčila 1110, PSČ 68765</t>
  </si>
  <si>
    <t>Římskokatolická farnost Stříbrnice</t>
  </si>
  <si>
    <t>Stříbrnice 39, PSČ 68709</t>
  </si>
  <si>
    <t>Římskokatolická farnost Střílky</t>
  </si>
  <si>
    <t>Střílky, Koryčanská 60, PSČ 76804</t>
  </si>
  <si>
    <t>Římskokatolická farnost svatého Filipa a Jakuba Zlín</t>
  </si>
  <si>
    <t>Římskokatolická farnost svatého Mořice Kroměříž</t>
  </si>
  <si>
    <t>Římskokatolická farnost Štípa</t>
  </si>
  <si>
    <t>Zlín, Štípa, Mariánské náměstí 57, PSČ 76314</t>
  </si>
  <si>
    <t>Římskokatolická farnost Štítná nad Vláří</t>
  </si>
  <si>
    <t>Štítná nad Vláří-Popov, Štítná nad Vláří 123, PSČ 76333</t>
  </si>
  <si>
    <t>Římskokatolická farnost Šumice</t>
  </si>
  <si>
    <t>Šumice 29, PSČ 68731</t>
  </si>
  <si>
    <t>Římskokatolická farnost Těšnovice</t>
  </si>
  <si>
    <t>Kroměříž, Těšnovice 5, PSČ 76701</t>
  </si>
  <si>
    <t>Římskokatolická farnost Tlumačov</t>
  </si>
  <si>
    <t>Tlumačov, Masarykova 62, PSČ 76362</t>
  </si>
  <si>
    <t>Římskokatolická farnost Trnava u Zlína</t>
  </si>
  <si>
    <t>Trnava 22, PSČ 76318</t>
  </si>
  <si>
    <t>Římskokatolická farnost Třebětice u Holešova</t>
  </si>
  <si>
    <t>Třebětice 24, PSČ 76901</t>
  </si>
  <si>
    <t>Římskokatolická farnost Uherské Hradiště</t>
  </si>
  <si>
    <t>Římskokatolická farnost Uherské Hradiště - Sady</t>
  </si>
  <si>
    <t>Uherské Hradiště, Sady, Solná cesta 41, PSČ 68601</t>
  </si>
  <si>
    <t>Římskokatolická farnost Uherský Brod</t>
  </si>
  <si>
    <t>Římskokatolická farnost Uherský Brod - Újezdec</t>
  </si>
  <si>
    <t>Uherský Brod, Újezdec, Poštovní 218, PSČ 68734</t>
  </si>
  <si>
    <t>Římskokatolická farnost Uherský Ostroh</t>
  </si>
  <si>
    <t>Uherský Ostroh, nám. sv. Ondřeje 36, PSČ 68724</t>
  </si>
  <si>
    <t>Římskokatolická farnost Újezd u Valašských Klobouk</t>
  </si>
  <si>
    <t>Římskokatolická farnost Valašská Bystřice</t>
  </si>
  <si>
    <t>Valašská Bystřice 182, PSČ 75627</t>
  </si>
  <si>
    <t>Římskokatolická farnost Valašská Polanka</t>
  </si>
  <si>
    <t>Valašská Polanka 82, PSČ 75611</t>
  </si>
  <si>
    <t>Římskokatolická farnost Valašské Klobouky</t>
  </si>
  <si>
    <t>Valašské Klobouky, Smetanova 113, PSČ 76601</t>
  </si>
  <si>
    <t>Římskokatolická farnost Valašské Meziříčí</t>
  </si>
  <si>
    <t>Římskokatolická farnost Velehrad</t>
  </si>
  <si>
    <t>Velehrad, Nádvoří 206, PSČ 68706</t>
  </si>
  <si>
    <t>Římskokatolická farnost Velké Karlovice</t>
  </si>
  <si>
    <t>Velké Karlovice 274, PSČ 75606</t>
  </si>
  <si>
    <t>Římskokatolická farnost Velký Ořechov</t>
  </si>
  <si>
    <t>Velký Ořechov 9, PSČ 76307</t>
  </si>
  <si>
    <t>Římskokatolická farnost Veselá u Valašského Meziříčí</t>
  </si>
  <si>
    <t>Zašová, Veselá 28, PSČ 75651</t>
  </si>
  <si>
    <t>Římskokatolická farnost Vidče</t>
  </si>
  <si>
    <t>Vidče 422, PSČ 75653</t>
  </si>
  <si>
    <t>Římskokatolická farnost Vítonice</t>
  </si>
  <si>
    <t>Vítonice 108, PSČ 76861</t>
  </si>
  <si>
    <t>Římskokatolická farnost Vizovice</t>
  </si>
  <si>
    <t>Římskokatolická farnost Vlachovice</t>
  </si>
  <si>
    <t>Vlachovice 66, PSČ 76324</t>
  </si>
  <si>
    <t>Římskokatolická farnost Vlčnov</t>
  </si>
  <si>
    <t>Vlčnov 118, PSČ 68761</t>
  </si>
  <si>
    <t>Římskokatolická farnost Vsetín</t>
  </si>
  <si>
    <t>Římskokatolická farnost Všemina</t>
  </si>
  <si>
    <t>Všemina 81, PSČ 76315</t>
  </si>
  <si>
    <t>Římskokatolická farnost Záhlinice</t>
  </si>
  <si>
    <t>Hulín, Záhlinice 140, PSČ 76824</t>
  </si>
  <si>
    <t>Římskokatolická farnost Zašová</t>
  </si>
  <si>
    <t>Římskokatolická farnost Zborovice</t>
  </si>
  <si>
    <t>Zborovice, Hlavní 11, PSČ 76832</t>
  </si>
  <si>
    <t>Římskokatolická farnost Zděchov</t>
  </si>
  <si>
    <t>Zděchov 104, PSČ 75607</t>
  </si>
  <si>
    <t>Římskokatolická farnost Zdounky</t>
  </si>
  <si>
    <t>Zdounky 36, PSČ 76802</t>
  </si>
  <si>
    <t>Římskokatolická farnost Zlámanka</t>
  </si>
  <si>
    <t>Kroměříž, Zlámanka 11, PSČ 76701</t>
  </si>
  <si>
    <t>Římskokatolická farnost Zlechov</t>
  </si>
  <si>
    <t>Zlechov 120, PSČ 68710</t>
  </si>
  <si>
    <t>Římskokatolická farnost Zlín - Malenovice</t>
  </si>
  <si>
    <t>Zlín, Malenovice, Jarolímkovo náměstí 156, PSČ 76302</t>
  </si>
  <si>
    <t>Římskokatolická farnost Zlobice</t>
  </si>
  <si>
    <t>Zlobice 80, PSČ 76831</t>
  </si>
  <si>
    <t>Římskokatolická farnost Zubří</t>
  </si>
  <si>
    <t>Zubří, ThDr. Metoděje Mičoly 59, PSČ 75654</t>
  </si>
  <si>
    <t>Římskokatolická farnost Žalkovice</t>
  </si>
  <si>
    <t>Žalkovice 102, PSČ 76823</t>
  </si>
  <si>
    <t>Římskokatolická farnost Želechovice nad Dřevnicí</t>
  </si>
  <si>
    <t>Želechovice nad Dřevnicí, 4. května 66, PSČ 76311</t>
  </si>
  <si>
    <t>Římskokatolická farnost Žeranovice</t>
  </si>
  <si>
    <t>Žeranovice 36, PSČ 76901</t>
  </si>
  <si>
    <t>Římskokatolická kaple Panny Marie Růžencové v Traplicích, z. s.</t>
  </si>
  <si>
    <t>Traplice 321, PSČ 68704</t>
  </si>
  <si>
    <t>Říše loutek Kroměříž, z.s.</t>
  </si>
  <si>
    <t>Kroměříž, Pod Barbořinou 3234/28, PSČ 76701</t>
  </si>
  <si>
    <t>S Láskou z.s.</t>
  </si>
  <si>
    <t>Zlín, Malenovice, Milíčova 712, PSČ 76302</t>
  </si>
  <si>
    <t>S Terezkou ekologicky z.s.</t>
  </si>
  <si>
    <t>Sad Podhoří</t>
  </si>
  <si>
    <t>Zlín, Prštné, Jiráskova 313, PSČ 76001</t>
  </si>
  <si>
    <t>SADGYM spolek</t>
  </si>
  <si>
    <t>Zlín, Malenovice, Masarykova 1013, PSČ 76302</t>
  </si>
  <si>
    <t>SAES</t>
  </si>
  <si>
    <t>S.A.K o.s. zájmové sdružení</t>
  </si>
  <si>
    <t>Kroměříž, Kaplanova 2836/2A, PSČ 76701</t>
  </si>
  <si>
    <t>SAK, z.s.</t>
  </si>
  <si>
    <t>Kroměříž, Spáčilova 3575/60, PSČ 76701</t>
  </si>
  <si>
    <t>SAKUMPIKUM z.s.</t>
  </si>
  <si>
    <t>Prostřední Bečva 272, PSČ 75656</t>
  </si>
  <si>
    <t>Salamandr, Kroměříž</t>
  </si>
  <si>
    <t>Čechova 692, Hulín</t>
  </si>
  <si>
    <t>Salaš PT z. s.</t>
  </si>
  <si>
    <t>Salaš 171, PSČ 68706</t>
  </si>
  <si>
    <t>Salašský Spolek Přátel Slivovice</t>
  </si>
  <si>
    <t>Salaš 112, PSČ 68706</t>
  </si>
  <si>
    <t>Salesiánské sdružení Vsetín z. s.</t>
  </si>
  <si>
    <t>Vsetín, Rybníky 1628</t>
  </si>
  <si>
    <t>Salesiánský klub mládeže, z. s. Dům Ignáce Stuchlého</t>
  </si>
  <si>
    <t>Fryšták, P. I. Stuchlého 26, PSČ 76316</t>
  </si>
  <si>
    <t>Salesiánský klub mládeže, z. s. Zlín</t>
  </si>
  <si>
    <t>Sálový fotbal Zlín, z. s.</t>
  </si>
  <si>
    <t>Otrokovice, Dr. E. Beneše 286, PSČ 76502</t>
  </si>
  <si>
    <t>SAM Napajedla</t>
  </si>
  <si>
    <t>Napajedla, Nábřeží 1350, PSČ 76361</t>
  </si>
  <si>
    <t>Samari, z. s.</t>
  </si>
  <si>
    <t>Zlín, Družstevní 4237, PSČ 76005</t>
  </si>
  <si>
    <t>"Sametové tlapky,z.s."</t>
  </si>
  <si>
    <t>Ostrožská Nová Ves, Chylice, Chříb 200, PSČ 68722</t>
  </si>
  <si>
    <t>Samosato, z. s.</t>
  </si>
  <si>
    <t>Štítná nad Vláří-Popov, Popov 24, PSČ 76333</t>
  </si>
  <si>
    <t>SAMSON Zlín</t>
  </si>
  <si>
    <t>Zlín, Louky, K Cihelně 304, PSČ 76302</t>
  </si>
  <si>
    <t>Sanity o.s.</t>
  </si>
  <si>
    <t>Zlín, Malenovice, třída 3. května 159, PSČ 76302</t>
  </si>
  <si>
    <t>Sansa plus</t>
  </si>
  <si>
    <t>Otrokovice, Kvítkovice, SNP 1173, PSČ 76502</t>
  </si>
  <si>
    <t>SÁRA z.s.</t>
  </si>
  <si>
    <t>Liptál 418, PSČ 75631</t>
  </si>
  <si>
    <t>Sarkander, pobočný spolek ARCHA</t>
  </si>
  <si>
    <t>č.p. 196, 768 71  Rajnochovice</t>
  </si>
  <si>
    <t>"SARS - Spolek Aktivních Rekreačních Sportovců, z. s. "</t>
  </si>
  <si>
    <t>Kroměříž, Malý val 1540/47, PSČ 76701</t>
  </si>
  <si>
    <t>SAVIO z.s.</t>
  </si>
  <si>
    <t>Zlín, Příluky, Boněcko I 279, PSČ 76001</t>
  </si>
  <si>
    <t>SB LBRC z.s.</t>
  </si>
  <si>
    <t>Holešov, Plačkov 602/51, PSČ 76901</t>
  </si>
  <si>
    <t>SBK Otrokovice z. s.</t>
  </si>
  <si>
    <t>Zlín, Potoky 552, PSČ 76001</t>
  </si>
  <si>
    <t>Sbor Bratrské jednoty baptistů v Brně - neslyšících</t>
  </si>
  <si>
    <t>Valašské Meziříčí, Podlesí 181, PSČ 75701</t>
  </si>
  <si>
    <t>Sbor Bratrské jednoty baptistů v Uherském Hradišti</t>
  </si>
  <si>
    <t>Uherské Hradiště, Štěpnická 1188, PSČ 68606</t>
  </si>
  <si>
    <t>Sbor Bratrské jednoty baptistů ve Vsetíně</t>
  </si>
  <si>
    <t>Vsetín, Rokytnice, Rokytnice 273, PSČ 75501</t>
  </si>
  <si>
    <t>Sbor Bratrské jednoty baptistů ve Zlíně</t>
  </si>
  <si>
    <t>Zlín, Hluboká 1343, PSČ 76001</t>
  </si>
  <si>
    <t>Sbor Církve adventistů sedmého dne Holešov</t>
  </si>
  <si>
    <t>Zlín, Louky, K Cihelně 203, PSČ 76302</t>
  </si>
  <si>
    <t>Sbor Církve adventistů sedmého dne Kateřinice</t>
  </si>
  <si>
    <t>Kateřinice 282, PSČ 75621</t>
  </si>
  <si>
    <t>Sbor Církve adventistů sedmého dne Uherské Hradiště</t>
  </si>
  <si>
    <t>Uherské Hradiště, Žerotínova 269, PSČ 68601</t>
  </si>
  <si>
    <t>Sbor Církve adventistů sedmého dne Uherský Brod</t>
  </si>
  <si>
    <t>Uherský Brod, Nerudova 182, PSČ 68801</t>
  </si>
  <si>
    <t>Sbor Církve adventistů sedmého dne Valašské Klobouky</t>
  </si>
  <si>
    <t>Valašské Klobouky, Kramolišova 1108, PSČ 76601</t>
  </si>
  <si>
    <t>Sbor Církve adventistů sedmého dne Valašské Meziříčí</t>
  </si>
  <si>
    <t>Valašské Meziříčí, Krásno nad Bečvou, Hřbitovní 366/1, PSČ 75701</t>
  </si>
  <si>
    <t>Sbor Církve adventistů sedmého dne Vsetín</t>
  </si>
  <si>
    <t>Vsetín, Palackého 152, PSČ 75501</t>
  </si>
  <si>
    <t>Sbor Církve adventistů sedmého dne Zlín</t>
  </si>
  <si>
    <t>Zlín, Malenovice, Tyršova 1151, PSČ 76302</t>
  </si>
  <si>
    <t>Sbor Církve bratrské ve Velké Lhotě</t>
  </si>
  <si>
    <t>Velká Lhota 102, PSČ 75627</t>
  </si>
  <si>
    <t>Sbor Církve bratrské ve Vsetíně</t>
  </si>
  <si>
    <t>Vsetín, Horní Jasenka 102, PSČ 75501</t>
  </si>
  <si>
    <t>Sbor Církve bratrské ve Vsetíně - Maják</t>
  </si>
  <si>
    <t>Vsetín, Havlíčkova 1627, PSČ 75501</t>
  </si>
  <si>
    <t>Sbor Církve bratrské ve Zlíně</t>
  </si>
  <si>
    <t>Zlín, Okružní 4551, PSČ 76005</t>
  </si>
  <si>
    <t>Sbor dobrovolných hasičů</t>
  </si>
  <si>
    <t>Koryčany, Jestřabice 5, PSČ 76805</t>
  </si>
  <si>
    <t>SBOR DOBROVOLNÝCH HASIČŮ</t>
  </si>
  <si>
    <t>Koryčany, Tyršova 784, PSČ 76805</t>
  </si>
  <si>
    <t>Sbor dobrovolných hasičů Bánov</t>
  </si>
  <si>
    <t>Bánov,</t>
  </si>
  <si>
    <t>Sbor dobrovolných hasičů Hluk</t>
  </si>
  <si>
    <t>Hluk, Hřbitovní 880</t>
  </si>
  <si>
    <t>Sbor dobrovolných hasičů Huštěnovice</t>
  </si>
  <si>
    <t>Huštěnovice 52, PSČ 68703</t>
  </si>
  <si>
    <t>Sbor dobrovolných hasičů Lázy</t>
  </si>
  <si>
    <t>Loučka, Lázy 7, PSČ 75644</t>
  </si>
  <si>
    <t>Sbor dobrovolných hasičů města Karolinka, z.s.</t>
  </si>
  <si>
    <t>Karolinka, Vsetínská 60, PSČ 75605</t>
  </si>
  <si>
    <t>SBOR DOBROVOLNÝCH HASIČŮ PILANA HULÍN</t>
  </si>
  <si>
    <t>Hulín, Vrchlického 300, PSČ 76824</t>
  </si>
  <si>
    <t>Sbor dobrovolných hasičů Včelary</t>
  </si>
  <si>
    <t>Bílovice, Včelary 437, PSČ 68712</t>
  </si>
  <si>
    <t>Sbor dobrovolných otců, z. s.</t>
  </si>
  <si>
    <t>Stříbrnice 274, PSČ 68709</t>
  </si>
  <si>
    <t>Sbor Jednoty bratrské v Holešově</t>
  </si>
  <si>
    <t>Sbor Křesťanské společenství Zlín</t>
  </si>
  <si>
    <t>Zlín, Příluky, Boněcko I 275, PSČ 76001</t>
  </si>
  <si>
    <t>Sbor uniformovaných ostrostřelců v Kroměříži</t>
  </si>
  <si>
    <t>Kroměříž, Na Lindovce 2457/11, PSČ 76701</t>
  </si>
  <si>
    <t>SBTS Kunovice p.s.</t>
  </si>
  <si>
    <t>Kunovice, Novoveská 1160, PSČ 68604</t>
  </si>
  <si>
    <t>SC Melton Otrokovice</t>
  </si>
  <si>
    <t>Otrokovice, tř. Spojenců 957, PSČ 76502</t>
  </si>
  <si>
    <t>Schola Venefica - škola trvale udržitelného způsobu života</t>
  </si>
  <si>
    <t>Babice u Uh. Hradiště, Kudlovice 191</t>
  </si>
  <si>
    <t>Scholar,o.p.s.</t>
  </si>
  <si>
    <t>Scruffy rallye team o. s.</t>
  </si>
  <si>
    <t>Chvalčov, Pod Matůškem 625, PSČ 76872</t>
  </si>
  <si>
    <t>SCT Uherské Hradiště</t>
  </si>
  <si>
    <t>SDO Brontosauři - Brusné</t>
  </si>
  <si>
    <t>Brusné 69, PSČ 76861</t>
  </si>
  <si>
    <t>Sdružení absolventů a přátel SLŠ Valašské Meziříčí</t>
  </si>
  <si>
    <t>Sdružení AGRO „B”</t>
  </si>
  <si>
    <t>Sdružení akcionářů Centroprojektu Zlín</t>
  </si>
  <si>
    <t>Sdružení akcionářů České Zbrojovky a.s.Uherský Brod</t>
  </si>
  <si>
    <t>Sdružení akcionářů Lesní společnosti Brumov</t>
  </si>
  <si>
    <t>Brumov - Bylnice 860</t>
  </si>
  <si>
    <t>Sdružení akcionářů Lesní společnosti Buchlovice a.s.</t>
  </si>
  <si>
    <t>Buchovice 289</t>
  </si>
  <si>
    <t>Sdružení akcionářů SAS Uherské Hradiště a.s.</t>
  </si>
  <si>
    <t>Sdružení akcionářů Slováckých strojíren</t>
  </si>
  <si>
    <t>Sdružení akcionářů Stavomontáže Zlín a.s.</t>
  </si>
  <si>
    <t>Zlín, Třída Tomáše Bati 884, PSČ 760 01</t>
  </si>
  <si>
    <t>Sdružení akcionářů Tomy a.s. Otrokovice</t>
  </si>
  <si>
    <t>Otrokovice, tř. Tomáše Bati č. ev. 64, PSČ 76502</t>
  </si>
  <si>
    <t>Sdružení akcionářů Zbrojovky Vsetín</t>
  </si>
  <si>
    <t>Zlín, nám. T. G. Masaryka 2700, PSČ 76001</t>
  </si>
  <si>
    <t>Sdružení Březinka</t>
  </si>
  <si>
    <t>Zlín, Dolní Paseky 5143, PSČ 76001</t>
  </si>
  <si>
    <t>Sdružení chovatelů koní Zlínského kraje, o.s.</t>
  </si>
  <si>
    <t>Velké Karlovice 232, PSČ 75606</t>
  </si>
  <si>
    <t>Sdružení českých zkušeben a laboratoří, z. s.</t>
  </si>
  <si>
    <t>Zlín, Louky, třída Tomáše Bati 299, PSČ 76302</t>
  </si>
  <si>
    <t>Sdružení dechového orchestru mladých Zlín, z. s. (SDOM Zlín, z. s.)</t>
  </si>
  <si>
    <t>Sdružení dopravců dřevní hmoty ČR, o.s.</t>
  </si>
  <si>
    <t>Valašské Klobouky, Luční 913, PSČ 76601</t>
  </si>
  <si>
    <t>Sdružení Evropské Mládeže ČR</t>
  </si>
  <si>
    <t>Sdružení házenkářských klubů SHK Kunovice, z.s.</t>
  </si>
  <si>
    <t>Sdružení HC HOLAJKA Holešov</t>
  </si>
  <si>
    <t>Střelnice 203, Holešov</t>
  </si>
  <si>
    <t>Sdružení hokejbal-Vsetín</t>
  </si>
  <si>
    <t>Sdružení Jana Šrámka - SJŠ</t>
  </si>
  <si>
    <t>Uherský Brod, Moravská 78, PSČ 68801</t>
  </si>
  <si>
    <t>SDRUŽENÍ JANOVSKÝCH RODIČŮ</t>
  </si>
  <si>
    <t>Janová 67, PSČ 75501</t>
  </si>
  <si>
    <t>Sdružení Jóga v denním životě Střílky</t>
  </si>
  <si>
    <t>Sdružení Kaštánek</t>
  </si>
  <si>
    <t>Pod kaštany 32, Zlín</t>
  </si>
  <si>
    <t>Sdružení lépe</t>
  </si>
  <si>
    <t>Újezd u Valašských Klobouk 33</t>
  </si>
  <si>
    <t>sdružení LOOP, z.s.</t>
  </si>
  <si>
    <t>Uherské Hradiště, Mojmírova 343, PSČ 68601</t>
  </si>
  <si>
    <t>Sdružení majitelů domu 3641 Zlín-Obeciny</t>
  </si>
  <si>
    <t>Zlín-Obeciny</t>
  </si>
  <si>
    <t>Sdružení majitelů pozemků osad NAPAJEDLA - Svatojánky, z.s.</t>
  </si>
  <si>
    <t>Napajedla č. ev. 334, PSČ 76361</t>
  </si>
  <si>
    <t>Sdružení malých bytových družstev a společenství vlastníků Zlínského kraje</t>
  </si>
  <si>
    <t>Zlín, Bratří Jaroňků 4079, PSČ 76001</t>
  </si>
  <si>
    <t>Sdružení místních samospráv České republiky, z. s.</t>
  </si>
  <si>
    <t>Veřejná správa a hospodářská a sociální politika</t>
  </si>
  <si>
    <t>Sdružení mladých valašských sportovců</t>
  </si>
  <si>
    <t>Rožnov pod Radhoštěm, Chodská 670, PSČ 75661</t>
  </si>
  <si>
    <t>"Sdružení modelářských klubů o.s."</t>
  </si>
  <si>
    <t>Slavičín, Divnice 123, Army park</t>
  </si>
  <si>
    <t>Sdružení Moravskoslezského coursingu</t>
  </si>
  <si>
    <t>Míškovice 185, PSČ 76852</t>
  </si>
  <si>
    <t>Sdružení moravských Romů ČR - NEVODROM</t>
  </si>
  <si>
    <t>Sdružení myslivců Hubert Bystřice pod Lopeníkem</t>
  </si>
  <si>
    <t>Bystřice pod Lopeníkem 294, PSČ 68755</t>
  </si>
  <si>
    <t>Sdružení nájemců v domě 1193 ul. Družba, Hulín</t>
  </si>
  <si>
    <t>Hulín, Družba 1193, PSČ 768 24</t>
  </si>
  <si>
    <t>Sdružení Nové Kvítkovice</t>
  </si>
  <si>
    <t>Otrokovice, Kvítkovice, Nivy 1472, PSČ 76502</t>
  </si>
  <si>
    <t>Litenčice 97, PSČ 76813</t>
  </si>
  <si>
    <t>Sdružení občanů obce Žlutavy 1999</t>
  </si>
  <si>
    <t>Sdružení občanů POMNĚNKA</t>
  </si>
  <si>
    <t>Bílovice, Včelary 328, PSČ 68712</t>
  </si>
  <si>
    <t>Sdružení občanů postižených povodní v obci Plešovec a okrajové části</t>
  </si>
  <si>
    <t>Kroměříž, Chropyňská 1737</t>
  </si>
  <si>
    <t>Sdružení občanů pro ekologické a efektivní řešení dopravní situace Zlín-Malenovice</t>
  </si>
  <si>
    <t>Zlín, Malenovice, třída 3. května 808, PSČ 76302</t>
  </si>
  <si>
    <t>Sdružení občanů pro Lípu rovnější</t>
  </si>
  <si>
    <t>Lípa 107, PSČ 76311</t>
  </si>
  <si>
    <t>Sdružení občanů pro vládní variantu trasy komunikace R55</t>
  </si>
  <si>
    <t>Sdružení občanů pro výstavbu kaple v Doubravách</t>
  </si>
  <si>
    <t>Sdružení občanů Sadů - S.O.S.</t>
  </si>
  <si>
    <t>Uherské Hradiště, Sady, Solná cesta 228, PSČ 68601</t>
  </si>
  <si>
    <t>Sdružení ochránců přírody Vlčnov z.s.</t>
  </si>
  <si>
    <t>Vlčnov 831, PSČ 68761</t>
  </si>
  <si>
    <t>Sdružení pacientů s metabolickými onemocněními kostní tkáně při Osteologické akademii Zlín</t>
  </si>
  <si>
    <t>Sdružení pěstounských rodin</t>
  </si>
  <si>
    <t>Vsetín, Družstevní 1569, PSČ 75501</t>
  </si>
  <si>
    <t>Sdružení plážového volejbalu</t>
  </si>
  <si>
    <t>Dolní Bečva 526, PSČ 75655</t>
  </si>
  <si>
    <t>"Sdružení podnikatelů města Fryšták"</t>
  </si>
  <si>
    <t>Fryšták, Zlínská 313, PSČ 76316</t>
  </si>
  <si>
    <t>Sdružení podnikatelů se sídlem ve Valašském Meziříčí</t>
  </si>
  <si>
    <t>Valašské Meziříčí, Hřbitovní 33, PSČ 757 01</t>
  </si>
  <si>
    <t>Sdružení pozemkových podílníků se sídlem v Nezdenicích</t>
  </si>
  <si>
    <t>Nezdenice 30, PSČ 68732</t>
  </si>
  <si>
    <t>Sdružení pro aktivní rozvoj, z.s.</t>
  </si>
  <si>
    <t>Kunovice, V Lánech 1693, PSČ 68604</t>
  </si>
  <si>
    <t>Sdružení pro integraci zdravotně postižených ve Zlíně</t>
  </si>
  <si>
    <t>Zlín, tř. T. Bati 299, SPEKTRUM PLUS o.p.s.</t>
  </si>
  <si>
    <t>Sdružení pro pořádání houslových kurzů Kroměříž</t>
  </si>
  <si>
    <t>Kroměříž, Rumunská 4047/14, PSČ 76701</t>
  </si>
  <si>
    <t>Sdružení pro rozvoj a podporu školství z.s.</t>
  </si>
  <si>
    <t>Brumov-Bylnice, Brumov, Družba 1178, PSČ 76331</t>
  </si>
  <si>
    <t>Sdružení pro rozvoj Soláně, z.s.</t>
  </si>
  <si>
    <t>Karolinka, Bzové 325, IC Zvonice Soláň</t>
  </si>
  <si>
    <t>Sdružení pro rozvoj Zlínského kraje z.s.</t>
  </si>
  <si>
    <t>Sdružení pro veslování</t>
  </si>
  <si>
    <t>Uherské Hradiště, Dukelských hrdinů 515, PSČ 68601</t>
  </si>
  <si>
    <t>Sdružení pro výstavbu a užívání vodovodu Prostřední Bečva - Bacov, z.s.</t>
  </si>
  <si>
    <t>Prostřední Bečva č. ev. 132, PSČ 75656</t>
  </si>
  <si>
    <t>Sdružení pro zachování tradic řeznického řemesla na Valašsku</t>
  </si>
  <si>
    <t>Valašské Meziříčí, Krásno nad Bečvou, Hranická 430/34, PSČ 75701</t>
  </si>
  <si>
    <t>Sdružení pro životní prostředí zdravotně postižených v ČR - okresní organizace</t>
  </si>
  <si>
    <t>Sdružení pro život.prostř.zdravot.postižených v ČR - okresní organizace</t>
  </si>
  <si>
    <t>Uherské Hradiště, Mařatice, 1. máje 53, PSČ 68605</t>
  </si>
  <si>
    <t>Sdružení přátel fantasy a dřevěného šermu</t>
  </si>
  <si>
    <t>Kroměříž, Spáčilova 3643/37, PSČ 76701</t>
  </si>
  <si>
    <t>Sdružení přátel her Ašóka</t>
  </si>
  <si>
    <t>Sdružení přátel her Ašóka, místní organizace Zlín</t>
  </si>
  <si>
    <t>Zlín, Malenovice, Brigádnická 414, PSČ 76302</t>
  </si>
  <si>
    <t>SDRUŽENÍ PŘÁTEL HISTORIE A TRADIC VALAŠSKA</t>
  </si>
  <si>
    <t>Ratiboř 467, PSČ 75621</t>
  </si>
  <si>
    <t>Sdružení přátel Jana Wericha - Werichovci Zlín</t>
  </si>
  <si>
    <t>Sdružení přátel Johanky z Arku z.s.</t>
  </si>
  <si>
    <t>Sdružení přátel Kateřinic, z. s.</t>
  </si>
  <si>
    <t>Sdružení přátel koní a dětí Tabarky</t>
  </si>
  <si>
    <t>Sdružení přátel kultury z. s.</t>
  </si>
  <si>
    <t>Sdružení přátel poetiky</t>
  </si>
  <si>
    <t>Sdružení přátel pozůstalých Ploština-Ryliska</t>
  </si>
  <si>
    <t>Sdružení přátel Střední podnikatelské školy a Vyšší odborné školy</t>
  </si>
  <si>
    <t>Kroměříž, Tovačovského 337/9, PSČ 76701</t>
  </si>
  <si>
    <t>Sdružení přátel Vysokého Pole</t>
  </si>
  <si>
    <t>Sdružení přátel ZUŠ Rožnov p. R., z.s.</t>
  </si>
  <si>
    <t>Rožnov pod Radhoštěm, Pionýrská 20, Základní umělecká škola</t>
  </si>
  <si>
    <t>Sdružení při ZUŠ Kroměříž, z.s.</t>
  </si>
  <si>
    <t>Kroměříž, Jánská 31/2, PSČ 76701</t>
  </si>
  <si>
    <t>Sdružení přídělců půdy v Lukově</t>
  </si>
  <si>
    <t>Lukov, U Rybníka 6, PSČ 76317</t>
  </si>
  <si>
    <t>Sdružení příjemců evropských dotací, z. s.</t>
  </si>
  <si>
    <t>Sdružení REVATEK</t>
  </si>
  <si>
    <t>Rožnov pod Radhoštěm, Sokolská 497, PSČ 75661</t>
  </si>
  <si>
    <t>Kroměříž, Švabinského nábřeží 2077/27, PSČ 76701</t>
  </si>
  <si>
    <t>Sdružení rodičů a přátel dětí a školy při ZŠ Strání</t>
  </si>
  <si>
    <t>Sdružení rodičů a přátel dětí a školy při ZŠ T.G.Masaryka v Uherském Hradišti, z.s.</t>
  </si>
  <si>
    <t>Uherské Hradiště, Mařatice, 1. máje 55, PSČ 68605</t>
  </si>
  <si>
    <t>Sdružení rodičů a přátel dětí a školy při ZvŠ Holešov</t>
  </si>
  <si>
    <t>Holešov, Palackého 437/66, PSČ 76901</t>
  </si>
  <si>
    <t>Sdružení rodičů a přátel dětí při Mateřské škole Kostelany</t>
  </si>
  <si>
    <t>Kostelany 107, PSČ 76701</t>
  </si>
  <si>
    <t>Sdružení rodičů a přátel dětí školy při Základní škole, Uherský Brod, Na Výsluní 2047, okres Uherské Hradiště, z.s.</t>
  </si>
  <si>
    <t>Sdružení rodičů a přátel dětí školy při ZŠ a MŠ Traplice, z.s.</t>
  </si>
  <si>
    <t>Sdružení rodičů a přátel domu dětí Hulín</t>
  </si>
  <si>
    <t>Hulín, Nábřeží 696, PSČ 76824</t>
  </si>
  <si>
    <t>Sdružení rodičů a přátel Gymnázia Kroměříž, z.s.</t>
  </si>
  <si>
    <t>Sdružení rodičů a přátel při ZŠ Bohuslavice u Zlína, z.s.</t>
  </si>
  <si>
    <t>Bohuslavice u Zlína 221, PSČ 76351</t>
  </si>
  <si>
    <t>Sdružení rodičů a přátel při ZŠ Vsetín - Luh, z. s.</t>
  </si>
  <si>
    <t>Sdružení rodičů a přátel při ZUŠ Uherské Hradiště, z. s.</t>
  </si>
  <si>
    <t>Sdružení rodičů a přátel školy při Mateřské škole v Přílepích</t>
  </si>
  <si>
    <t>Přílepy 4, PSČ 76901</t>
  </si>
  <si>
    <t>Sdružení rodičů a přátel školy při Střední škole oděvní a služeb Vizovice, z. s.</t>
  </si>
  <si>
    <t>Vizovice, Tyršova 874, PSČ 76312</t>
  </si>
  <si>
    <t>Sdružení rodičů a přátel školy při Střední škole průmyslové, hotelové a zdravotnické Uherské Hradiště, z.s.</t>
  </si>
  <si>
    <t>Uherské Hradiště, Kollárova 617, PSČ 68601</t>
  </si>
  <si>
    <t>Sdružení rodičů a přátel školy při Základní škole Staré Město, z.s.</t>
  </si>
  <si>
    <t>Staré Město, Komenského 1720, PSČ 68603</t>
  </si>
  <si>
    <t>Sdružení rodičů a přátel školy při Základní škole Trávníky Otrokovice, z.s.</t>
  </si>
  <si>
    <t>Otrokovice, Hlavní 1160, Základní škola Trávníky Otrokovice</t>
  </si>
  <si>
    <t>Sdružení rodičů a přátel školy při ZŠ a MŠ Hvozdná, z.s.</t>
  </si>
  <si>
    <t>Hvozdná, Hlavní 19, PSČ 76310</t>
  </si>
  <si>
    <t>Sdružení rodičů a přátel školy při ZŠ a MŠ Újezd, okres Zlín, z.s.</t>
  </si>
  <si>
    <t>Újezd 252, PSČ 76325</t>
  </si>
  <si>
    <t>Sdružení rodičů a přátel školy při ZŠ Oskol, z.s.</t>
  </si>
  <si>
    <t>Kroměříž, Mánesova 3861/5, PSČ 76701</t>
  </si>
  <si>
    <t>Sdružení rodičů a přátel školy při ZŠ TGM, z. s.</t>
  </si>
  <si>
    <t>Bojkovice, Štefánikova 460, PSČ 68771</t>
  </si>
  <si>
    <t>Sdružení rodičů a přátel školy při ZŠ v Babicích, z.s.</t>
  </si>
  <si>
    <t>Babice 377, PSČ 68703</t>
  </si>
  <si>
    <t>Sdružení rodičů a přátel školy při ZŠ Za Alejí v Uherském Hradišti, z.s.</t>
  </si>
  <si>
    <t>Sdružení rodičů a přátel školy při ZŠ Zlín-Štípa, zapsaný spolek</t>
  </si>
  <si>
    <t>Zlín, Štípa, Nová cesta 268, PSČ 76314</t>
  </si>
  <si>
    <t>Sdružení rodičů a přátel školy při 11. ZŠ Zlín, z.s.</t>
  </si>
  <si>
    <t>Sdružení rodičů a přátel školy při 6. ZŠ ve Zlíně</t>
  </si>
  <si>
    <t>Zlín, Bartošova čtvrť, PSČ 760 01</t>
  </si>
  <si>
    <t>Sdružení rodičů a přátel školy SŠIEŘ Rožnov, z.s.</t>
  </si>
  <si>
    <t>Rožnov pod Radhoštěm, Školní 1610, PSČ 75661</t>
  </si>
  <si>
    <t>Sdružení rodičů a přátel Základní školy a Mateřské školy Želechovice nad Dřevnicí, z. s.</t>
  </si>
  <si>
    <t>Želechovice nad Dřevnicí, 4. května 336, PSČ 76311</t>
  </si>
  <si>
    <t>"Sdružení rodičů a přátel Základní školy Polešovice, z.s."</t>
  </si>
  <si>
    <t>Polešovice 600, ZŠ</t>
  </si>
  <si>
    <t>Sdružení rodičů a přátel ZŠ a MŠ Pozděchov, z.s.</t>
  </si>
  <si>
    <t>Pozděchov 192, PSČ 75611</t>
  </si>
  <si>
    <t>Sdružení rodičů a přátel ZŠ U Sýpek z.s.</t>
  </si>
  <si>
    <t>Kroměříž, U Sýpek 1462/2, PSČ 76701</t>
  </si>
  <si>
    <t>Sdružení rodičů Březová, z. s.</t>
  </si>
  <si>
    <t>Sdružení rodičů Montessori Zlín</t>
  </si>
  <si>
    <t>Zlín, Havlíčkovo nábř. 3114, ZŠ Komenského I</t>
  </si>
  <si>
    <t>Sdružení rodičů, přátel a žáků školy při Střední škole hotelové a služeb v Kroměříži</t>
  </si>
  <si>
    <t>Kroměříž, Pavlákova 3942/1, PSČ 76701</t>
  </si>
  <si>
    <t>Sdružení rodičů, přátel dětí a školy ZUŠ Slavičín, z.s.</t>
  </si>
  <si>
    <t>Sdružení rodičů při II. ZŠ v Napajedlích</t>
  </si>
  <si>
    <t>Napajedla, Komenského 298, PSČ 76361</t>
  </si>
  <si>
    <t>Sdružení rodičů při III.ZŠ Holešov, Kráčiny 329</t>
  </si>
  <si>
    <t>Holešov, Všetuly, Družby 329, PSČ 76901</t>
  </si>
  <si>
    <t>Sdružení rodičů při Mateřské škole Sluníčko Holešov z. s.</t>
  </si>
  <si>
    <t>Holešov, Havlíčkova 1409, PSČ 76901</t>
  </si>
  <si>
    <t>Sdružení rodičů při MŠ v Kelči, z.s.</t>
  </si>
  <si>
    <t>Kelč 59, PSČ 75643</t>
  </si>
  <si>
    <t>Sdružení rodičů při MŠ v Uherském Hradišti, Svatováclavská 943</t>
  </si>
  <si>
    <t>Uherské Hradiště, Svatováclavská 943, PSČ 68601</t>
  </si>
  <si>
    <t>Sdružení rodičů při MŠ v Uherském Hradišti, 28. října 982</t>
  </si>
  <si>
    <t>Uherské Hradiště, 28. října 982, PSČ 68601</t>
  </si>
  <si>
    <t>Sdružení rodičů při MŠ Zlín-Březnice</t>
  </si>
  <si>
    <t>Březnice, PSČ 262 72</t>
  </si>
  <si>
    <t>Sdružení rodičů při SPŠ, Zlín</t>
  </si>
  <si>
    <t>Sdružení rodičů při základní škole Polešovice</t>
  </si>
  <si>
    <t>Polešovice 600, PSČ 68737</t>
  </si>
  <si>
    <t>Sdružení rodičů při Základní škole v Ořechově</t>
  </si>
  <si>
    <t>Sdružení rodičů při Základní škole Vojtěcha Jasného Kelč, z.s.</t>
  </si>
  <si>
    <t>Kelč 229, PSČ 75643</t>
  </si>
  <si>
    <t>Sdružení rodičů při Základní škole Zlín, Okružní 4685, z.s.</t>
  </si>
  <si>
    <t>Sdružení rodičů při ZŠ Francova Lhota, z.s.</t>
  </si>
  <si>
    <t>Sdružení rodičů při ZŠ Jalubí z. s.</t>
  </si>
  <si>
    <t>Jalubí 514, PSČ 68705</t>
  </si>
  <si>
    <t>Sdružení rodičů při ZŠ Pod Skalkou v Rožnově p.R., spolek</t>
  </si>
  <si>
    <t>Rožnov pod Radhoštěm, Bezručova 293, PSČ 75661</t>
  </si>
  <si>
    <t>Sdružení rodičů při ZŠ Zádveřice</t>
  </si>
  <si>
    <t>Zádveřice</t>
  </si>
  <si>
    <t>Sdružení rodičů při 12. ZŠ Zlín-Podhoří, z.s.</t>
  </si>
  <si>
    <t>Zlín, Prštné, M. Alše 558, PSČ 76001</t>
  </si>
  <si>
    <t>Sdružení rodičů SEDMIČKA, z. s.</t>
  </si>
  <si>
    <t>Zlín, Kvítková 4338, PSČ 76001</t>
  </si>
  <si>
    <t>Sdružení rodičů SPŠ Zlín</t>
  </si>
  <si>
    <t>Sdružení rodičů ZŠ Slavičín - Vlára</t>
  </si>
  <si>
    <t>Sdružení rodičů ZŠ T.G.Masaryka z.s.</t>
  </si>
  <si>
    <t>Otrokovice, Jana Žižky 1355, PSČ 76502</t>
  </si>
  <si>
    <t>Sdružení rodičů žáků ZŠ v Kostelci u Holešova, z.s.</t>
  </si>
  <si>
    <t>Kostelec u Holešova 191, PSČ 76843</t>
  </si>
  <si>
    <t>Sdružení rovných šancí, z.s.</t>
  </si>
  <si>
    <t>Uherský Brod, Havřice, Dolní 234, PSČ 68801</t>
  </si>
  <si>
    <t>Sdružení Rožnovská valaška</t>
  </si>
  <si>
    <t>Sdružení rybářů na ochranu přírody Prusinovice, z.s.</t>
  </si>
  <si>
    <t>Sdružení Rybníky</t>
  </si>
  <si>
    <t>Zlín, Prštné 86, PSČ 76001</t>
  </si>
  <si>
    <t>Sdružení smluvních lékařů</t>
  </si>
  <si>
    <t>Rožnov pod Radhoštěm, Letenská 1183</t>
  </si>
  <si>
    <t>Sdružení studentské iniciativy, o.s.</t>
  </si>
  <si>
    <t>Uherské Hradiště, Prokopa Holého 757, PSČ 68606</t>
  </si>
  <si>
    <t>Sdružení studentů České republiky</t>
  </si>
  <si>
    <t>Uherské Hradiště, Štěpnická 1042, PSČ 68606</t>
  </si>
  <si>
    <t>Sdružení Šachový klub Ostrožská Nová Ves z.s.</t>
  </si>
  <si>
    <t>Ostrožská Nová Ves, Za kostelem 268, PSČ 68722</t>
  </si>
  <si>
    <t>Sdružení šlechtitelů révy vinné, z.s.</t>
  </si>
  <si>
    <t>Boršice 671, PSČ 68709</t>
  </si>
  <si>
    <t>Sdružení tenisové mládeže Uherské Hradiště z. s.</t>
  </si>
  <si>
    <t>Salaš 50, PSČ 68706</t>
  </si>
  <si>
    <t>,,Sdružení Uherskobrodska´´</t>
  </si>
  <si>
    <t>Uherský Brod, Mariánské nám. 2187, Dům kultury</t>
  </si>
  <si>
    <t>Sdružení uživatelů autorských práv z.s.</t>
  </si>
  <si>
    <t>Sdružení uživatelů čistírny odpadních vod v lokalitě Na Zelničkách</t>
  </si>
  <si>
    <t>Kunovice, Na Zelničkách 530, PSČ 68604</t>
  </si>
  <si>
    <t>Sdružení vlastníků bytových jednotek Štěpnice</t>
  </si>
  <si>
    <t>Uherské Hradiště, Štěpnická 1164, PSČ 68606</t>
  </si>
  <si>
    <t>Sdružení vlastníků domu, Komenského 913, Vizovice</t>
  </si>
  <si>
    <t>Sdružení vlastníků pozemků Mladcová</t>
  </si>
  <si>
    <t>Zlín, Prštné, Jiráskova 522, PSČ 76001</t>
  </si>
  <si>
    <t>Sdružení výtvarných umělců a teoretiků jihovýchodní Moravy, z. s.</t>
  </si>
  <si>
    <t>Uherské Hradiště, Mařatice, Nad Rybníkem 152, PSČ 68605</t>
  </si>
  <si>
    <t>SDRUŽENÍ VÝTVARNÝCH UMĚLCŮ DR.IGORA ZHOŘE UHERSKÉ HRADIŠTĚ</t>
  </si>
  <si>
    <t>Šumice 110, PSČ 68731</t>
  </si>
  <si>
    <t>Sdružení výtvarných umělců moravsko-slovenského pomezí, z. s.</t>
  </si>
  <si>
    <t>”Sdružení za rozvoj zlínské aglomerace”</t>
  </si>
  <si>
    <t>Zlín, Malenovice, Tyršova 773, PSČ 76302</t>
  </si>
  <si>
    <t>SDRUŽENÍ ZA SPOKOJENOU KLEČŮVKU</t>
  </si>
  <si>
    <t>Zlín, Klečůvka 57, PSČ 76311</t>
  </si>
  <si>
    <t>Sdružení za zdravé Lužkovice</t>
  </si>
  <si>
    <t>Zlín 11, Lužkovice 233</t>
  </si>
  <si>
    <t>Sdružení za zdravé Příluky</t>
  </si>
  <si>
    <t>Zlín, Příluky, Dolní dědina 238, PSČ 76001</t>
  </si>
  <si>
    <t>Sebevědomě do života, z.s.</t>
  </si>
  <si>
    <t>Uherské Hradiště, Tůně 703, PSČ 68601</t>
  </si>
  <si>
    <t>„Sedmikvítky“</t>
  </si>
  <si>
    <t>Prostřední Bečva 362, PSČ 75656</t>
  </si>
  <si>
    <t>Sekce z. s.</t>
  </si>
  <si>
    <t>Slušovice, nám. Svobody 31, PSČ 76315</t>
  </si>
  <si>
    <t>SemTamFór z.s.</t>
  </si>
  <si>
    <t>Slavičín, Květná 424, PSČ 76321</t>
  </si>
  <si>
    <t>Senior klub Nedašov, z. s.</t>
  </si>
  <si>
    <t>Nedašov 132, PSČ 76332</t>
  </si>
  <si>
    <t>Seniorský klub atletů</t>
  </si>
  <si>
    <t>Uherské Hradiště, Na Baště 325, PSČ 68601</t>
  </si>
  <si>
    <t>Seniorský parlament, z.s.</t>
  </si>
  <si>
    <t>Senioři České republiky, z. s., Krajská organizace Zlínského kraje</t>
  </si>
  <si>
    <t>Senioři České republiky, z. s., Městská organizace Zlín</t>
  </si>
  <si>
    <t>Zlín, A. Randýskové 1800, PSČ 76001</t>
  </si>
  <si>
    <t>Senioři UH z. s.</t>
  </si>
  <si>
    <t>Uherské Hradiště, náměstí Republiky 920, PSČ 68601</t>
  </si>
  <si>
    <t>SERAPH Krav Maga z. s.</t>
  </si>
  <si>
    <t>Valašské Meziříčí, Podlesí 420, PSČ 75701</t>
  </si>
  <si>
    <t>Servisní centrum sportu ČUS Kroměříž</t>
  </si>
  <si>
    <t>Servisní centrum sportu ČUS Uherské Hradiště</t>
  </si>
  <si>
    <t>Servisní centrum sportu ČUS Vsetín</t>
  </si>
  <si>
    <t>Servisní centrum sportu ČUS Zlín</t>
  </si>
  <si>
    <t>Seskoky Kunovice z.s.</t>
  </si>
  <si>
    <t>Kunovice, V Úzkých 1606, PSČ 68604</t>
  </si>
  <si>
    <t>Severomoravské regionální sdružení ČSOP</t>
  </si>
  <si>
    <t>Valašské Meziříčí, Šafaříkova 555, PSČ 75701</t>
  </si>
  <si>
    <t>SFK Břestek z.s.</t>
  </si>
  <si>
    <t>Břestek č. ev. 509, PSČ 68708</t>
  </si>
  <si>
    <t>SFK ELKO Holešov, z.s.</t>
  </si>
  <si>
    <t>Holešov, Všetuly, Sokolská 495, PSČ 76901</t>
  </si>
  <si>
    <t>SFK Kozel, z.s.</t>
  </si>
  <si>
    <t>Kroměříž, Bílanská 2139/30, PSČ 76701</t>
  </si>
  <si>
    <t>SH ČMS - Krajské sdružení hasičů Zlínského kraje</t>
  </si>
  <si>
    <t>Zlín, Příluky, Přílucká 213, PSČ 76001</t>
  </si>
  <si>
    <t>SH ČMS - Okresní sdružení hasičů Kroměříž</t>
  </si>
  <si>
    <t>Kroměříž, Hanácké náměstí 463/7, PSČ 76701</t>
  </si>
  <si>
    <t>SH ČMS - Okresní sdružení hasičů Uherské Hradiště</t>
  </si>
  <si>
    <t>SH ČMS - Okresní sdružení hasičů Vsetín</t>
  </si>
  <si>
    <t>SH ČMS - Okresní sdružení hasičů Zlín</t>
  </si>
  <si>
    <t>SH ČMS - Okrsek č. 1 Napajedla</t>
  </si>
  <si>
    <t>Napajedla, Masarykovo náměstí 89, PSČ 76361</t>
  </si>
  <si>
    <t>SH ČMS - Okrsek č. 1 Vsetín</t>
  </si>
  <si>
    <t>Vsetín, Horní Jasenka 331, PSČ 75501</t>
  </si>
  <si>
    <t>SH ČMS - Okrsek č. 10 Doubravy</t>
  </si>
  <si>
    <t>SH ČMS - Okrsek č. 10 Ratiboř</t>
  </si>
  <si>
    <t>SH ČMS - Okrsek č. 11 Slušovice</t>
  </si>
  <si>
    <t>Březová 93, PSČ 76315</t>
  </si>
  <si>
    <t>SH ČMS - Okrsek č. 12 - Vizovice</t>
  </si>
  <si>
    <t>Vizovice, Nábřežní 993, PSČ 76312</t>
  </si>
  <si>
    <t>SH ČMS - Okrsek č. 14 - Újezd</t>
  </si>
  <si>
    <t>Újezd 369, PSČ 76325</t>
  </si>
  <si>
    <t>SH ČMS - Okrsek č. 16 Vlachovice</t>
  </si>
  <si>
    <t>SH ČMS - Okrsek č. 18 Brumov - Bylnice</t>
  </si>
  <si>
    <t>Brumov-Bylnice, Brumov, H. Synkové 942, PSČ 76331</t>
  </si>
  <si>
    <t>SH ČMS - Okrsek č. 3 Hutisko - Solanec</t>
  </si>
  <si>
    <t>SH ČMS - Okrsek č. 3 Racková</t>
  </si>
  <si>
    <t>Racková 45, PSČ 76001</t>
  </si>
  <si>
    <t>SH ČMS - Okrsek č. 4 Tečovice</t>
  </si>
  <si>
    <t>Tečovice 240, PSČ 76302</t>
  </si>
  <si>
    <t>SH ČMS - Okrsek č. 5 - Lhota</t>
  </si>
  <si>
    <t>Lhota 265, PSČ 76302</t>
  </si>
  <si>
    <t>SH ČMS - Okrsek č. 8 - Želechovice nad Dřevnicí</t>
  </si>
  <si>
    <t>SH ČMS - Okrsek č.11 Bystřička</t>
  </si>
  <si>
    <t>Růžďka 295, PSČ 75625</t>
  </si>
  <si>
    <t>SH ČMS - Okrsek č.12 Loučka</t>
  </si>
  <si>
    <t>SH ČMS - Okrsek č.13 Kelč</t>
  </si>
  <si>
    <t>SH ČMS - Okrsek č.13 Pozlovice</t>
  </si>
  <si>
    <t>Pozlovice, Hlavní 333, PSČ 76326</t>
  </si>
  <si>
    <t>SH ČMS - Okrsek č.14 Lešná</t>
  </si>
  <si>
    <t>SH ČMS - Okrsek č.15 Zašová</t>
  </si>
  <si>
    <t>Zašová 358, PSČ 75651</t>
  </si>
  <si>
    <t>SH ČMS - Okrsek č.17 Valašské Klobouky</t>
  </si>
  <si>
    <t>SH ČMS - Okrsek č.2 Valašské Meziříčí</t>
  </si>
  <si>
    <t>Poličná 545, PSČ 75701</t>
  </si>
  <si>
    <t>SH ČMS - Okrsek č.4 Velké Karlovice</t>
  </si>
  <si>
    <t>SH ČMS - Okrsek č.6 Hovězí</t>
  </si>
  <si>
    <t>Hovězí 2, PSČ 75601</t>
  </si>
  <si>
    <t>SH ČMS - Okrsek č.7 Valašská Polanka</t>
  </si>
  <si>
    <t>SH ČMS - Okrsek č.8 Lidečko</t>
  </si>
  <si>
    <t>Lidečko 32, PSČ 75612</t>
  </si>
  <si>
    <t>SH ČMS - Okrsek č.9 Držková</t>
  </si>
  <si>
    <t>Držková 59, PSČ 76319</t>
  </si>
  <si>
    <t>SH ČMS - Okrsek Slavičín</t>
  </si>
  <si>
    <t>Slavičín, Hasičská 307, PSČ 76321</t>
  </si>
  <si>
    <t>SH ČMS - Sbor dobrovolných hasičů Babice</t>
  </si>
  <si>
    <t>Babice 410, PSČ 68703</t>
  </si>
  <si>
    <t>SH ČMS - Sbor dobrovolných hasičů Bařice</t>
  </si>
  <si>
    <t>Bařice-Velké Těšany, Bařice 8, PSČ 76701</t>
  </si>
  <si>
    <t>SH ČMS - Sbor dobrovolných hasičů Bělov</t>
  </si>
  <si>
    <t>Bělov 97, PSČ 76821</t>
  </si>
  <si>
    <t>SH ČMS - Sbor dobrovolných hasičů Bezměrov</t>
  </si>
  <si>
    <t>Bezměrov 120, PSČ 76701</t>
  </si>
  <si>
    <t>SH ČMS - Sbor dobrovolných hasičů Bílany</t>
  </si>
  <si>
    <t>Kroměříž, Bílany 22, PSČ 76701</t>
  </si>
  <si>
    <t>SH ČMS - Sbor dobrovolných hasičů Bílovice</t>
  </si>
  <si>
    <t>Bílovice 248, PSČ 68712</t>
  </si>
  <si>
    <t>SH ČMS - Sbor dobrovolných hasičů Biskupice</t>
  </si>
  <si>
    <t>Biskupice 39, PSČ 76341</t>
  </si>
  <si>
    <t>SH ČMS - Sbor dobrovolných hasičů Blišice</t>
  </si>
  <si>
    <t>Koryčany, Blišice 152, PSČ 76805</t>
  </si>
  <si>
    <t>SH ČMS - Sbor dobrovolných hasičů Bohuslavice nad Vláří</t>
  </si>
  <si>
    <t>SH ČMS - Sbor dobrovolných hasičů Bohuslavice u Zlína</t>
  </si>
  <si>
    <t>Bohuslavice u Zlína 185, PSČ 76351</t>
  </si>
  <si>
    <t>SH ČMS - Sbor dobrovolných hasičů Bojkovice</t>
  </si>
  <si>
    <t>Bojkovice, Nábř. Svobody 169, PSČ 68771</t>
  </si>
  <si>
    <t>SH ČMS - Sbor dobrovolných hasičů Boršice</t>
  </si>
  <si>
    <t>Boršice 336, PSČ 68709</t>
  </si>
  <si>
    <t>SH ČMS - Sbor dobrovolných hasičů Boršice u Blatnice</t>
  </si>
  <si>
    <t>Boršice u Blatnice 288, PSČ 68763</t>
  </si>
  <si>
    <t>SH ČMS - Sbor dobrovolných hasičů Bořenovice</t>
  </si>
  <si>
    <t>Bořenovice 64, PSČ 76901</t>
  </si>
  <si>
    <t>SH ČMS - Sbor dobrovolných hasičů Branky</t>
  </si>
  <si>
    <t>SH ČMS - Sbor dobrovolných hasičů Bratřejov</t>
  </si>
  <si>
    <t>Bratřejov 282, PSČ 76312</t>
  </si>
  <si>
    <t>SH ČMS - Sbor dobrovolných hasičů Brumov</t>
  </si>
  <si>
    <t>SH ČMS - Sbor dobrovolných hasičů Brusné</t>
  </si>
  <si>
    <t>Brusné 108, PSČ 76861</t>
  </si>
  <si>
    <t>SH ČMS - Sbor dobrovolných hasičů Břest</t>
  </si>
  <si>
    <t>Břest 86, PSČ 76823</t>
  </si>
  <si>
    <t>SH ČMS - Sbor dobrovolných hasičů Březnice</t>
  </si>
  <si>
    <t>Březnice 90, PSČ 76001</t>
  </si>
  <si>
    <t>SH ČMS - Sbor dobrovolných hasičů Březolupy</t>
  </si>
  <si>
    <t>Březolupy 434, PSČ 68713</t>
  </si>
  <si>
    <t>SH ČMS - Sbor dobrovolných hasičů Březová</t>
  </si>
  <si>
    <t>Březová 390, PSČ 68767</t>
  </si>
  <si>
    <t>SH ČMS - Sbor dobrovolných hasičů Březůvky</t>
  </si>
  <si>
    <t>SH ČMS - Sbor dobrovolných hasičů Buchlovice</t>
  </si>
  <si>
    <t>Buchlovice, Kostelní 7, PSČ 68708</t>
  </si>
  <si>
    <t>SH ČMS - Sbor dobrovolných hasičů Bylnice</t>
  </si>
  <si>
    <t>Brumov-Bylnice, Bylnice, Mýto 463, PSČ 76331</t>
  </si>
  <si>
    <t>SH ČMS - Sbor dobrovolných hasičů Bystřice pod Hostýnem</t>
  </si>
  <si>
    <t>Bystřice pod Hostýnem, Kamenec 849, PSČ 76861</t>
  </si>
  <si>
    <t>SH ČMS - Sbor dobrovolných hasičů Bystřice pod Lopeníkem</t>
  </si>
  <si>
    <t>SH ČMS - Sbor dobrovolných hasičů Bystřička</t>
  </si>
  <si>
    <t>SH ČMS - Sbor dobrovolných hasičů Bzová</t>
  </si>
  <si>
    <t>Bojkovice, Bzová 116, PSČ 68771</t>
  </si>
  <si>
    <t>SH ČMS - Sbor dobrovolných hasičů Cetechovice</t>
  </si>
  <si>
    <t>Cetechovice 114, PSČ 76802</t>
  </si>
  <si>
    <t>SH ČMS - Sbor dobrovolných hasičů Chomýž</t>
  </si>
  <si>
    <t>Chomýž 82, PSČ 76861</t>
  </si>
  <si>
    <t>SH ČMS - Sbor dobrovolných hasičů Choryně</t>
  </si>
  <si>
    <t>Choryně 200, PSČ 75642</t>
  </si>
  <si>
    <t>SH ČMS - Sbor dobrovolných hasičů Chrastěšov</t>
  </si>
  <si>
    <t>Vizovice, Chrastěšov 1, PSČ 76312</t>
  </si>
  <si>
    <t>SH ČMS - Sbor dobrovolných hasičů Chropyně</t>
  </si>
  <si>
    <t>Chropyně, Palackého 347, PSČ 76811</t>
  </si>
  <si>
    <t>SH ČMS - Sbor dobrovolných hasičů Chvalčov</t>
  </si>
  <si>
    <t>SH ČMS - Sbor dobrovolných hasičů Chvalnov - Lísky</t>
  </si>
  <si>
    <t>Chvalnov-Lísky, Chvalnov 46, PSČ 76805</t>
  </si>
  <si>
    <t>SH ČMS - Sbor dobrovolných hasičů Cvrčovice</t>
  </si>
  <si>
    <t>Zdounky, Cvrčovice 58, PSČ 76802</t>
  </si>
  <si>
    <t>SH ČMS - Sbor dobrovolných hasičů Částkov</t>
  </si>
  <si>
    <t>SH ČMS - Sbor dobrovolných hasičů Divnice</t>
  </si>
  <si>
    <t>Slavičín, Divnice 30, PSČ 76321</t>
  </si>
  <si>
    <t>SH ČMS - Sbor dobrovolných hasičů Divoky</t>
  </si>
  <si>
    <t>Zdounky, Divoky 72, PSČ 76802</t>
  </si>
  <si>
    <t>SH ČMS - Sbor dobrovolných hasičů Dobrkovice</t>
  </si>
  <si>
    <t>Dobrkovice</t>
  </si>
  <si>
    <t>Dobrkovice 61, PSČ 76307</t>
  </si>
  <si>
    <t>SH ČMS - Sbor dobrovolných hasičů Dobrotice</t>
  </si>
  <si>
    <t>Holešov, Dobrotice 159, PSČ 76901</t>
  </si>
  <si>
    <t>SH ČMS - Sbor dobrovolných hasičů Dolní Bečva</t>
  </si>
  <si>
    <t>SH ČMS - Sbor dobrovolných hasičů Dolní Lhota</t>
  </si>
  <si>
    <t>SH ČMS - Sbor dobrovolných hasičů Dolní Němčí</t>
  </si>
  <si>
    <t>Dolní Němčí, Na Okluku 534, PSČ 68762</t>
  </si>
  <si>
    <t>SH ČMS - Sbor dobrovolných hasičů Doubravy</t>
  </si>
  <si>
    <t>SH ČMS - Sbor dobrovolných hasičů Drnovice</t>
  </si>
  <si>
    <t>Drnovice 86, PSČ 76325</t>
  </si>
  <si>
    <t>SH ČMS - Sbor dobrovolných hasičů Drslavice</t>
  </si>
  <si>
    <t>SH ČMS - Sbor dobrovolných hasičů Držková</t>
  </si>
  <si>
    <t>SH ČMS - Sbor dobrovolných hasičů Dušná</t>
  </si>
  <si>
    <t>Vsetín, Horní Jasenka 145, PSČ 75501</t>
  </si>
  <si>
    <t>SH ČMS - Sbor dobrovolných hasičů Francova Lhota</t>
  </si>
  <si>
    <t>Francova Lhota 46, PSČ 75614</t>
  </si>
  <si>
    <t>SH ČMS - Sbor dobrovolných hasičů Fryšták</t>
  </si>
  <si>
    <t>Fryšták, Lúčky 438, PSČ 76316</t>
  </si>
  <si>
    <t>SH ČMS - Sbor dobrovolných hasičů Halenkov</t>
  </si>
  <si>
    <t>Halenkov 343, PSČ 75603</t>
  </si>
  <si>
    <t>SH ČMS - Sbor dobrovolných hasičů Halenkovice</t>
  </si>
  <si>
    <t>Halenkovice 673, PSČ 76363</t>
  </si>
  <si>
    <t>SH ČMS - Sbor dobrovolných hasičů Haluzice</t>
  </si>
  <si>
    <t>Haluzice</t>
  </si>
  <si>
    <t>Haluzice 19, PSČ 76324</t>
  </si>
  <si>
    <t>SH ČMS - Sbor dobrovolných hasičů Havřice</t>
  </si>
  <si>
    <t>Uherský Brod, Havřice, Průhon 412, PSČ 68801</t>
  </si>
  <si>
    <t>SH ČMS - Sbor dobrovolných hasičů Hážovice</t>
  </si>
  <si>
    <t>Rožnov pod Radhoštěm, Hážovice 2152, PSČ 75661</t>
  </si>
  <si>
    <t>SH ČMS - Sbor dobrovolných hasičů Hlinsko pod Hostýnem</t>
  </si>
  <si>
    <t>Bystřice pod Hostýnem, Hlinsko pod Hostýnem 106, PSČ 76841</t>
  </si>
  <si>
    <t>SH ČMS - Sbor dobrovolných hasičů Holešov</t>
  </si>
  <si>
    <t>Holešov, Bořenovská 1422, PSČ 76901</t>
  </si>
  <si>
    <t>SH ČMS - Sbor dobrovolných hasičů Horní Bečva</t>
  </si>
  <si>
    <t>Horní Bečva 656, PSČ 75657</t>
  </si>
  <si>
    <t>SH ČMS - Sbor dobrovolných hasičů Horní Lapač</t>
  </si>
  <si>
    <t>Horní Lapač 22, PSČ 76901</t>
  </si>
  <si>
    <t>SH ČMS - Sbor dobrovolných hasičů Horní Lhota</t>
  </si>
  <si>
    <t>Horní Lhota 158, PSČ 76323</t>
  </si>
  <si>
    <t>SH ČMS - Sbor dobrovolných hasičů Horní Lideč</t>
  </si>
  <si>
    <t>Horní Lideč 153, PSČ 75612</t>
  </si>
  <si>
    <t>SH ČMS - Sbor dobrovolných hasičů Horní Němčí</t>
  </si>
  <si>
    <t>Horní Němčí 113, PSČ 68764</t>
  </si>
  <si>
    <t>SH ČMS - Sbor dobrovolných hasičů Hostějov</t>
  </si>
  <si>
    <t>Hostějov</t>
  </si>
  <si>
    <t>Hostějov 3, PSČ 68741</t>
  </si>
  <si>
    <t>SH ČMS - Sbor dobrovolných hasičů Hostětín</t>
  </si>
  <si>
    <t>Hostětín 75, PSČ 68771</t>
  </si>
  <si>
    <t>SH ČMS - Sbor dobrovolných hasičů Hostišová</t>
  </si>
  <si>
    <t>Hostišová, Hostišová - Horňák 85, PSČ 76301</t>
  </si>
  <si>
    <t>SH ČMS - Sbor dobrovolných hasičů Hošťálková</t>
  </si>
  <si>
    <t>Hošťálková 409, PSČ 75622</t>
  </si>
  <si>
    <t>SH ČMS - Sbor dobrovolných hasičů Hoštice</t>
  </si>
  <si>
    <t>Hoštice 74, PSČ 76813</t>
  </si>
  <si>
    <t>SH ČMS - Sbor dobrovolných hasičů Hovězí</t>
  </si>
  <si>
    <t>SH ČMS - Sbor dobrovolných hasičů Hrachovec</t>
  </si>
  <si>
    <t>Valašské Meziříčí, Hrachovec 200, PSČ 75701</t>
  </si>
  <si>
    <t>SH ČMS - Sbor dobrovolných hasičů Hradčovice</t>
  </si>
  <si>
    <t>Hradčovice 6, PSČ 68733</t>
  </si>
  <si>
    <t>SH ČMS - Sbor dobrovolných hasičů Hrádek na Vlárské dráze</t>
  </si>
  <si>
    <t>SH ČMS - Sbor dobrovolných hasičů Hradisko</t>
  </si>
  <si>
    <t>Kroměříž, Hradisko 4, PSČ 76701</t>
  </si>
  <si>
    <t>SH ČMS - Sbor dobrovolných hasičů Hrobice</t>
  </si>
  <si>
    <t>Hrobice 126, PSČ 76315</t>
  </si>
  <si>
    <t>SH ČMS - Sbor dobrovolných hasičů Hřivínův Újezd</t>
  </si>
  <si>
    <t>SH ČMS - Sbor dobrovolných hasičů Hulín</t>
  </si>
  <si>
    <t>Hulín, Kostelní 988, PSČ 76824</t>
  </si>
  <si>
    <t>SH ČMS - Sbor dobrovolných hasičů Huslenky</t>
  </si>
  <si>
    <t>Huslenky 494, PSČ 75602</t>
  </si>
  <si>
    <t>SH ČMS - Sbor dobrovolných hasičů Hutisko-Solanec</t>
  </si>
  <si>
    <t>SH ČMS - Sbor dobrovolných hasičů Hvozdná</t>
  </si>
  <si>
    <t>Hvozdná, Záhumení 325, PSČ 76310</t>
  </si>
  <si>
    <t>SH ČMS - Sbor dobrovolných hasičů Jablůnka</t>
  </si>
  <si>
    <t>Jablůnka 207, PSČ 75623</t>
  </si>
  <si>
    <t>SH ČMS - Sbor dobrovolných hasičů Jalubí</t>
  </si>
  <si>
    <t>Jalubí 135, PSČ 68705</t>
  </si>
  <si>
    <t>SH ČMS - Sbor dobrovolných hasičů Jankovice</t>
  </si>
  <si>
    <t>Jankovice 101, PSČ 76901</t>
  </si>
  <si>
    <t>SH ČMS - Sbor dobrovolných hasičů Janová</t>
  </si>
  <si>
    <t>SH ČMS - Sbor dobrovolných hasičů Jarcová</t>
  </si>
  <si>
    <t>SH ČMS - Sbor dobrovolných hasičů Jarohněvice</t>
  </si>
  <si>
    <t>SH ČMS - Sbor dobrovolných hasičů Jarošov</t>
  </si>
  <si>
    <t>Uherské Hradiště, Jarošov, Pivovarská 509, PSČ 68601</t>
  </si>
  <si>
    <t>SH ČMS - Sbor dobrovolných hasičů Jasenice</t>
  </si>
  <si>
    <t>Lešná, Jasenice 20, PSČ 75641</t>
  </si>
  <si>
    <t>SH ČMS - Sbor dobrovolných hasičů Jasenka</t>
  </si>
  <si>
    <t>SH ČMS - Sbor dobrovolných hasičů Jasenná</t>
  </si>
  <si>
    <t>Jasenná 265, PSČ 76313</t>
  </si>
  <si>
    <t>SH ČMS - Sbor dobrovolných hasičů Jestřabí</t>
  </si>
  <si>
    <t>SH ČMS - Sbor dobrovolných hasičů Juřinka</t>
  </si>
  <si>
    <t>Valašské Meziříčí, Juřinka 10, PSČ 75701</t>
  </si>
  <si>
    <t>SH ČMS - Sbor dobrovolných hasičů Kaňovice</t>
  </si>
  <si>
    <t>Kaňovice 44, PSČ 76341</t>
  </si>
  <si>
    <t>SH ČMS - Sbor dobrovolných hasičů Karlovice</t>
  </si>
  <si>
    <t>Karlovice</t>
  </si>
  <si>
    <t>Karlovice 47, PSČ 76302</t>
  </si>
  <si>
    <t>Kostelec u Holešova, Karlovice 350, PSČ 76843</t>
  </si>
  <si>
    <t>SH ČMS - Sbor dobrovolných hasičů Karolín</t>
  </si>
  <si>
    <t>Karolín</t>
  </si>
  <si>
    <t>Karolín 82, PSČ 76821</t>
  </si>
  <si>
    <t>SH ČMS - Sbor dobrovolných hasičů Kašava</t>
  </si>
  <si>
    <t>Kašava 181, PSČ 76319</t>
  </si>
  <si>
    <t>SH ČMS - Sbor dobrovolných hasičů Kateřinice</t>
  </si>
  <si>
    <t>SH ČMS - Sbor dobrovolných hasičů Kelč</t>
  </si>
  <si>
    <t>SH ČMS - Sbor dobrovolných hasičů Kelníky</t>
  </si>
  <si>
    <t>Kelníky 1, PSČ 76307</t>
  </si>
  <si>
    <t>SH ČMS - Sbor dobrovolných hasičů Kladeruby</t>
  </si>
  <si>
    <t>SH ČMS - Sbor dobrovolných hasičů Kladná Žilín</t>
  </si>
  <si>
    <t>Luhačovice, Kladná Žilín 1, PSČ 76326</t>
  </si>
  <si>
    <t>SH ČMS - Sbor dobrovolných hasičů Kněhyně</t>
  </si>
  <si>
    <t>Prostřední Bečva 412, PSČ 75656</t>
  </si>
  <si>
    <t>SH ČMS - Sbor dobrovolných hasičů Kněžpole</t>
  </si>
  <si>
    <t>SH ČMS - Sbor dobrovolných hasičů Količín</t>
  </si>
  <si>
    <t>Holešov, Količín 93, PSČ 76901</t>
  </si>
  <si>
    <t>SH ČMS - Sbor dobrovolných hasičů Komárno</t>
  </si>
  <si>
    <t>Komárno 17, PSČ 76871</t>
  </si>
  <si>
    <t>SH ČMS - Sbor dobrovolných hasičů Komárov</t>
  </si>
  <si>
    <t>Komárov</t>
  </si>
  <si>
    <t>Komárov 124, PSČ 76361</t>
  </si>
  <si>
    <t>SH ČMS - Sbor dobrovolných hasičů Komárovice</t>
  </si>
  <si>
    <t>Kelč, Komárovice 37, PSČ 75643</t>
  </si>
  <si>
    <t>SH ČMS - Sbor dobrovolných hasičů Komňa</t>
  </si>
  <si>
    <t>Komňa 42, PSČ 68771</t>
  </si>
  <si>
    <t>SH ČMS - Sbor dobrovolných hasičů Koryčany</t>
  </si>
  <si>
    <t>Koryčany, Kyjovská 82, PSČ 76805</t>
  </si>
  <si>
    <t>SH ČMS - Sbor dobrovolných hasičů Korytná</t>
  </si>
  <si>
    <t>Korytná 64, PSČ 68752</t>
  </si>
  <si>
    <t>SH ČMS - Sbor dobrovolných hasičů Kostelany</t>
  </si>
  <si>
    <t>Kostelany 129, PSČ 76701</t>
  </si>
  <si>
    <t>SH ČMS - Sbor dobrovolných hasičů Kostelany nad Moravou</t>
  </si>
  <si>
    <t>Kostelany nad Moravou 19, PSČ 68601</t>
  </si>
  <si>
    <t>SH ČMS - Sbor dobrovolných hasičů Kostelec u Holešova</t>
  </si>
  <si>
    <t>Kostelec u Holešova 58, PSČ 76843</t>
  </si>
  <si>
    <t>SH ČMS - Sbor dobrovolných hasičů Košíky</t>
  </si>
  <si>
    <t>SH ČMS - Sbor dobrovolných hasičů Krhová</t>
  </si>
  <si>
    <t>SH ČMS - Sbor dobrovolných hasičů Kroměříž</t>
  </si>
  <si>
    <t>SH ČMS - Sbor dobrovolných hasičů Křekov</t>
  </si>
  <si>
    <t>Křekov 80, PSČ 76601</t>
  </si>
  <si>
    <t>SH ČMS - Sbor dobrovolných hasičů Kudlovice</t>
  </si>
  <si>
    <t>SH ČMS - Sbor dobrovolných hasičů Kunovice</t>
  </si>
  <si>
    <t>Kunovice, náměstí Svobody 364, PSČ 68604</t>
  </si>
  <si>
    <t>SH ČMS - Sbor dobrovolných hasičů Kurovice</t>
  </si>
  <si>
    <t>SH ČMS - Sbor dobrovolných hasičů Kvasice</t>
  </si>
  <si>
    <t>Kvasice, Družstevní 397, PSČ 76821</t>
  </si>
  <si>
    <t>SH ČMS - Sbor dobrovolných hasičů Kvítkovice</t>
  </si>
  <si>
    <t>Otrokovice, Kvítkovice, Bartošova 104, PSČ 76502</t>
  </si>
  <si>
    <t>SH ČMS - Sbor dobrovolných hasičů Kyselovice</t>
  </si>
  <si>
    <t>Kyselovice 189, PSČ 76811</t>
  </si>
  <si>
    <t>SH ČMS - Sbor dobrovolných hasičů Lačnov</t>
  </si>
  <si>
    <t>Lačnov 290, PSČ 75612</t>
  </si>
  <si>
    <t>SH ČMS - Sbor dobrovolných hasičů Lechotice</t>
  </si>
  <si>
    <t>SH ČMS - Sbor dobrovolných hasičů Leskovec</t>
  </si>
  <si>
    <t>SH ČMS - Sbor dobrovolných hasičů Lešná</t>
  </si>
  <si>
    <t>SH ČMS - Sbor dobrovolných hasičů Lhota</t>
  </si>
  <si>
    <t>Pačlavice, Lhota 108, PSČ 76834</t>
  </si>
  <si>
    <t>Kelč, Lhota 46, PSČ 75643</t>
  </si>
  <si>
    <t>SH ČMS - Sbor dobrovolných hasičů Lhota u Vsetína</t>
  </si>
  <si>
    <t>SH ČMS - Sbor dobrovolných hasičů Lhotka</t>
  </si>
  <si>
    <t>Hradčovice, Lhotka 62, PSČ 68733</t>
  </si>
  <si>
    <t>SH ČMS - Sbor dobrovolných hasičů Lhotka nad Bečvou</t>
  </si>
  <si>
    <t>Lešná, Lhotka nad Bečvou 10, PSČ 75641</t>
  </si>
  <si>
    <t>SH ČMS - Sbor dobrovolných hasičů Lhotsko</t>
  </si>
  <si>
    <t>Lhotsko</t>
  </si>
  <si>
    <t>Lhotsko 57, PSČ 76312</t>
  </si>
  <si>
    <t>SH ČMS - Sbor dobrovolných hasičů Libosváry</t>
  </si>
  <si>
    <t>Loukov, Libosváry 57, PSČ 76861</t>
  </si>
  <si>
    <t>SH ČMS - Sbor dobrovolných hasičů Lidečko</t>
  </si>
  <si>
    <t>SH ČMS - Sbor dobrovolných hasičů Lípa</t>
  </si>
  <si>
    <t>Lípa 118, PSČ 76311</t>
  </si>
  <si>
    <t>SH ČMS - Sbor dobrovolných hasičů Lipina</t>
  </si>
  <si>
    <t>Valašské Klobouky, Lipina 58, PSČ 76601</t>
  </si>
  <si>
    <t>SH ČMS - Sbor dobrovolných hasičů Lipová</t>
  </si>
  <si>
    <t>Lipová 48, PSČ 76321</t>
  </si>
  <si>
    <t>SH ČMS - Sbor dobrovolných hasičů Liptál</t>
  </si>
  <si>
    <t>Liptál 408, PSČ 75631</t>
  </si>
  <si>
    <t>SH ČMS - Sbor dobrovolných hasičů Lískovec</t>
  </si>
  <si>
    <t>Koryčany, Lískovec 131, PSČ 76805</t>
  </si>
  <si>
    <t>SH ČMS - Sbor dobrovolných hasičů Litenčice</t>
  </si>
  <si>
    <t>SH ČMS - Sbor dobrovolných hasičů Loučka</t>
  </si>
  <si>
    <t>Loučka 44, PSČ 76325</t>
  </si>
  <si>
    <t>SH ČMS - Sbor dobrovolných hasičů Loukov</t>
  </si>
  <si>
    <t>Loukov 161, PSČ 76875</t>
  </si>
  <si>
    <t>SH ČMS - Sbor dobrovolných hasičů Lubná</t>
  </si>
  <si>
    <t>Lubná 52, PSČ 76701</t>
  </si>
  <si>
    <t>SH ČMS - Sbor dobrovolných hasičů Ludkovice</t>
  </si>
  <si>
    <t>SH ČMS - Sbor dobrovolných hasičů Ludslavice</t>
  </si>
  <si>
    <t>Ludslavice 97, PSČ 76852</t>
  </si>
  <si>
    <t>SH ČMS - Sbor dobrovolných hasičů Luhačovice</t>
  </si>
  <si>
    <t>Luhačovice, Uherskobrodská 877, PSČ 76326</t>
  </si>
  <si>
    <t>SH ČMS - Sbor dobrovolných hasičů Lukov</t>
  </si>
  <si>
    <t>SH ČMS - Sbor dobrovolných hasičů Lukoveček</t>
  </si>
  <si>
    <t>Lukoveček, Přílepská 120, PSČ 76316</t>
  </si>
  <si>
    <t>SH ČMS - Sbor dobrovolných hasičů Lutonina</t>
  </si>
  <si>
    <t>Lutonina 153, PSČ 76312</t>
  </si>
  <si>
    <t>SH ČMS - Sbor dobrovolných hasičů Lutopecny</t>
  </si>
  <si>
    <t>SH ČMS - Sbor dobrovolných hasičů Lužná</t>
  </si>
  <si>
    <t>Lužná 92, PSČ 75611</t>
  </si>
  <si>
    <t>SH ČMS - Sbor dobrovolných hasičů Machová</t>
  </si>
  <si>
    <t>Machová 120, PSČ 76301</t>
  </si>
  <si>
    <t>SH ČMS - Sbor dobrovolných hasičů Malá Bystřice</t>
  </si>
  <si>
    <t>SH ČMS - Sbor dobrovolných hasičů Malá Lhota</t>
  </si>
  <si>
    <t>Velká Lhota, Malá Lhota 67, PSČ 75701</t>
  </si>
  <si>
    <t>SH ČMS - Sbor dobrovolných hasičů Martinice</t>
  </si>
  <si>
    <t>SH ČMS - Sbor dobrovolných hasičů Mařatice</t>
  </si>
  <si>
    <t>Uherské Hradiště, Mařatice, 1. máje 96, PSČ 68605</t>
  </si>
  <si>
    <t>SH ČMS - Sbor dobrovolných hasičů Medlov</t>
  </si>
  <si>
    <t>Zborovice, Medlov 24, PSČ 76802</t>
  </si>
  <si>
    <t>SH ČMS - Sbor dobrovolných hasičů Měrůtky</t>
  </si>
  <si>
    <t>Lutopecny, Měrůtky 22, PSČ 76701</t>
  </si>
  <si>
    <t>SH ČMS - Sbor dobrovolných hasičů Míkovice</t>
  </si>
  <si>
    <t>Uherské Hradiště, Míkovice, Na Příkopě 217, PSČ 68609</t>
  </si>
  <si>
    <t>SH ČMS - Sbor dobrovolných hasičů Mikulůvka</t>
  </si>
  <si>
    <t>Mikulůvka 164, PSČ 75624</t>
  </si>
  <si>
    <t>SH ČMS - Sbor dobrovolných hasičů Mirošov</t>
  </si>
  <si>
    <t>SH ČMS - Sbor dobrovolných hasičů Mistřice</t>
  </si>
  <si>
    <t>SH ČMS - Sbor dobrovolných hasičů Míškovice</t>
  </si>
  <si>
    <t>SH ČMS - Sbor dobrovolných hasičů Modrá</t>
  </si>
  <si>
    <t>Modrá 170, PSČ 68706</t>
  </si>
  <si>
    <t>SH ČMS - Sbor dobrovolných hasičů Morkovice</t>
  </si>
  <si>
    <t>Morkovice-Slížany, Morkovice, Kolaříkova 559, PSČ 76833</t>
  </si>
  <si>
    <t>SH ČMS - Sbor dobrovolných hasičů Mysločovice</t>
  </si>
  <si>
    <t>Mysločovice 82, PSČ 76301</t>
  </si>
  <si>
    <t>SH ČMS - Sbor dobrovolných hasičů Napajedla</t>
  </si>
  <si>
    <t>SH ČMS - Sbor dobrovolných hasičů Návojná</t>
  </si>
  <si>
    <t>Návojná 101, PSČ 76332</t>
  </si>
  <si>
    <t>SH ČMS - Sbor dobrovolných hasičů Nedachlebice</t>
  </si>
  <si>
    <t>SH ČMS - Sbor dobrovolných hasičů Nedakonice</t>
  </si>
  <si>
    <t>SH ČMS - Sbor dobrovolných hasičů Nedašov</t>
  </si>
  <si>
    <t>Nedašov 61, PSČ 76332</t>
  </si>
  <si>
    <t>SH ČMS - Sbor dobrovolných hasičů Nedašova Lhota</t>
  </si>
  <si>
    <t>Nedašova Lhota 57, PSČ 76332</t>
  </si>
  <si>
    <t>SH ČMS - Sbor dobrovolných hasičů Němčice</t>
  </si>
  <si>
    <t>Němčice 63, PSČ 76843</t>
  </si>
  <si>
    <t>SH ČMS - Sbor dobrovolných hasičů Němetice</t>
  </si>
  <si>
    <t>Kelč, Němetice 75, PSČ 75643</t>
  </si>
  <si>
    <t>SH ČMS - Sbor dobrovolných hasičů Nětčice</t>
  </si>
  <si>
    <t>SH ČMS - Sbor dobrovolných hasičů Neubuz</t>
  </si>
  <si>
    <t>SH ČMS - Sbor dobrovolných hasičů Nevšová</t>
  </si>
  <si>
    <t>SH ČMS - Sbor dobrovolných hasičů Nezdenice</t>
  </si>
  <si>
    <t>Nezdenice 72, PSČ 68732</t>
  </si>
  <si>
    <t>SH ČMS - Sbor dobrovolných hasičů Nivnice</t>
  </si>
  <si>
    <t>Nivnice, náměstí Míru 177, PSČ 68751</t>
  </si>
  <si>
    <t>SH ČMS - Sbor dobrovolných hasičů Nová Dědina</t>
  </si>
  <si>
    <t>Nová Dědina 12, PSČ 76821</t>
  </si>
  <si>
    <t>SH ČMS - Sbor dobrovolných hasičů Nový Hrozenkov</t>
  </si>
  <si>
    <t>Nový Hrozenkov 458, PSČ 75604</t>
  </si>
  <si>
    <t>SH ČMS - Sbor dobrovolných hasičů Oldřichovice</t>
  </si>
  <si>
    <t>Oldřichovice 86, PSČ 76361</t>
  </si>
  <si>
    <t>SH ČMS - Sbor dobrovolných hasičů Ořechov</t>
  </si>
  <si>
    <t>SH ČMS - Sbor dobrovolných hasičů Osíčko</t>
  </si>
  <si>
    <t>Osíčko 130, PSČ 76861</t>
  </si>
  <si>
    <t>SH ČMS - Sbor dobrovolných hasičů Ostrata</t>
  </si>
  <si>
    <t>SH ČMS - Sbor dobrovolných hasičů Ostrožská Lhota</t>
  </si>
  <si>
    <t>Ostrožská Lhota 530, PSČ 68723</t>
  </si>
  <si>
    <t>SH ČMS - Sbor dobrovolných hasičů Ostrožská Nová Ves</t>
  </si>
  <si>
    <t>Ostrožská Nová Ves, Chylice, Na lapači 142, PSČ 68722</t>
  </si>
  <si>
    <t>SH ČMS - Sbor dobrovolných hasičů Osvětimany</t>
  </si>
  <si>
    <t>Osvětimany 43, PSČ 68742</t>
  </si>
  <si>
    <t>SH ČMS - Sbor dobrovolných hasičů Otrokovice</t>
  </si>
  <si>
    <t>Otrokovice, Kvítkovice, Příčná 1614, PSČ 76502</t>
  </si>
  <si>
    <t>SH ČMS - Sbor dobrovolných hasičů Oznice</t>
  </si>
  <si>
    <t>SH ČMS - Sbor dobrovolných hasičů Pacetluky</t>
  </si>
  <si>
    <t>Pacetluky 10, PSČ 76843</t>
  </si>
  <si>
    <t>SH ČMS - Sbor dobrovolných hasičů Pačlavice</t>
  </si>
  <si>
    <t>Pačlavice 8, PSČ 76834</t>
  </si>
  <si>
    <t>SH ČMS - Sbor dobrovolných hasičů Pašovice</t>
  </si>
  <si>
    <t>SH ČMS - Sbor dobrovolných hasičů Perná</t>
  </si>
  <si>
    <t>Lešná, Perná 70, PSČ 75641</t>
  </si>
  <si>
    <t>SH ČMS - Sbor dobrovolných hasičů Petrůvka</t>
  </si>
  <si>
    <t>SH ČMS - Sbor dobrovolných hasičů Pitín</t>
  </si>
  <si>
    <t>Pitín 18, PSČ 68771</t>
  </si>
  <si>
    <t>SH ČMS - Sbor dobrovolných hasičů Plešovec</t>
  </si>
  <si>
    <t>Chropyně, Plešovec 1, PSČ 76811</t>
  </si>
  <si>
    <t>SH ČMS - Sbor dobrovolných hasičů Počenice</t>
  </si>
  <si>
    <t>SH ČMS - Sbor dobrovolných hasičů Podhradí</t>
  </si>
  <si>
    <t>Podhradí</t>
  </si>
  <si>
    <t>Podhradí 41, PSČ 76326</t>
  </si>
  <si>
    <t>SH ČMS - Sbor dobrovolných hasičů Podhradní Lhota</t>
  </si>
  <si>
    <t>Podhradní Lhota 175, PSČ 76871</t>
  </si>
  <si>
    <t>SH ČMS - Sbor dobrovolných hasičů Podkopná Lhota</t>
  </si>
  <si>
    <t>Podkopná Lhota 37, PSČ 76318</t>
  </si>
  <si>
    <t>SH ČMS - Sbor dobrovolných hasičů Podlesí - Křivé</t>
  </si>
  <si>
    <t>SH ČMS - Sbor dobrovolných hasičů Podolí</t>
  </si>
  <si>
    <t>Podolí 33, PSČ 75644</t>
  </si>
  <si>
    <t>SH ČMS - Sbor dobrovolných hasičů Pohořelice</t>
  </si>
  <si>
    <t>Pohořelice, Náves 300, PSČ 76361</t>
  </si>
  <si>
    <t>SH ČMS - Sbor dobrovolných hasičů Polešovice</t>
  </si>
  <si>
    <t>Polešovice 20, PSČ 68737</t>
  </si>
  <si>
    <t>SH ČMS - Sbor dobrovolných hasičů Polešovice II.</t>
  </si>
  <si>
    <t>Polešovice 782, PSČ 68737</t>
  </si>
  <si>
    <t>SH ČMS - Sbor dobrovolných hasičů Police</t>
  </si>
  <si>
    <t>SH ČMS - Sbor dobrovolných hasičů Polichno</t>
  </si>
  <si>
    <t>SH ČMS - Sbor dobrovolných hasičů Poličná</t>
  </si>
  <si>
    <t>SH ČMS - Sbor dobrovolných hasičů Popov</t>
  </si>
  <si>
    <t>Štítná nad Vláří-Popov, Popov 20, PSČ 76333</t>
  </si>
  <si>
    <t>SH ČMS - Sbor dobrovolných hasičů Pornice</t>
  </si>
  <si>
    <t>Pačlavice, Pornice 27, PSČ 76833</t>
  </si>
  <si>
    <t>SH ČMS - Sbor dobrovolných hasičů Postoupky</t>
  </si>
  <si>
    <t>SH ČMS - Sbor dobrovolných hasičů Poteč</t>
  </si>
  <si>
    <t>Poteč 250, PSČ 76601</t>
  </si>
  <si>
    <t>SH ČMS - Sbor dobrovolných hasičů Pozděchov</t>
  </si>
  <si>
    <t>Pozděchov 237, PSČ 75611</t>
  </si>
  <si>
    <t>SH ČMS - Sbor dobrovolných hasičů Pozlovice</t>
  </si>
  <si>
    <t>SH ČMS - Sbor dobrovolných hasičů Pradlisko</t>
  </si>
  <si>
    <t>SH ČMS - Sbor dobrovolných hasičů Prakšice</t>
  </si>
  <si>
    <t>Prakšice 190, PSČ 68756</t>
  </si>
  <si>
    <t>SH ČMS - Sbor dobrovolných hasičů Prasklice</t>
  </si>
  <si>
    <t>SH ČMS - Sbor dobrovolných hasičů Pravčice</t>
  </si>
  <si>
    <t>Pravčice 208, PSČ 76824</t>
  </si>
  <si>
    <t>SH ČMS - Sbor dobrovolných hasičů Prlov</t>
  </si>
  <si>
    <t>SH ČMS - Sbor dobrovolných hasičů Prostřední Bečva</t>
  </si>
  <si>
    <t>Prostřední Bečva 350, PSČ 75656</t>
  </si>
  <si>
    <t>SH ČMS - Sbor dobrovolných hasičů Provodov</t>
  </si>
  <si>
    <t>Provodov 233, PSČ 76345</t>
  </si>
  <si>
    <t>SH ČMS - Sbor dobrovolných hasičů Prusinovice</t>
  </si>
  <si>
    <t>Prusinovice, Zámčisko 351, PSČ 76842</t>
  </si>
  <si>
    <t>SH ČMS - Sbor dobrovolných hasičů Pržno</t>
  </si>
  <si>
    <t>SH ČMS - Sbor dobrovolných hasičů Přílepy</t>
  </si>
  <si>
    <t>SH ČMS - Sbor dobrovolných hasičů Příluky</t>
  </si>
  <si>
    <t>Lešná, Příluky 52, PSČ 75641</t>
  </si>
  <si>
    <t>SH ČMS - Sbor dobrovolných hasičů Pulčín</t>
  </si>
  <si>
    <t>Francova Lhota, Pulčín 13, PSČ 75612</t>
  </si>
  <si>
    <t>SH ČMS - Sbor dobrovolných hasičů Racková</t>
  </si>
  <si>
    <t>SH ČMS - Sbor dobrovolných hasičů Rajnochovice</t>
  </si>
  <si>
    <t>SH ČMS - Sbor dobrovolných hasičů Raková</t>
  </si>
  <si>
    <t>Zádveřice-Raková, Raková 77, PSČ 76312</t>
  </si>
  <si>
    <t>SH ČMS - Sbor dobrovolných hasičů Rataje</t>
  </si>
  <si>
    <t>SH ČMS - Sbor dobrovolných hasičů Ratiboř</t>
  </si>
  <si>
    <t>Ratiboř 435, PSČ 75621</t>
  </si>
  <si>
    <t>SH ČMS - Sbor dobrovolných hasičů Rokytnice</t>
  </si>
  <si>
    <t>Rokytnice 58, PSČ 76321</t>
  </si>
  <si>
    <t>Vsetín, Rokytnice 510, PSČ 75501</t>
  </si>
  <si>
    <t>SH ČMS - Sbor dobrovolných hasičů Roštění</t>
  </si>
  <si>
    <t>Roštění 141, PSČ 76843</t>
  </si>
  <si>
    <t>SH ČMS - Sbor dobrovolných hasičů Roštín</t>
  </si>
  <si>
    <t>SH ČMS - Sbor dobrovolných hasičů Rožnov pod Radhoštěm</t>
  </si>
  <si>
    <t>Rožnov pod Radhoštěm, Jiřího Wolkera 1144, PSČ 75661</t>
  </si>
  <si>
    <t>SH ČMS - Sbor dobrovolných hasičů Rudice</t>
  </si>
  <si>
    <t>Rudice 227, PSČ 68732</t>
  </si>
  <si>
    <t>SH ČMS - Sbor dobrovolných hasičů Rudimov</t>
  </si>
  <si>
    <t>SH ČMS - Sbor dobrovolných hasičů Rusava</t>
  </si>
  <si>
    <t>SH ČMS - Sbor dobrovolných hasičů Růžďka</t>
  </si>
  <si>
    <t>SH ČMS - Sbor dobrovolných hasičů Rychlov</t>
  </si>
  <si>
    <t>Bystřice pod Hostýnem, Rychlov, Přerovská 33, PSČ 76861</t>
  </si>
  <si>
    <t>SH ČMS - Sbor dobrovolných hasičů Rymice</t>
  </si>
  <si>
    <t>Rymice 173, PSČ 76901</t>
  </si>
  <si>
    <t>SH ČMS - Sbor dobrovolných hasičů Řetechov</t>
  </si>
  <si>
    <t>Luhačovice, Řetechov 81, PSČ 76326</t>
  </si>
  <si>
    <t>SH ČMS - Sbor dobrovolných hasičů Salaš</t>
  </si>
  <si>
    <t>SH ČMS - Sbor dobrovolných hasičů Sazovice</t>
  </si>
  <si>
    <t>SH ČMS - Sbor dobrovolných hasičů Sehradice</t>
  </si>
  <si>
    <t>SH ČMS - Sbor dobrovolných hasičů Semetín</t>
  </si>
  <si>
    <t>Vsetín, Semetín 2276, PSČ 75501</t>
  </si>
  <si>
    <t>SH ČMS - Sbor dobrovolných hasičů Seninka</t>
  </si>
  <si>
    <t>Seninka 112, PSČ 75611</t>
  </si>
  <si>
    <t>SH ČMS - Sbor dobrovolných hasičů Sklárny Karolinka</t>
  </si>
  <si>
    <t>Karolinka, Pod Horů 184, PSČ 75605</t>
  </si>
  <si>
    <t>SH ČMS - Sbor dobrovolných hasičů Slavičín</t>
  </si>
  <si>
    <t>SH ČMS - Sbor dobrovolných hasičů Slavkov</t>
  </si>
  <si>
    <t>SH ČMS - Sbor dobrovolných hasičů Slavkov pod Hostýnem</t>
  </si>
  <si>
    <t>Slavkov pod Hostýnem 188, PSČ 76861</t>
  </si>
  <si>
    <t>SH ČMS - Sbor dobrovolných hasičů Slopné</t>
  </si>
  <si>
    <t>Slopné 124, PSČ 76323</t>
  </si>
  <si>
    <t>SH ČMS - Sbor dobrovolných hasičů Slušovice</t>
  </si>
  <si>
    <t>Slušovice, Dlouhá 144, PSČ 76315</t>
  </si>
  <si>
    <t>SH ČMS - Sbor dobrovolných hasičů Smolina</t>
  </si>
  <si>
    <t>Valašské Klobouky, Smolina 96, PSČ 76601</t>
  </si>
  <si>
    <t>SH ČMS - Sbor dobrovolných hasičů Sobělice</t>
  </si>
  <si>
    <t>Rataje, Sobělice 8, PSČ 76812</t>
  </si>
  <si>
    <t>SH ČMS - Sbor dobrovolných hasičů Soběsuky</t>
  </si>
  <si>
    <t>SH ČMS - Sbor dobrovolných hasičů Spytihněv</t>
  </si>
  <si>
    <t>Spytihněv 567, PSČ 76364</t>
  </si>
  <si>
    <t>SH ČMS - Sbor dobrovolných hasičů Stanovnice</t>
  </si>
  <si>
    <t>Karolinka, Stanovnice 420, PSČ 75605</t>
  </si>
  <si>
    <t>SH ČMS - Sbor dobrovolných hasičů Staré Hutě</t>
  </si>
  <si>
    <t>Staré Hutě</t>
  </si>
  <si>
    <t>Staré Hutě 70, PSČ 68601</t>
  </si>
  <si>
    <t>SH ČMS - Sbor dobrovolných hasičů Staré Město</t>
  </si>
  <si>
    <t>Staré Město, Za Mlýnem 313, PSČ 68603</t>
  </si>
  <si>
    <t>SH ČMS - Sbor dobrovolných hasičů Staré Zubří</t>
  </si>
  <si>
    <t>Zubří, Starozuberská 352, PSČ 75654</t>
  </si>
  <si>
    <t>SH ČMS - Sbor dobrovolných hasičů Starý Hrozenkov</t>
  </si>
  <si>
    <t>Starý Hrozenkov 329, PSČ 68774</t>
  </si>
  <si>
    <t>SH ČMS - Sbor dobrovolných hasičů Strání</t>
  </si>
  <si>
    <t>SH ČMS - Sbor dobrovolných hasičů Střelná</t>
  </si>
  <si>
    <t>SH ČMS - Sbor dobrovolných hasičů Stříbrnice</t>
  </si>
  <si>
    <t>Stříbrnice 124, PSČ 68709</t>
  </si>
  <si>
    <t>SH ČMS - Sbor dobrovolných hasičů Střílky</t>
  </si>
  <si>
    <t>SH ČMS - Sbor dobrovolných hasičů Střítež nad Bečvou</t>
  </si>
  <si>
    <t>Střítež nad Bečvou 197, PSČ 75652</t>
  </si>
  <si>
    <t>SH ČMS - Sbor dobrovolných hasičů Stupava</t>
  </si>
  <si>
    <t>Stupava 22, PSČ 68601</t>
  </si>
  <si>
    <t>SH ČMS - Sbor dobrovolných hasičů Suchá Loz</t>
  </si>
  <si>
    <t>Suchá Loz 265, PSČ 68753</t>
  </si>
  <si>
    <t>SH ČMS - Sbor dobrovolných hasičů Sulimov</t>
  </si>
  <si>
    <t>Sulimov</t>
  </si>
  <si>
    <t>Sulimov 51, PSČ 76821</t>
  </si>
  <si>
    <t>SH ČMS - Sbor dobrovolných hasičů Sušice</t>
  </si>
  <si>
    <t>Sušice 21, PSČ 68704</t>
  </si>
  <si>
    <t>SH ČMS - Sbor dobrovolných hasičů Svatý Štěpán</t>
  </si>
  <si>
    <t>Brumov-Bylnice, Svatý Štěpán 110, PSČ 76334</t>
  </si>
  <si>
    <t>SH ČMS - Sbor dobrovolných hasičů Šanov</t>
  </si>
  <si>
    <t>Šanov 156, PSČ 76321</t>
  </si>
  <si>
    <t>SH ČMS - Sbor dobrovolných hasičů Šarovy</t>
  </si>
  <si>
    <t>Šarovy 35, PSČ 76351</t>
  </si>
  <si>
    <t>SH ČMS - Sbor dobrovolných hasičů Šelešovice</t>
  </si>
  <si>
    <t>SH ČMS - Sbor dobrovolných hasičů Štítná nad Vláří</t>
  </si>
  <si>
    <t>Štítná nad Vláří-Popov, Štítná nad Vláří 76, PSČ 76333</t>
  </si>
  <si>
    <t>SH ČMS - Sbor dobrovolných hasičů Študlov</t>
  </si>
  <si>
    <t>Študlov 149, PSČ 75612</t>
  </si>
  <si>
    <t>SH ČMS - Sbor dobrovolných hasičů Šumice</t>
  </si>
  <si>
    <t>SH ČMS - Sbor dobrovolných hasičů Tečovice</t>
  </si>
  <si>
    <t>SH ČMS - Sbor dobrovolných hasičů Těšov</t>
  </si>
  <si>
    <t>Uherský Brod, Těšov, Dr. Horáka 102, PSČ 68734</t>
  </si>
  <si>
    <t>SH ČMS - Sbor dobrovolných hasičů Tetětice</t>
  </si>
  <si>
    <t>Počenice-Tetětice, Tetětice 74, PSČ 76833</t>
  </si>
  <si>
    <t>SH ČMS - Sbor dobrovolných hasičů Tichov</t>
  </si>
  <si>
    <t>Tichov 105, PSČ 76601</t>
  </si>
  <si>
    <t>SH ČMS - Sbor dobrovolných hasičů Tlumačov</t>
  </si>
  <si>
    <t>Tlumačov, Masarykova 285, PSČ 76362</t>
  </si>
  <si>
    <t>SH ČMS - Sbor dobrovolných hasičů Topolná</t>
  </si>
  <si>
    <t>Topolná 82, PSČ 68711</t>
  </si>
  <si>
    <t>SH ČMS - Sbor dobrovolných hasičů Traplice</t>
  </si>
  <si>
    <t>Traplice 373, PSČ 68704</t>
  </si>
  <si>
    <t>SH ČMS - Sbor dobrovolných hasičů Trávník</t>
  </si>
  <si>
    <t>Kroměříž, Trávník 138, PSČ 76701</t>
  </si>
  <si>
    <t>SH ČMS - Sbor dobrovolných hasičů Trnava</t>
  </si>
  <si>
    <t>Trnava 161, PSČ 76318</t>
  </si>
  <si>
    <t>SH ČMS - Sbor dobrovolných hasičů Troubky</t>
  </si>
  <si>
    <t>SH ČMS - Sbor dobrovolných hasičů Tučapy</t>
  </si>
  <si>
    <t>Tučapy 30, PSČ 68709</t>
  </si>
  <si>
    <t>Holešov, Tučapy 68, PSČ 76901</t>
  </si>
  <si>
    <t>SH ČMS - Sbor dobrovolných hasičů Tupesy</t>
  </si>
  <si>
    <t>Tupesy 135, PSČ 68707</t>
  </si>
  <si>
    <t>SH ČMS - Sbor dobrovolných hasičů Tylovice</t>
  </si>
  <si>
    <t>Rožnov pod Radhoštěm, Tylovice 1828, PSČ 75661</t>
  </si>
  <si>
    <t>SH ČMS - Sbor dobrovolných hasičů Ublo</t>
  </si>
  <si>
    <t>SH ČMS - Sbor dobrovolných hasičů Uherské Hradiště</t>
  </si>
  <si>
    <t>SH ČMS - Sbor dobrovolných hasičů Uherský Brod</t>
  </si>
  <si>
    <t>Uherský Brod, Pod Dvorkem 379, PSČ 68801</t>
  </si>
  <si>
    <t>SH ČMS - Sbor dobrovolných hasičů Uherský Ostroh I.</t>
  </si>
  <si>
    <t>Uherský Ostroh, Ostrožské Předměstí, Veselská 844, PSČ 68724</t>
  </si>
  <si>
    <t>SH ČMS - Sbor dobrovolných hasičů Uhřice</t>
  </si>
  <si>
    <t>Uhřice</t>
  </si>
  <si>
    <t>Uhřice 39, PSČ 76833</t>
  </si>
  <si>
    <t>SH ČMS - Sbor dobrovolných hasičů Újezd</t>
  </si>
  <si>
    <t>SH ČMS - Sbor dobrovolných hasičů Újezdec u Medlovic</t>
  </si>
  <si>
    <t>Újezdec 122, PSČ 68741</t>
  </si>
  <si>
    <t>SH ČMS - Sbor dobrovolných hasičů Ústí</t>
  </si>
  <si>
    <t>Ústí 157, PSČ 75501</t>
  </si>
  <si>
    <t>SH ČMS - Sbor dobrovolných hasičů v Polešovicích II.</t>
  </si>
  <si>
    <t>Polešovice,</t>
  </si>
  <si>
    <t>SH ČMS - Sbor dobrovolných hasičů Valašská Bystřice</t>
  </si>
  <si>
    <t>Valašská Bystřice 470, PSČ 75627</t>
  </si>
  <si>
    <t>SH ČMS - Sbor dobrovolných hasičů Valašská Polanka</t>
  </si>
  <si>
    <t>SH ČMS - Sbor dobrovolných hasičů Valašská Senice</t>
  </si>
  <si>
    <t>SH ČMS - Sbor dobrovolných hasičů Valašské Klobouky</t>
  </si>
  <si>
    <t>Valašské Klobouky, Brumovská 710, PSČ 76601</t>
  </si>
  <si>
    <t>SH ČMS - Sbor dobrovolných hasičů Valašské Meziřící - Lhota</t>
  </si>
  <si>
    <t>SH ČMS - Sbor dobrovolných hasičů Valašské Meziříčí</t>
  </si>
  <si>
    <t>SH ČMS - Sbor dobrovolných hasičů Valašské Příkazy</t>
  </si>
  <si>
    <t>Valašské Příkazy 21, PSČ 75612</t>
  </si>
  <si>
    <t>SH ČMS - Sbor dobrovolných hasičů Vážany</t>
  </si>
  <si>
    <t>SH ČMS - Sbor dobrovolných hasičů Velehrad</t>
  </si>
  <si>
    <t>Velehrad, Salašská 350, PSČ 68706</t>
  </si>
  <si>
    <t>SH ČMS - Sbor dobrovolných hasičů Veletiny</t>
  </si>
  <si>
    <t>SH ČMS - Sbor dobrovolných hasičů Velká Lhota</t>
  </si>
  <si>
    <t>Velká Lhota 146, PSČ 75701</t>
  </si>
  <si>
    <t>SH ČMS - Sbor dobrovolných hasičů Velké Karlovice U kostela</t>
  </si>
  <si>
    <t>Velké Karlovice 14, PSČ 75606</t>
  </si>
  <si>
    <t>SH ČMS - Sbor dobrovolných hasičů Velké Karlovice-Jezerné</t>
  </si>
  <si>
    <t>Velké Karlovice 1017, PSČ 75606</t>
  </si>
  <si>
    <t>SH ČMS - Sbor dobrovolných hasičů Velké Karlovice-Leskové</t>
  </si>
  <si>
    <t>SH ČMS - Sbor dobrovolných hasičů Velké Karlovice-Podťaté</t>
  </si>
  <si>
    <t>Velké Karlovice 523, PSČ 75606</t>
  </si>
  <si>
    <t>SH ČMS - Sbor dobrovolných hasičů Velké Karlovice-Tísňavy</t>
  </si>
  <si>
    <t>SH ČMS - Sbor dobrovolných hasičů Velké Těšany</t>
  </si>
  <si>
    <t>SH ČMS - Sbor dobrovolných hasičů Velký Ořechov</t>
  </si>
  <si>
    <t>Velký Ořechov 210, PSČ 76307</t>
  </si>
  <si>
    <t>SH ČMS - Sbor dobrovolných hasičů Veselá</t>
  </si>
  <si>
    <t>Veselá 130, PSČ 76315</t>
  </si>
  <si>
    <t>Zašová, Veselá 76, PSČ 75651</t>
  </si>
  <si>
    <t>SH ČMS - Sbor dobrovolných hasičů Vésky</t>
  </si>
  <si>
    <t>Uherské Hradiště, Vésky, Na Dědině 137, PSČ 68601</t>
  </si>
  <si>
    <t>SH ČMS - Sbor dobrovolných hasičů Věžky</t>
  </si>
  <si>
    <t>Věžky 43, PSČ 76833</t>
  </si>
  <si>
    <t>SH ČMS - Sbor dobrovolných hasičů Vidče</t>
  </si>
  <si>
    <t>SH ČMS - Sbor dobrovolných hasičů Vigantice</t>
  </si>
  <si>
    <t>Vigantice 203, PSČ 75661</t>
  </si>
  <si>
    <t>SH ČMS - Sbor dobrovolných hasičů Vítonice</t>
  </si>
  <si>
    <t>Vítonice 82, PSČ 76861</t>
  </si>
  <si>
    <t>SH ČMS - Sbor dobrovolných hasičů Vizovice</t>
  </si>
  <si>
    <t>SH ČMS - Sbor dobrovolných hasičů Vlachova Lhota</t>
  </si>
  <si>
    <t>SH ČMS - Sbor dobrovolných hasičů Vlachovice</t>
  </si>
  <si>
    <t>SH ČMS - Sbor dobrovolných hasičů Vlčí Doly</t>
  </si>
  <si>
    <t>Věžky, Vlčí Doly 37, PSČ 76833</t>
  </si>
  <si>
    <t>SH ČMS - Sbor dobrovolných hasičů Vlčková</t>
  </si>
  <si>
    <t>Vlčková 136, PSČ 76319</t>
  </si>
  <si>
    <t>SH ČMS - Sbor dobrovolných hasičů Vlčnov</t>
  </si>
  <si>
    <t>Vlčnov 9, PSČ 68761</t>
  </si>
  <si>
    <t>SH ČMS - Sbor dobrovolných hasičů Vrbětice</t>
  </si>
  <si>
    <t>Vlachovice, Vrbětice 43, PSČ 76324</t>
  </si>
  <si>
    <t>SH ČMS - Sbor dobrovolných hasičů Vrbka</t>
  </si>
  <si>
    <t>Vrbka 69, PSČ 76821</t>
  </si>
  <si>
    <t>SH ČMS - Sbor dobrovolných hasičů Vsetín-město</t>
  </si>
  <si>
    <t>Vsetín, Havlíčkova 327, PSČ 75501</t>
  </si>
  <si>
    <t>SH ČMS - Sbor dobrovolných hasičů Všemina</t>
  </si>
  <si>
    <t>Všemina 313, PSČ 76315</t>
  </si>
  <si>
    <t>SH ČMS - Sbor dobrovolných hasičů Vysoká</t>
  </si>
  <si>
    <t>Lešná, Vysoká 44, PSČ 75641</t>
  </si>
  <si>
    <t>SH ČMS - Sbor dobrovolných hasičů Vysoké Pole</t>
  </si>
  <si>
    <t>Vysoké Pole 2, PSČ 76325</t>
  </si>
  <si>
    <t>SH ČMS - Sbor dobrovolných hasičů Zádveřice</t>
  </si>
  <si>
    <t>Zádveřice-Raková, Zádveřice 399, PSČ 76312</t>
  </si>
  <si>
    <t>SH ČMS - Sbor dobrovolných hasičů Záhlinice</t>
  </si>
  <si>
    <t>Hulín, Záhlinice 18, PSČ 76824</t>
  </si>
  <si>
    <t>SH ČMS - Sbor dobrovolných hasičů Zahnašovice</t>
  </si>
  <si>
    <t>Zahnašovice 19, PSČ 76901</t>
  </si>
  <si>
    <t>SH ČMS - Sbor dobrovolných hasičů Záhorovice</t>
  </si>
  <si>
    <t>Záhorovice 382, PSČ 68771</t>
  </si>
  <si>
    <t>SH ČMS - Sbor dobrovolných hasičů Záříčí</t>
  </si>
  <si>
    <t>Záříčí 25, PSČ 76811</t>
  </si>
  <si>
    <t>SH ČMS - Sbor dobrovolných hasičů Zástřizly</t>
  </si>
  <si>
    <t>Zástřizly 6, PSČ 76805</t>
  </si>
  <si>
    <t>SH ČMS - Sbor dobrovolných hasičů Zašová</t>
  </si>
  <si>
    <t>SH ČMS - Sbor dobrovolných hasičů Zborovice</t>
  </si>
  <si>
    <t>SH ČMS - Sbor dobrovolných hasičů ZD Velké Karlovice</t>
  </si>
  <si>
    <t>SH ČMS - Sbor dobrovolných hasičů Zděchov</t>
  </si>
  <si>
    <t>SH ČMS - Sbor dobrovolných hasičů Zdislavice</t>
  </si>
  <si>
    <t>SH ČMS - Sbor dobrovolných hasičů Zdounky</t>
  </si>
  <si>
    <t>Zdounky, Zborovská 216, PSČ 76802</t>
  </si>
  <si>
    <t>SH ČMS - Sbor dobrovolných hasičů Zlámanka</t>
  </si>
  <si>
    <t>Kroměříž, Zlámanka 33, PSČ 76701</t>
  </si>
  <si>
    <t>SH ČMS - Sbor dobrovolných hasičů Zlechov</t>
  </si>
  <si>
    <t>SH ČMS - Sbor dobrovolných hasičů Zlín - Jaroslavice</t>
  </si>
  <si>
    <t>Zlín, Jaroslavice, Anenská 195, PSČ 76001</t>
  </si>
  <si>
    <t>SH ČMS - Sbor dobrovolných hasičů Zlín - Klečůvka</t>
  </si>
  <si>
    <t>Zlín, Klečůvka 16, PSČ 76311</t>
  </si>
  <si>
    <t>SH ČMS - Sbor dobrovolných hasičů Zlín - Kostelec</t>
  </si>
  <si>
    <t>Zlín, Kostelec, Na Rusavě 271, PSČ 76314</t>
  </si>
  <si>
    <t>SH ČMS - Sbor dobrovolných hasičů Zlín - Lhotka</t>
  </si>
  <si>
    <t>Zlín, Lhotka 89, PSČ 76302</t>
  </si>
  <si>
    <t>SH ČMS - Sbor dobrovolných hasičů Zlín - Louky</t>
  </si>
  <si>
    <t>Zlín, Louky, Náves Louky 68, PSČ 76302</t>
  </si>
  <si>
    <t>SH ČMS - Sbor dobrovolných hasičů Zlín - Lužkovice</t>
  </si>
  <si>
    <t>Zlín, Lužkovice, Na Gruntech 117, PSČ 76311</t>
  </si>
  <si>
    <t>SH ČMS - Sbor dobrovolných hasičů Zlín - Malenovice</t>
  </si>
  <si>
    <t>Zlín, Malenovice, Zabrání 564, PSČ 76302</t>
  </si>
  <si>
    <t>SH ČMS - Sbor dobrovolných hasičů Zlín - Mladcová</t>
  </si>
  <si>
    <t>Zlín, Mladcová, Návesní 418, PSČ 76001</t>
  </si>
  <si>
    <t>SH ČMS - Sbor dobrovolných hasičů Zlín - Prštné</t>
  </si>
  <si>
    <t>Zlín, Prštné, Náves 636, PSČ 76001</t>
  </si>
  <si>
    <t>SH ČMS - Sbor dobrovolných hasičů Zlín - Salaš</t>
  </si>
  <si>
    <t>Zlín, Salaš 101, PSČ 76351</t>
  </si>
  <si>
    <t>SH ČMS - Sbor dobrovolných hasičů Zlín - Štípa</t>
  </si>
  <si>
    <t>Zlín, Štípa, Za Dvorem 59, PSČ 76314</t>
  </si>
  <si>
    <t>SH ČMS - Sbor dobrovolných hasičů Zlín - Veliková</t>
  </si>
  <si>
    <t>Zlín, Velíková, Dolní konec 53, PSČ 76314</t>
  </si>
  <si>
    <t>SH ČMS - Sbor dobrovolných hasičů Zlobice</t>
  </si>
  <si>
    <t>Zlobice 77, PSČ 76831</t>
  </si>
  <si>
    <t>SH ČMS - Sbor dobrovolných hasičů Zubří</t>
  </si>
  <si>
    <t>Zubří, Hlavní 771, PSČ 75654</t>
  </si>
  <si>
    <t>SH ČMS - Sbor dobrovolných hasičů Žalkovice</t>
  </si>
  <si>
    <t>SH ČMS - Sbor dobrovolných hasičů Želechovice - Paseky</t>
  </si>
  <si>
    <t>Želechovice nad Dřevnicí, Paseky 660, PSČ 76311</t>
  </si>
  <si>
    <t>SH ČMS - Sbor dobrovolných hasičů Želechovice nad Dřevnicí</t>
  </si>
  <si>
    <t>SH ČMS - Sbor dobrovolných hasičů Žeranovice</t>
  </si>
  <si>
    <t>Žeranovice 204, PSČ 76901</t>
  </si>
  <si>
    <t>SH ČMS - Sbor dobrovolných hasičů Žlutava</t>
  </si>
  <si>
    <t>Žlutava 430, PSČ 76361</t>
  </si>
  <si>
    <t>SH ČMS - Sbor dobrovolných hasičů Žopy</t>
  </si>
  <si>
    <t>Holešov, Žopy 63, PSČ 76901</t>
  </si>
  <si>
    <t>SH ČMS -Sbor dobrovolných hasičů Těšánky</t>
  </si>
  <si>
    <t>Zdounky, Těšánky 3, PSČ 76802</t>
  </si>
  <si>
    <t>Shanti, z. s.</t>
  </si>
  <si>
    <t>Vlčnov 709, PSČ 68761</t>
  </si>
  <si>
    <t>SHIH - TZU klub EVROPA, z.s.</t>
  </si>
  <si>
    <t>Valašské Meziříčí, Havlíčkova 868/23, PSČ 75701</t>
  </si>
  <si>
    <t>SHM Klub Fryšták, z. s.</t>
  </si>
  <si>
    <t>SHM Klub Koryčany, z. s.</t>
  </si>
  <si>
    <t>Koryčany, Pivodova 813, PSČ 76805</t>
  </si>
  <si>
    <t>SHM Klub Kroměříž, z. s.</t>
  </si>
  <si>
    <t>Kroměříž, Dolnozahradská 2048/59, PSČ 76701</t>
  </si>
  <si>
    <t>SHŠ CONDUCTI z.s.</t>
  </si>
  <si>
    <t>Kelč 41, PSČ 75643</t>
  </si>
  <si>
    <t>SHŠ Solutus, z.s.</t>
  </si>
  <si>
    <t>Side saddle club, z.s.</t>
  </si>
  <si>
    <t>SIGA MTB TEAM</t>
  </si>
  <si>
    <t>Holešov, Všetuly, Slovenská 295, PSČ 76901</t>
  </si>
  <si>
    <t>Signál</t>
  </si>
  <si>
    <t>Lutopecny 43, PSČ 767 01</t>
  </si>
  <si>
    <t>SINAPSIS - Institut aplikovaných psychosociálních studií z. s.</t>
  </si>
  <si>
    <t>Valašské Meziříčí, Krásno nad Bečvou, Sklářská 646/4, PSČ 75701</t>
  </si>
  <si>
    <t>Singularisté Kostelec z.s.</t>
  </si>
  <si>
    <t>Zlín, Kostelec, Zlínská 44, PSČ 76314</t>
  </si>
  <si>
    <t>Singularisté města Vsetína, spolek</t>
  </si>
  <si>
    <t>SINGULARISTÉ NEDAKONICE, spolek</t>
  </si>
  <si>
    <t>Singulární domkáři Vítová, z. s.</t>
  </si>
  <si>
    <t>Fryšták, Horní Ves, Osvobození III 244, PSČ 76316</t>
  </si>
  <si>
    <t>Singulární les Uh. Ostroh, z.s.</t>
  </si>
  <si>
    <t>Uherský Ostroh, Kostelní 184, PSČ 68724</t>
  </si>
  <si>
    <t>Singulární lesní spolek Hrobice, z.s.</t>
  </si>
  <si>
    <t>Hrobice 92, PSČ 76315</t>
  </si>
  <si>
    <t>Singulární lesní spolek Štípa</t>
  </si>
  <si>
    <t>Zlín, Štípa, Velíkovská 142, PSČ 76314</t>
  </si>
  <si>
    <t>Singulární společnost Bratřejov z.s.</t>
  </si>
  <si>
    <t>Bratřejov 226, PSČ 76312</t>
  </si>
  <si>
    <t>Rostlinná a živočišná výroba, myslivost a související činnosti</t>
  </si>
  <si>
    <t>Singulární společnost Brumov, z.s.</t>
  </si>
  <si>
    <t>Brumov-Bylnice, Brumov, Družba 1204, PSČ 76331</t>
  </si>
  <si>
    <t>Singulární společnost Bylnice</t>
  </si>
  <si>
    <t>Brumov-Bylnice, Bylnice, Mýto 181, PSČ 76331</t>
  </si>
  <si>
    <t>"Singulární Společnost Jankovice, z.s."</t>
  </si>
  <si>
    <t>Singulární společnost Lhotsko, z.s.</t>
  </si>
  <si>
    <t>Lhotsko 85, PSČ 76312</t>
  </si>
  <si>
    <t>Singulární společnost Nedašov - Salaš, z.s.</t>
  </si>
  <si>
    <t>Nedašov 370, PSČ 76332</t>
  </si>
  <si>
    <t>Singulární společnost Petrůvka, spolek</t>
  </si>
  <si>
    <t>Singulární společnost Sehradice, z.s.</t>
  </si>
  <si>
    <t>Singulární společnost Šanov, z.s.</t>
  </si>
  <si>
    <t>Šanov 37, PSČ 76321</t>
  </si>
  <si>
    <t>Singulární společnost v Kostelanech nad Moravou z.s.</t>
  </si>
  <si>
    <t>Kostelany nad Moravou 260, PSČ 68601</t>
  </si>
  <si>
    <t>Singulární společnost v Polešovicích, spolek</t>
  </si>
  <si>
    <t>Singulární společnost Zádveřice, z.s.</t>
  </si>
  <si>
    <t>Singulární společnost Zlámanec, z.s.</t>
  </si>
  <si>
    <t>Singulární společnost Zlechov - Tupesy</t>
  </si>
  <si>
    <t>Tupesy č.120</t>
  </si>
  <si>
    <t>Singulární spolek č. 1 Kladná Žilín</t>
  </si>
  <si>
    <t>Luhačovice, Kladná Žilín 3, PSČ 76326</t>
  </si>
  <si>
    <t>Singulární spolek Částkov</t>
  </si>
  <si>
    <t>Částkov 17, PSČ 68712</t>
  </si>
  <si>
    <t>Singulární spolek domkářů Horní Ves, z. s.</t>
  </si>
  <si>
    <t>Fryšták, Horní Ves, Hornoveská 49, PSČ 76316</t>
  </si>
  <si>
    <t>Singulární spolek Horní Rozpité</t>
  </si>
  <si>
    <t>Singulární spolek Kladná Žilín č. 2</t>
  </si>
  <si>
    <t>Luhačovice, Kladná Žilín 120, PSČ 76326</t>
  </si>
  <si>
    <t>SINGULÁRNÍ SPOLEK KOŠÍKY</t>
  </si>
  <si>
    <t>Košíky 225, PSČ 68704</t>
  </si>
  <si>
    <t>Singulární spolek Ludkovice</t>
  </si>
  <si>
    <t>Singulární spolek Luhačovice, z.s.</t>
  </si>
  <si>
    <t>Luhačovice, Masarykova 68, PSČ 76326</t>
  </si>
  <si>
    <t>Singulární spolek Nedachlebice</t>
  </si>
  <si>
    <t>Singulární spolek Prakšice</t>
  </si>
  <si>
    <t>Prakšice 4, PSČ 68756</t>
  </si>
  <si>
    <t>Singulární spolek Řetechov - Pradlisko z.s.</t>
  </si>
  <si>
    <t>Luhačovice, Řetechov 48, PSČ 76326</t>
  </si>
  <si>
    <t>Singulární spolek Smolina</t>
  </si>
  <si>
    <t>Valašské Klobouky, Smolina 19, PSČ 76601</t>
  </si>
  <si>
    <t>Singulární spolek SNOZ, z.s.</t>
  </si>
  <si>
    <t>Prostřední Bečva 630, PSČ 75656</t>
  </si>
  <si>
    <t>Singulární spolek Vysoké Pole</t>
  </si>
  <si>
    <t>Singulární spolek Záhorovice</t>
  </si>
  <si>
    <t>Záhorovice 391, PSČ 68771</t>
  </si>
  <si>
    <t>SK Aerobik Valašské Klobouky, o.s.</t>
  </si>
  <si>
    <t>Valašské Klobouky, Luční 903, PSČ 76601</t>
  </si>
  <si>
    <t>SK Allmetal Martinice z.s.</t>
  </si>
  <si>
    <t>Martinice 124, PSČ 76901</t>
  </si>
  <si>
    <t>SK ARNOLD CLUB Otrokovice, z.s.</t>
  </si>
  <si>
    <t>SK AVEX ZLÍN, z.s.</t>
  </si>
  <si>
    <t>Zlín, Smetanova 2401, PSČ 76001</t>
  </si>
  <si>
    <t>SK Badminton Vsetín, z.s.</t>
  </si>
  <si>
    <t>Vsetín, Semetín 874, PSČ 75501</t>
  </si>
  <si>
    <t>SK Baťov 1930 z.s.</t>
  </si>
  <si>
    <t>Otrokovice, Erbenova 1891, PSČ 76502</t>
  </si>
  <si>
    <t>SK Blizzard Vsetín, z.s.</t>
  </si>
  <si>
    <t>Vsetín, Mostecká 130, PSČ 75501</t>
  </si>
  <si>
    <t>SK Bohuslavice nad Vláří, z.s.</t>
  </si>
  <si>
    <t>Bohuslavice nad Vláří 138, PSČ 76321</t>
  </si>
  <si>
    <t>SK Boršice, z.s.</t>
  </si>
  <si>
    <t>SK Březolupy, z.s.</t>
  </si>
  <si>
    <t>Březolupy 630, PSČ 68713</t>
  </si>
  <si>
    <t>SK Březová</t>
  </si>
  <si>
    <t>Březová 102, PSČ 68767</t>
  </si>
  <si>
    <t>SK Březůvky, z. s.</t>
  </si>
  <si>
    <t>Březůvky 76, PSČ 76345</t>
  </si>
  <si>
    <t>SK BUH, z. s.</t>
  </si>
  <si>
    <t>Staré Město, Michalská 1695, PSČ 68603</t>
  </si>
  <si>
    <t>SK BUMERANG, z.s.</t>
  </si>
  <si>
    <t>Uherské Hradiště, Prokopa Holého 741, PSČ 68606</t>
  </si>
  <si>
    <t>SK BURE HULÍN, z.s.</t>
  </si>
  <si>
    <t>Hulín, Višňovce 1291, PSČ 76824</t>
  </si>
  <si>
    <t>SK Bylnice, z.s.</t>
  </si>
  <si>
    <t>Brumov-Bylnice, Bylnice, Mýto 44, PSČ 76331</t>
  </si>
  <si>
    <t>SK DIVESTAR</t>
  </si>
  <si>
    <t>Zlín, Prštné, Svat. Čecha 302, PSČ 76001</t>
  </si>
  <si>
    <t>SK Dynamo Mikulůvka, spolek</t>
  </si>
  <si>
    <t>Mikulůvka 135, PSČ 75624</t>
  </si>
  <si>
    <t>SK Haná o. s.</t>
  </si>
  <si>
    <t>Hulín, Kroměřížská 134, PSČ 76824</t>
  </si>
  <si>
    <t>SK Haná Záříčí z.s.</t>
  </si>
  <si>
    <t>Chropyně, Moravská 618, PSČ 76811</t>
  </si>
  <si>
    <t>SK Hanácká Slavia Kroměříž, z.s.</t>
  </si>
  <si>
    <t>SK Holešov z.s.</t>
  </si>
  <si>
    <t>Holešov, Palackého 501/40, PSČ 76901</t>
  </si>
  <si>
    <t>SK Horní Lhota, z.s.</t>
  </si>
  <si>
    <t>Horní Lhota 181, PSČ 76323</t>
  </si>
  <si>
    <t>SK Hostišová z. s.</t>
  </si>
  <si>
    <t>SK Hrachovec, z.s.</t>
  </si>
  <si>
    <t>Valašské Meziříčí, Hrachovec 217, PSČ 75701</t>
  </si>
  <si>
    <t>SK Hvozdná, z.s.</t>
  </si>
  <si>
    <t>Hvozdná, Osmek 444, PSČ 76310</t>
  </si>
  <si>
    <t>SK IDSC ZLÍN, z.s.</t>
  </si>
  <si>
    <t>SK Jalubí, z. s.</t>
  </si>
  <si>
    <t>Jalubí 240, PSČ 68705</t>
  </si>
  <si>
    <t>SK Jasenický ďolíček</t>
  </si>
  <si>
    <t>SK Jasenná, z.s.</t>
  </si>
  <si>
    <t>Jasenná 190, PSČ 76313</t>
  </si>
  <si>
    <t>SK JF3 Zlín, z. s.</t>
  </si>
  <si>
    <t>SK Kanoevalmez, z.s.</t>
  </si>
  <si>
    <t>Valašské Meziříčí, Krásno nad Bečvou, Nádražní 108, PSČ 75701</t>
  </si>
  <si>
    <t>SK Karolín, z.s.</t>
  </si>
  <si>
    <t>Karolín 4, PSČ 76821</t>
  </si>
  <si>
    <t>SK KO ZLÍN, spolek</t>
  </si>
  <si>
    <t>SK Kostelany z.s.</t>
  </si>
  <si>
    <t>Kostelany 36, PSČ 76701</t>
  </si>
  <si>
    <t>SK Kraso Uh. Hradiště, z.s.</t>
  </si>
  <si>
    <t>Uherské Hradiště, Rybárny, Luční 165, PSČ 68601</t>
  </si>
  <si>
    <t>SK Kvasice</t>
  </si>
  <si>
    <t>Kvasice, Družstevní 593, PSČ 76821</t>
  </si>
  <si>
    <t>SK Kyselovice, z.s.</t>
  </si>
  <si>
    <t>Kyselovice 35, PSČ 76811</t>
  </si>
  <si>
    <t>SK Letná, 1944, o.s.</t>
  </si>
  <si>
    <t>Zlín, Pod Rozhlednou 1881, PSČ 76001</t>
  </si>
  <si>
    <t>SK Lidečko, z.s.</t>
  </si>
  <si>
    <t>Lidečko 16, PSČ 75612</t>
  </si>
  <si>
    <t>SK Loučka, z.s.</t>
  </si>
  <si>
    <t>SK Louky, z.s.</t>
  </si>
  <si>
    <t>Zlín, Louky, U Dřevnice 250, PSČ 76302</t>
  </si>
  <si>
    <t>SK LUKOSTŘELBA MODRÁ</t>
  </si>
  <si>
    <t>SK Lyžařský klub Trnava z.s.</t>
  </si>
  <si>
    <t>Trnava 153, PSČ 76318</t>
  </si>
  <si>
    <t>SK Mařatice z.s.</t>
  </si>
  <si>
    <t>Uherské Hradiště, Mařatice, Větrná 1524, PSČ 68605</t>
  </si>
  <si>
    <t>SK MAXI</t>
  </si>
  <si>
    <t>Zlín, Nad Vývozem 5127, PSČ 76005</t>
  </si>
  <si>
    <t>SK Míkovice</t>
  </si>
  <si>
    <t>Kunovice, Na Drahách 881, PSČ 68604</t>
  </si>
  <si>
    <t>SK Miloňová, z. s.</t>
  </si>
  <si>
    <t>Velké Karlovice č. ev. 18, PSČ 75606</t>
  </si>
  <si>
    <t>SK Morava,  z.s.</t>
  </si>
  <si>
    <t>Kroměříž, Denkova 3943/8, PSČ 76701</t>
  </si>
  <si>
    <t>SK Moravan Kostelec u Holešova, z.s.</t>
  </si>
  <si>
    <t>SK Moravské přístroje Zlín</t>
  </si>
  <si>
    <t>Zlín, Malenovice, Masarykova 1148, PSČ 76302</t>
  </si>
  <si>
    <t>SK Mysločovice z.s.</t>
  </si>
  <si>
    <t>Mysločovice 205, PSČ 76301</t>
  </si>
  <si>
    <t>SK neslyšících Kroměříž, z.s.</t>
  </si>
  <si>
    <t>SK Olšava z.s.</t>
  </si>
  <si>
    <t>SK ORFEUS TRNAVA, z.s.</t>
  </si>
  <si>
    <t>Trnava 328, PSČ 76318</t>
  </si>
  <si>
    <t>SK Ostrožská Lhota, z.s.</t>
  </si>
  <si>
    <t>Ostrožská Lhota 4, PSČ 68723</t>
  </si>
  <si>
    <t>SK PORS plus v AČR (Sportovní klub PORS plus v AČR)</t>
  </si>
  <si>
    <t>SK RPM Stav, z.s.</t>
  </si>
  <si>
    <t>Fryšták, Horní Ves, Vítovská 412, PSČ 76316</t>
  </si>
  <si>
    <t>SK Rudá hvězda Kroměříž, z.s.</t>
  </si>
  <si>
    <t>Kroměříž, Braunerova 2407/29, PSČ 76701</t>
  </si>
  <si>
    <t>SK Rudimov 1936, z. s.</t>
  </si>
  <si>
    <t>SK Rytmik Zlín, z.s.</t>
  </si>
  <si>
    <t>Zlín, Křiby 4720, PSČ 76005</t>
  </si>
  <si>
    <t>SK (Sací Komando) Mladcová</t>
  </si>
  <si>
    <t>SK Slavoj Zahnašovice, z.s.</t>
  </si>
  <si>
    <t>Zahnašovice 95, PSČ 76901</t>
  </si>
  <si>
    <t>SK Slopné, z. s.</t>
  </si>
  <si>
    <t>Slopné 178, PSČ 76323</t>
  </si>
  <si>
    <t>SK Slušovice, spolek</t>
  </si>
  <si>
    <t>Slušovice, Školní 131, PSČ 76315</t>
  </si>
  <si>
    <t>SK Spartak Hulín - kopaná, z.s.</t>
  </si>
  <si>
    <t>Hulín, Antonína Dvořáka 1214, PSČ 76824</t>
  </si>
  <si>
    <t>SK Squash Kvítková</t>
  </si>
  <si>
    <t>Zlín, Kvítková 5279, PSČ 76001</t>
  </si>
  <si>
    <t>SK TAURUS z.s.</t>
  </si>
  <si>
    <t>SK Tichov, z.s.</t>
  </si>
  <si>
    <t>S.K. Tlumačov z.s.</t>
  </si>
  <si>
    <t>Tlumačov, Sportovní 696, PSČ 76362</t>
  </si>
  <si>
    <t>SK TRI OTROKOVICE</t>
  </si>
  <si>
    <t>SK Tučapy,o.s.</t>
  </si>
  <si>
    <t>Tučapy 30, Obecní úřad</t>
  </si>
  <si>
    <t>SK Újezd  z. s.</t>
  </si>
  <si>
    <t>Újezd 413, PSČ 76325</t>
  </si>
  <si>
    <t>SK VELÍKOVÁ</t>
  </si>
  <si>
    <t>SK Vizovice z.s.</t>
  </si>
  <si>
    <t>Vizovice, U Stadionu 339, PSČ 76312</t>
  </si>
  <si>
    <t>SK "VODO" Vsetín</t>
  </si>
  <si>
    <t>SK Záhorovice, z. s.</t>
  </si>
  <si>
    <t>Záhorovice 140, PSČ 68771</t>
  </si>
  <si>
    <t>SK ZAHRADNÍ SLAVIČÍN</t>
  </si>
  <si>
    <t>Slavičín, Ševcovská 308, PSČ 76321</t>
  </si>
  <si>
    <t>SK Zašová 1926, z.s.</t>
  </si>
  <si>
    <t>Zašová 758, PSČ 75651</t>
  </si>
  <si>
    <t>SK Zlechov z.s.</t>
  </si>
  <si>
    <t>SK Zlín 1931 z.s.</t>
  </si>
  <si>
    <t>SK Žeranovice,z.s.</t>
  </si>
  <si>
    <t>Žeranovice 264, PSČ 76901</t>
  </si>
  <si>
    <t>SK Žlutava z.s.</t>
  </si>
  <si>
    <t>SKÁJ team, spolek</t>
  </si>
  <si>
    <t>SKALKAŘI o.s.</t>
  </si>
  <si>
    <t>Zlín, Kudlov, Skalka I 501, PSČ 76001</t>
  </si>
  <si>
    <t>S.K.A.T. - SPORTOVNÍ KLUB ALTERNATIVNÍ TURISTIKY</t>
  </si>
  <si>
    <t>Uherské Hradiště, Prostřední 129, PSČ 68601</t>
  </si>
  <si>
    <t>SKATE KLUB MORAVIA z.s.</t>
  </si>
  <si>
    <t>Polešovice 58, PSČ 68737</t>
  </si>
  <si>
    <t>Skate klub Vsetín</t>
  </si>
  <si>
    <t>Vsetín, Smetanova 1056, PSČ 75501</t>
  </si>
  <si>
    <t>Skate klub ZLÍN</t>
  </si>
  <si>
    <t>Zlín, Mladcová, Mokrá IV 341, PSČ 76001</t>
  </si>
  <si>
    <t>Skate pro život z. s.</t>
  </si>
  <si>
    <t>SKATEBOARDS - BMX BYSTŘICE POD HOSTÝNEM z.s.</t>
  </si>
  <si>
    <t>Bystřice pod Hostýnem, Pod Zábřehem 1504, PSČ 76861</t>
  </si>
  <si>
    <t>SKATEBOARDS - BMX HOLEŠOV</t>
  </si>
  <si>
    <t>Holešov, Novosady 1359, PSČ 76901</t>
  </si>
  <si>
    <t>SKATEPARK Valašské Meziříčí o. s.</t>
  </si>
  <si>
    <t>Valašské Meziříčí, Smetanova 709/51, PSČ 75701</t>
  </si>
  <si>
    <t>SKB Velké Karlovice, z.s.</t>
  </si>
  <si>
    <t>Velké Karlovice 881, PSČ 75606</t>
  </si>
  <si>
    <t>SKI &amp; CROSS TEAM, z.s.</t>
  </si>
  <si>
    <t>Uherský Brod, U Plovárny 1396, PSČ 68801</t>
  </si>
  <si>
    <t>SKI &amp; GOLF TEAM VSETÍN, z. s.</t>
  </si>
  <si>
    <t>Vsetín, Rokytnice, Rokytnice 190, PSČ 75501</t>
  </si>
  <si>
    <t>SKI + TENIS KLUB ZLÍN o.s.</t>
  </si>
  <si>
    <t>Zlín, Velíková, Modřínová 4, PSČ 76314</t>
  </si>
  <si>
    <t>SKI AND BEACH CLUB z.s.</t>
  </si>
  <si>
    <t>Koryčany, Lískovec 118, PSČ 76805</t>
  </si>
  <si>
    <t>Ski klub Búřov</t>
  </si>
  <si>
    <t>Valašská Bystřice 747, PSČ 75627</t>
  </si>
  <si>
    <t>SKI KLUB MEZ VSETÍN z. s.</t>
  </si>
  <si>
    <t>SKI KLUB Valašské Meziříčí, z.s.</t>
  </si>
  <si>
    <t>Valašské Meziříčí, Krásno nad Bečvou, Nad Tratí 869, PSČ 75701</t>
  </si>
  <si>
    <t>SKI Klub Valašsko, z.s.</t>
  </si>
  <si>
    <t>Valašské Meziříčí, Kouty 1395, PSČ 75701</t>
  </si>
  <si>
    <t>SKI KLUB Velké Karlovice, z.s.</t>
  </si>
  <si>
    <t>Rožnov pod Radhoštěm, Hážovice 2805, PSČ 75661</t>
  </si>
  <si>
    <t>Ski Racing Beskydy, z.s.</t>
  </si>
  <si>
    <t>SKI SOLÁŇ,z.s.</t>
  </si>
  <si>
    <t>SKI TEAM CAIS Fryšták</t>
  </si>
  <si>
    <t>Ski Team Chřiby z.s.</t>
  </si>
  <si>
    <t>Kroměříž, Velehradská 508/39, PSČ 76701</t>
  </si>
  <si>
    <t>SKI TEAM ZLÍN</t>
  </si>
  <si>
    <t>Zlín, Příkrá 3568, PSČ 76001</t>
  </si>
  <si>
    <t>Ski&amp;Bike Morava o.s.</t>
  </si>
  <si>
    <t>Žalkovice 98, PSČ 76823</t>
  </si>
  <si>
    <t>SKK Kroměříž, z.s.</t>
  </si>
  <si>
    <t>Kroměříž, Čelakovského 2268/56, PSČ 76701</t>
  </si>
  <si>
    <t>SKLÁDANKA, z.s.</t>
  </si>
  <si>
    <t>Zlín, Malenovice, Tyršova 750, PSČ 76302</t>
  </si>
  <si>
    <t>Skokani</t>
  </si>
  <si>
    <t>Dolní Bečva 262, PSČ 75655</t>
  </si>
  <si>
    <t>Skoky na lyžích Rožnov p/R z. s.</t>
  </si>
  <si>
    <t>Zubří, Pod Lipůvkou 1071, PSČ 75654</t>
  </si>
  <si>
    <t>Skřítek, z.s.</t>
  </si>
  <si>
    <t>Prusinovice, Plačkov 31, PSČ 76842</t>
  </si>
  <si>
    <t>SKS Bohuslavice</t>
  </si>
  <si>
    <t>Bohuslavice nad Vláří 60, PSČ 76321</t>
  </si>
  <si>
    <t>SKS TART VALMEZ, z.s.</t>
  </si>
  <si>
    <t>Valašské Meziříčí, Železničního vojska 1403, PSČ 75701</t>
  </si>
  <si>
    <t>Skupina historického šermu a střelby Arcibiskupská garda z Kroměříže</t>
  </si>
  <si>
    <t>Kroměříž, Velehradská 2712/87, PSČ 76701</t>
  </si>
  <si>
    <t>Skupina historického šermu Erebus</t>
  </si>
  <si>
    <t>Zlín, Nad Stráněmi 4678, PSČ 76005</t>
  </si>
  <si>
    <t>,,Skupina historického šermu Revertar z.s.´´</t>
  </si>
  <si>
    <t>Zlín, Malenovice, třída Svobody 898, PSČ 76302</t>
  </si>
  <si>
    <t>Skupina historického šermu VALMONT, z.s.</t>
  </si>
  <si>
    <t>"Skupina historického tance a šermu Aureur cruor o.s."</t>
  </si>
  <si>
    <t>Skupina scénického šermu Buchlovská qvardie Petřvalských z Petřvaldu</t>
  </si>
  <si>
    <t>Uherské Hradiště, Šafaříkova 725, PSČ 68601</t>
  </si>
  <si>
    <t>Skupina Šikulové - CVAK, z.s</t>
  </si>
  <si>
    <t>SKV Zlín</t>
  </si>
  <si>
    <t>Zlín, Zálešná IV 1174, PSČ 76001</t>
  </si>
  <si>
    <t>Sk8 alliance z.s.</t>
  </si>
  <si>
    <t>Babice 648, PSČ 68703</t>
  </si>
  <si>
    <t>Slavex trails z.s.</t>
  </si>
  <si>
    <t>Slepá ramena, z.ú.</t>
  </si>
  <si>
    <t>Staré Město, Brněnská 1372, PSČ 68603</t>
  </si>
  <si>
    <t>Sloboděnka, z. s.</t>
  </si>
  <si>
    <t>Staré Město, Sées 1989, PSČ 68603</t>
  </si>
  <si>
    <t>SLOVÁCKÁ AMBASÁDA, z.s.</t>
  </si>
  <si>
    <t>Buchlovice, Horní Podvinohradí 146, PSČ 68708</t>
  </si>
  <si>
    <t>Slovácká dědina, z.s.</t>
  </si>
  <si>
    <t>Bystřice pod Lopeníkem 189, PSČ 68755</t>
  </si>
  <si>
    <t>"Slovácká dekantační z.s."</t>
  </si>
  <si>
    <t>Uherské Hradiště, Mařatice, Vinohradská 274, PSČ 68605</t>
  </si>
  <si>
    <t>Slovácká Sparta Spytihněv z.s.</t>
  </si>
  <si>
    <t>Spytihněv 590, PSČ 76364</t>
  </si>
  <si>
    <t>Slovácké srdce, o.s.</t>
  </si>
  <si>
    <t>Uherské Hradiště, Františkánská 141, PSČ 68601</t>
  </si>
  <si>
    <t>Slovácko sa učí, z. s.</t>
  </si>
  <si>
    <t>Slovácký Aeroklub Kunovice</t>
  </si>
  <si>
    <t>Slovácký auto klub v AČR</t>
  </si>
  <si>
    <t>Uherské Hradiště, Revoluční č. ev. 331, PSČ 68606</t>
  </si>
  <si>
    <t>Slovácký institut, z. s.</t>
  </si>
  <si>
    <t>Uherské Hradiště, Štěpnická 1549, PSČ 68606</t>
  </si>
  <si>
    <t>Slovácký komorní orchestr, z.s.</t>
  </si>
  <si>
    <t>Uherské Hradiště, Palackého náměstí 260, PSČ 68601</t>
  </si>
  <si>
    <t>Slovácký krúžek HÁJEČEK z.s.</t>
  </si>
  <si>
    <t>Ostrožská Lhota 190, PSČ 68723</t>
  </si>
  <si>
    <t>Slovácký musher klub z. s.</t>
  </si>
  <si>
    <t>Fryšták, Vítová 43, PSČ 76316</t>
  </si>
  <si>
    <t>Slovácký soubor Vonica, z. s.</t>
  </si>
  <si>
    <t>Slovácký Veteran Car Club Uherské Hradiště z.s.</t>
  </si>
  <si>
    <t>Staré Město, Brněnská 2163, PSČ 68603</t>
  </si>
  <si>
    <t>Slunce lidem</t>
  </si>
  <si>
    <t>Uherské Hradiště, Průmyslová 1141, PSČ 68601</t>
  </si>
  <si>
    <t>Slunečný mlýn, o.p.s.</t>
  </si>
  <si>
    <t>Lužná 100, PSČ 75611</t>
  </si>
  <si>
    <t>Sluníčko volný čas dětí a mládeže, z.s.</t>
  </si>
  <si>
    <t>Zlín, Fügnerovo nábřeží 5476, PSČ 76001</t>
  </si>
  <si>
    <t>Slusnet</t>
  </si>
  <si>
    <t>Slušovice, Padělky 541, PSČ 76315</t>
  </si>
  <si>
    <t>Slušovjánek, z.s.</t>
  </si>
  <si>
    <t>Slušovice, Vítězství 203, PSČ 76315</t>
  </si>
  <si>
    <t>SM Racing Jablůnka</t>
  </si>
  <si>
    <t>Jablůnka 555, PSČ 75623</t>
  </si>
  <si>
    <t>Small Ranch Lechotice, občanské sdružení</t>
  </si>
  <si>
    <t>Lechotice 39, PSČ 76852</t>
  </si>
  <si>
    <t>SMARAGD z.s.</t>
  </si>
  <si>
    <t>Zlín, Obeciny VIII 3611, PSČ 76001</t>
  </si>
  <si>
    <t>SMEDOMA, z.s.</t>
  </si>
  <si>
    <t>Strání, U Třicátku 314, PSČ 68765</t>
  </si>
  <si>
    <t>Smíšený pěvecký sbor DVOŘÁK, Zlín, z.s.</t>
  </si>
  <si>
    <t>Smíšený pěvecký sbor Svatopluk, z.s.</t>
  </si>
  <si>
    <t>Uherské Hradiště, Hradební 1198, Klub kultury</t>
  </si>
  <si>
    <t>Snails Kunovice z.s.</t>
  </si>
  <si>
    <t>SNOOKER CLUB HVOZDNÁ, z.s.</t>
  </si>
  <si>
    <t>Hvozdná, Hlavní 228, PSČ 76310</t>
  </si>
  <si>
    <t>SNOW ACADEMY o.s.</t>
  </si>
  <si>
    <t>Sportovní, zábavní a rekreační činnosti</t>
  </si>
  <si>
    <t>Snowboard klub Zlín o.s.</t>
  </si>
  <si>
    <t>Snowboarding Beskydy</t>
  </si>
  <si>
    <t>Horní Bečva 803, PSČ 75657</t>
  </si>
  <si>
    <t>Social backstage, z.s.</t>
  </si>
  <si>
    <t>Social business, z.s.</t>
  </si>
  <si>
    <t>Societas lactea</t>
  </si>
  <si>
    <t>Kroměříž, Velké náměstí 106/49, PSČ 76701</t>
  </si>
  <si>
    <t>"Sodis"</t>
  </si>
  <si>
    <t>Zlín, Okružní 4699-l.segment</t>
  </si>
  <si>
    <t>SOG Adventure z.s.</t>
  </si>
  <si>
    <t>Liptál 479, PSČ 75631</t>
  </si>
  <si>
    <t>SOK - Spolek občanů Komárova</t>
  </si>
  <si>
    <t>Komárov 10, PSČ 76361</t>
  </si>
  <si>
    <t>Sokol Bystřice pod Lopeníkem z.s.</t>
  </si>
  <si>
    <t>Bystřice pod Lopeníkem 393, PSČ 68755</t>
  </si>
  <si>
    <t>SOKOL SLÍŽANY</t>
  </si>
  <si>
    <t>Morkovice-Slížany, Morkovice, Kolaříkova 611, PSČ 76833</t>
  </si>
  <si>
    <t>Sokol Suchá Loz, zapsaný spolek</t>
  </si>
  <si>
    <t>Suchá Loz 146, PSČ 68753</t>
  </si>
  <si>
    <t>Sokolníci - pro ochranu přírody a krajiny - Chřibů</t>
  </si>
  <si>
    <t>Stupava 101, PSČ 68601</t>
  </si>
  <si>
    <t>Sokolovo o.p.s.</t>
  </si>
  <si>
    <t>Sokolská župa Hanácká</t>
  </si>
  <si>
    <t>Kroměříž, 1. máje 214/12, PSČ 76701</t>
  </si>
  <si>
    <t>Sokolská župa Komenského</t>
  </si>
  <si>
    <t>Zlín, Sokolská 4427, PSČ 76001</t>
  </si>
  <si>
    <t>Sokolská župa Valašská Františka Palackého</t>
  </si>
  <si>
    <t>Valašské Meziříčí, Sokolská 124/38, PSČ 75701</t>
  </si>
  <si>
    <t>SOLIO, o.s.</t>
  </si>
  <si>
    <t>Zlín, Podlesí 4938</t>
  </si>
  <si>
    <t>Solisko, z.s.</t>
  </si>
  <si>
    <t>Držková 128, PSČ 76319</t>
  </si>
  <si>
    <t>“S.O.S. Děti Kambodži”</t>
  </si>
  <si>
    <t>Kroměříž, Štěchovice 1320/9, PSČ 76701</t>
  </si>
  <si>
    <t>soubor Malena z.s.</t>
  </si>
  <si>
    <t>Zlín, Malenovice, Červnová 1283, PSČ 76302</t>
  </si>
  <si>
    <t>Soubor písní a tanců Dolina z.s.</t>
  </si>
  <si>
    <t>Staré Město, Sochorcova 808, PSČ 68603</t>
  </si>
  <si>
    <t>Soubor písní a tanců JAVOŘINA, z.s.</t>
  </si>
  <si>
    <t>Rožnov pod Radhoštěm, Hážovice 2053, PSČ 75661</t>
  </si>
  <si>
    <t>Soubor písní a tanců OLŠAVA, z. s.</t>
  </si>
  <si>
    <t>Soubor valašských písní a tanců Kyčera, z.s.</t>
  </si>
  <si>
    <t>Halenkov 535, PSČ 75603</t>
  </si>
  <si>
    <t>Soubor valašských písní a tanců Ovčák, z.s.</t>
  </si>
  <si>
    <t>Hovězí 413, PSČ 75601</t>
  </si>
  <si>
    <t>Soukromá mateřská škola Štěpán, o.p.s.</t>
  </si>
  <si>
    <t>Vsetín, Slovenská ulice č. 2012</t>
  </si>
  <si>
    <t>Soukromá střední odborná škola  o.p.s.</t>
  </si>
  <si>
    <t>Zlín, nám. T. G. Masaryka 1279, PSČ 76001</t>
  </si>
  <si>
    <t>"SOUZVUKY o.s. Asociace pro celostní přístup k člověku"</t>
  </si>
  <si>
    <t>Kroměříž, K Vodojemu 4328/6, PSČ 76701</t>
  </si>
  <si>
    <t>SP Rožnov z.s.</t>
  </si>
  <si>
    <t>Rožnov pod Radhoštěm, Polanského 2776, PSČ 75661</t>
  </si>
  <si>
    <t>Spartakus Zlín</t>
  </si>
  <si>
    <t>Zlín, Budovatelská 4821, PSČ 76005</t>
  </si>
  <si>
    <t>Specializovaná základní organizace Českého zahrádkářského svazu Komunitní zahradničení</t>
  </si>
  <si>
    <t>Speed dance Uherský Brod</t>
  </si>
  <si>
    <t>Speed Racing Team - motorsport z. s.</t>
  </si>
  <si>
    <t>Jankovice 49, PSČ 68704</t>
  </si>
  <si>
    <t>SPEEDBIKE TEAM FRYŠTÁK</t>
  </si>
  <si>
    <t>Fryšták, Osvobození 434, PSČ 76316</t>
  </si>
  <si>
    <t>Speedskating club Otrokovice, z.s.</t>
  </si>
  <si>
    <t>Otrokovice, Jiráskova 1333, PSČ 76502</t>
  </si>
  <si>
    <t>Speedy sport z.s.</t>
  </si>
  <si>
    <t>Zlín, Příkrá 6962, PSČ 76001</t>
  </si>
  <si>
    <t>Speedypaws, z. s.</t>
  </si>
  <si>
    <t>Hulín, Záhlinice 67, PSČ 76824</t>
  </si>
  <si>
    <t>SPEKTRUM - Krajská rada dětí a mládeže Zlínského kraje, z.s.</t>
  </si>
  <si>
    <t>Zlín, Mladcová, Vinohrádek 540, PSČ 76001</t>
  </si>
  <si>
    <t>SPEKTRUM Kroměříž, z.s.</t>
  </si>
  <si>
    <t>Koměříž, Husovo nám.229/13</t>
  </si>
  <si>
    <t>SPEKTRUM PLUS  o.p.s.</t>
  </si>
  <si>
    <t>Zlín, tř.T.Bati 299, PSČ 760 01</t>
  </si>
  <si>
    <t>SPILLA z.s.</t>
  </si>
  <si>
    <t>Holešov, Malá 75/15, PSČ 76901</t>
  </si>
  <si>
    <t>Spinkey, z.s.</t>
  </si>
  <si>
    <t>Žlutava 199, PSČ 76361</t>
  </si>
  <si>
    <t>"SpinMalenovice"</t>
  </si>
  <si>
    <t>Zlín-Malenovice, tř. 3. května 325, budova TENO PLUS</t>
  </si>
  <si>
    <t>SPIRALIS VITAE, z. s.</t>
  </si>
  <si>
    <t>Rožnov pod Radhoštěm, 5. května 1352, PSČ 75661</t>
  </si>
  <si>
    <t>Spiti Sapan</t>
  </si>
  <si>
    <t>Luhačovice, Bílá čtvrť 447, PSČ 76326</t>
  </si>
  <si>
    <t>SPMP ČR pobočný spolek Valašské Meziříčí</t>
  </si>
  <si>
    <t>SPMP ČR POBOČNÝ SPOLEK ZLÍN KLUB STŮŇATA</t>
  </si>
  <si>
    <t>Otrokovice, Olbrachtova 1189, PSČ 76502</t>
  </si>
  <si>
    <t>Spojené sportovní kluby Malé kopané Zlín, z. s.</t>
  </si>
  <si>
    <t>Společenský klub Lidečko, z. s.</t>
  </si>
  <si>
    <t>Společenství - Králové slávy, z.s.</t>
  </si>
  <si>
    <t>Valašské Meziříčí, Luční 1153, PSČ 75701</t>
  </si>
  <si>
    <t>Společenství Projekt ON, z. s.</t>
  </si>
  <si>
    <t>Valašské Klobouky, Příčná 154, PSČ 76601</t>
  </si>
  <si>
    <t>Společenství přátel Stojanova gymnázia, Velehrad, z.s.</t>
  </si>
  <si>
    <t>Velehrad, Nádvoří 1, PSČ 68706</t>
  </si>
  <si>
    <t>Společenství vdov a vdovců, z.s.</t>
  </si>
  <si>
    <t>Společenstvo hostinských m.Valašské Meziříčí</t>
  </si>
  <si>
    <t>Společenstvo podnikatelů pro poradenství při podnikatelské činnosti</t>
  </si>
  <si>
    <t>Společenstvo podnikatelů v pohostinství a ubytování</t>
  </si>
  <si>
    <t>Uherské Hradiště, Hradební 1235</t>
  </si>
  <si>
    <t>Společenstvo truhlářů Rožnov pod Radhoštěm</t>
  </si>
  <si>
    <t>společně pro Napajedla z.s.</t>
  </si>
  <si>
    <t>Společnost Božího Slova</t>
  </si>
  <si>
    <t>Společnost dialyzovaných a transplantovaných nemocných, jejich rodinných příslušníků a přá- tel dialýzy</t>
  </si>
  <si>
    <t>Uherské Hradiště, Uh. Hradiště</t>
  </si>
  <si>
    <t>Společnost Jízdy Králů, z.s.</t>
  </si>
  <si>
    <t>Vlčnov 186, PSČ 68761</t>
  </si>
  <si>
    <t>Společnost katolického domu ve Všetulích, z.s.</t>
  </si>
  <si>
    <t>Holešov, Všetuly, 6. května 20, PSČ 76901</t>
  </si>
  <si>
    <t>Společnost klasické kytary Zlín, z. s.</t>
  </si>
  <si>
    <t>Zlín, Větrná 4654, PSČ 76005</t>
  </si>
  <si>
    <t>Společnost KT, z. s.</t>
  </si>
  <si>
    <t>Zlín, Kostelec, Fryštácká 486, PSČ 76314</t>
  </si>
  <si>
    <t>Společnost Lidí Ochotných a Odhodlaných Nikdy Nezestárnout SAURUS</t>
  </si>
  <si>
    <t>Kroměříž, Lechotice 106</t>
  </si>
  <si>
    <t>Společnost pro kulturu obce Strání z.s.</t>
  </si>
  <si>
    <t>Strání, Na kopci 216, PSČ 68765</t>
  </si>
  <si>
    <t>Společnost pro naplnění odkazu prof.dr.ing.Rudolfa Haši</t>
  </si>
  <si>
    <t>Společnost pro obnovu Rajnochovické lesní železnice, z.s.</t>
  </si>
  <si>
    <t>Valašské Meziříčí, Krásno nad Bečvou, Na Šištotě 627/3, PSČ 75701</t>
  </si>
  <si>
    <t>Společnost pro odkaz dr. Edvarda Beneše</t>
  </si>
  <si>
    <t>Zlín, Ševcovská 4075, PSČ 76001</t>
  </si>
  <si>
    <t>Společnost pro pomoc nemocným dětem Kroměříž, z.s.</t>
  </si>
  <si>
    <t>Kroměříž, Třasoňova 3344/8A, PSČ 76701</t>
  </si>
  <si>
    <t>Společnost pro uchování odbojových tradic, z.s.</t>
  </si>
  <si>
    <t>Společnost přátel slivovice České republiky,z.s.</t>
  </si>
  <si>
    <t>Společnost přátel Slovenska</t>
  </si>
  <si>
    <t>Společnost přátel Základní umělecké školy Rudolfa Firkušného z.s.</t>
  </si>
  <si>
    <t>Napajedla, Komenského 305, PSČ 76361</t>
  </si>
  <si>
    <t>Společnost přátel ZUŠ MORAVA, z.s.</t>
  </si>
  <si>
    <t>Fryšták, Holešovská 271, PSČ 76316</t>
  </si>
  <si>
    <t>Společnost REZEDA o.p.s.</t>
  </si>
  <si>
    <t>Vidče 420, PSČ 75653</t>
  </si>
  <si>
    <t>Společnost singularistů v Bánově, z. s.</t>
  </si>
  <si>
    <t>Společnost Zlínské školy umění</t>
  </si>
  <si>
    <t>Společnost 4.0 z. s.</t>
  </si>
  <si>
    <t>Uherské Hradiště, Štefánikova 699, PSČ 68601</t>
  </si>
  <si>
    <t>Spolek  rodičů a přátel Obchodní akademie Kroměříž</t>
  </si>
  <si>
    <t>Kroměříž, Obvodová 3503/7, PSČ 76701</t>
  </si>
  <si>
    <t>Spolek - Studénky Zubří</t>
  </si>
  <si>
    <t>Zubří, Pod Javorníkem 152, PSČ 75654</t>
  </si>
  <si>
    <t>Spolek AEROKLUB ZLIN</t>
  </si>
  <si>
    <t>Otrokovice, Letiště 1887, PSČ 76502</t>
  </si>
  <si>
    <t>Spolek Aliance Voda Zlínsku</t>
  </si>
  <si>
    <t>Spolek Almara</t>
  </si>
  <si>
    <t>Liptál 36, PSČ 75631</t>
  </si>
  <si>
    <t>SPOLEK AMFOLKFEST</t>
  </si>
  <si>
    <t>Horní Lideč 291, PSČ 75612</t>
  </si>
  <si>
    <t>Spolek Archery Club Prakšice</t>
  </si>
  <si>
    <t>Spolek Arnicanis pomáhat duším</t>
  </si>
  <si>
    <t>Police 210, PSČ 75644</t>
  </si>
  <si>
    <t>Spolek BARBOŘICE</t>
  </si>
  <si>
    <t>Kroměříž, Kojetínská 1187/1A, PSČ 76701</t>
  </si>
  <si>
    <t>Spolek Bečvanských hudebníků</t>
  </si>
  <si>
    <t>Horní Bečva 1023, PSČ 75657</t>
  </si>
  <si>
    <t>Spolek Benefit aktiv</t>
  </si>
  <si>
    <t>Kelč 22, PSČ 75643</t>
  </si>
  <si>
    <t>Spolek BIKE and RIDE Nivnice, z.s.</t>
  </si>
  <si>
    <t>Spolek Blackbirds</t>
  </si>
  <si>
    <t>spolek Buchlovské perutě</t>
  </si>
  <si>
    <t>Buchlovice, Velehradská 197, PSČ 68708</t>
  </si>
  <si>
    <t>Spolek certifikačních orgánů pro certifikaci výrobků</t>
  </si>
  <si>
    <t>Spolek chovatelů koní Valašska, z.s.</t>
  </si>
  <si>
    <t>Rožnov pod Radhoštěm, Bučiska 546, PSČ 75661</t>
  </si>
  <si>
    <t>Spolek Císařovna Zita</t>
  </si>
  <si>
    <t>Zlín, Na Honech III 4932, PSČ 76005</t>
  </si>
  <si>
    <t>Spolek CM Pajtáš</t>
  </si>
  <si>
    <t>Lopeník 65, PSČ 68767</t>
  </si>
  <si>
    <t>SPOLEK CrossPowerFit UH</t>
  </si>
  <si>
    <t>Uherské Hradiště, Štěpnická 1044, PSČ 68606</t>
  </si>
  <si>
    <t>Spolek Červený kruh - vzdělávací centrum</t>
  </si>
  <si>
    <t>Uherský Brod, Rolnická 2351, PSČ 68801</t>
  </si>
  <si>
    <t>Spolek členů Aktivní zálohy AČR Zlínského kraje</t>
  </si>
  <si>
    <t>Prakšice 240, PSČ 68756</t>
  </si>
  <si>
    <t>Spolek Člověk člověku Valašské Meziříčí</t>
  </si>
  <si>
    <t>Spolek dárců krve při krajské nemocnici T.Baťi ve Zlíně</t>
  </si>
  <si>
    <t>Zlín, Havlíčkovo nábřeží 600, PSČ 76001</t>
  </si>
  <si>
    <t>Spolek Dechová hudba Hrozenčané</t>
  </si>
  <si>
    <t>Starý Hrozenkov 94, PSČ 68774</t>
  </si>
  <si>
    <t>Spolek Dědina</t>
  </si>
  <si>
    <t>Zástřizly 19, PSČ 76805</t>
  </si>
  <si>
    <t>Spolek DH Sebraňáci</t>
  </si>
  <si>
    <t>Roštění 64, PSČ 76843</t>
  </si>
  <si>
    <t>Spolek Diaklub Slavičín</t>
  </si>
  <si>
    <t>Slavičín, Hrádek na Vlárské dráze, Hrádecká 235, PSČ 76321</t>
  </si>
  <si>
    <t>Spolek dialyzovaných a transplantovaných pacientů v regionu Uherské Hradiště</t>
  </si>
  <si>
    <t>Břestek 247, PSČ 68708</t>
  </si>
  <si>
    <t>Spolek Discgolf Club Slovácko</t>
  </si>
  <si>
    <t>Uherské Hradiště, náměstí Republiky 954, PSČ 68601</t>
  </si>
  <si>
    <t>Spolek Divadelní SPONA</t>
  </si>
  <si>
    <t>Zubří, U Bečvy 608, PSČ 75654</t>
  </si>
  <si>
    <t>Spolek Dobromysl Bystřička</t>
  </si>
  <si>
    <t>Bystřička 228, PSČ 75624</t>
  </si>
  <si>
    <t>Spolek dobrovolníků Tochcem</t>
  </si>
  <si>
    <t>Otrokovice, Terezov 195, PSČ 76502</t>
  </si>
  <si>
    <t>Spolek dokolla</t>
  </si>
  <si>
    <t>Kroměříž, Kollárova 790/5, PSČ 76701</t>
  </si>
  <si>
    <t>SPOLEK DOMY MĚSTA MAYEN</t>
  </si>
  <si>
    <t>Uherské Hradiště, Sady, Jabloňová 487, PSČ 68601</t>
  </si>
  <si>
    <t>Spolek dřevorubeckých sportů a řemesel</t>
  </si>
  <si>
    <t>Lukov, Paseky 557, PSČ 76317</t>
  </si>
  <si>
    <t>Spolek DÚBRAVA</t>
  </si>
  <si>
    <t>Valašské Klobouky, Pod Dubovcem 682, PSČ 76601</t>
  </si>
  <si>
    <t>spolek eRepublika</t>
  </si>
  <si>
    <t>Luhačovice, Družstevní 187, PSČ 76326</t>
  </si>
  <si>
    <t>Spolek Farské dvůr</t>
  </si>
  <si>
    <t>Spolek FIROHOME</t>
  </si>
  <si>
    <t>Zlín, Kostelec, Lešenská 291, PSČ 76314</t>
  </si>
  <si>
    <t>Spolek FS Dúbrava</t>
  </si>
  <si>
    <t>Spolek Grasski Štítná</t>
  </si>
  <si>
    <t>Štítná nad Vláří-Popov, Popov 6, PSČ 76333</t>
  </si>
  <si>
    <t>Spolek Holky v akci</t>
  </si>
  <si>
    <t>Spolek hradu Nový Šaumburk</t>
  </si>
  <si>
    <t>Valašské Meziříčí, Podlesí 218, PSČ 75701</t>
  </si>
  <si>
    <t>Spolek hudebníků Kašava</t>
  </si>
  <si>
    <t>Kašava 288, PSČ 76319</t>
  </si>
  <si>
    <t>Spolek Hútek</t>
  </si>
  <si>
    <t>Spolek informačních a kybernetických sil z.s.</t>
  </si>
  <si>
    <t>Salaš 222, PSČ 68706</t>
  </si>
  <si>
    <t>Spolek ISS Consult, z.s.</t>
  </si>
  <si>
    <t>Zlín, Malenovice, Tyršova 323, PSČ 76302</t>
  </si>
  <si>
    <t>Spolek Janišov</t>
  </si>
  <si>
    <t>Vsetín, Rokytnice, Janišov 62, PSČ 75501</t>
  </si>
  <si>
    <t>Spolek Janův hrad Vizovice</t>
  </si>
  <si>
    <t>Vizovice, 3. května 1279, PSČ 76312</t>
  </si>
  <si>
    <t>Spolek JazzZušák</t>
  </si>
  <si>
    <t>Spolek Jižní Svahy Zlín</t>
  </si>
  <si>
    <t>Zlín, Slezská 4772, PSČ 76005</t>
  </si>
  <si>
    <t>Spolek Jižní Valašsko</t>
  </si>
  <si>
    <t>Spolek JK Jalubí</t>
  </si>
  <si>
    <t>Jalubí 640, PSČ 68705</t>
  </si>
  <si>
    <t>Spolek k uctění památky J.A.Komenského v Komni</t>
  </si>
  <si>
    <t>Spolek KK Vranov</t>
  </si>
  <si>
    <t>spolek KOPÝTKA PRO ŠTĚSTÍ</t>
  </si>
  <si>
    <t>Traplice 263, PSČ 68704</t>
  </si>
  <si>
    <t>Spolek Kudlovický vinný žleb</t>
  </si>
  <si>
    <t>Spolek lesa Skaličí</t>
  </si>
  <si>
    <t>Nový Hrozenkov 766, PSČ 75604</t>
  </si>
  <si>
    <t>"Spolek LešetínZlín"</t>
  </si>
  <si>
    <t>Zlín, Lešetín I 610, PSČ 76001</t>
  </si>
  <si>
    <t>Spolek Letná žije</t>
  </si>
  <si>
    <t>Zlín, Bratří Sousedíků 1076, PSČ 76001</t>
  </si>
  <si>
    <t>Spolek lhotských rybářů</t>
  </si>
  <si>
    <t>Spolek LONG HEALTHY LIFE (Spolek pro zdravý dlouhý život)</t>
  </si>
  <si>
    <t>Vsetín, Smetanova 1244, PSČ 75501</t>
  </si>
  <si>
    <t>Spolek Luháček</t>
  </si>
  <si>
    <t>Stará cesta č.1832, Vsetín</t>
  </si>
  <si>
    <t>Spolek MaLeTa</t>
  </si>
  <si>
    <t>Chropyně, Hrad 397, PSČ 76811</t>
  </si>
  <si>
    <t>Spolek MAMAgang</t>
  </si>
  <si>
    <t>Vsetín, Rokytnice, Rokytnice 401, PSČ 75501</t>
  </si>
  <si>
    <t>Spolek Mariánské poutní místo Zašová</t>
  </si>
  <si>
    <t>SPOLEK MARKÉTA, z. s.</t>
  </si>
  <si>
    <t>Vizovice, Zlínská 370, PSČ 76312</t>
  </si>
  <si>
    <t>Spolek Míkovice</t>
  </si>
  <si>
    <t>Spolek mladých bubeníků YOUNG DRUMMERS</t>
  </si>
  <si>
    <t>Holešov, Sportovní 1489, PSČ 76901</t>
  </si>
  <si>
    <t>Spolek Montessori Uherské Hradiště</t>
  </si>
  <si>
    <t>SPOLEK MORAVSKÉ DĚDICTVÍ</t>
  </si>
  <si>
    <t>Spolek Moribundus</t>
  </si>
  <si>
    <t>Valašské Meziříčí, Karafiátova 1312, PSČ 75701</t>
  </si>
  <si>
    <t>Spolek Mužský sbor z Kunovic</t>
  </si>
  <si>
    <t>Spolek myslivců Bánov</t>
  </si>
  <si>
    <t>Spolek mysliveckých trubačů Loukov</t>
  </si>
  <si>
    <t>Spolek Na Dědině</t>
  </si>
  <si>
    <t>Spolek na ochranu a monitorování trofejních ryb</t>
  </si>
  <si>
    <t>Uherské Hradiště, Jarošov, Louky 504, PSČ 68601</t>
  </si>
  <si>
    <t>Spolek na ochranu biotopu Kněhyně</t>
  </si>
  <si>
    <t>Bystřička 118, PSČ 75624</t>
  </si>
  <si>
    <t>Spolek na ochranu povrchových vod z.s.</t>
  </si>
  <si>
    <t>Kaňovice 105, PSČ 76341</t>
  </si>
  <si>
    <t>Spolek na ochranu přírody a krajiny v k.ú. Kudlov, z.s.</t>
  </si>
  <si>
    <t>Zlín, Kudlov, Strže 510, PSČ 76001</t>
  </si>
  <si>
    <t>Spolek na záchranu kláštera milosrdných sester v Chebu</t>
  </si>
  <si>
    <t>Všemina 120, PSČ 76315</t>
  </si>
  <si>
    <t>Spolek naturistů Ostrožská Nová Ves</t>
  </si>
  <si>
    <t>Uherské Hradiště, Pod Svahy 1002, PSČ 68601</t>
  </si>
  <si>
    <t>Spolek nemocniční kaple Vsetín</t>
  </si>
  <si>
    <t>Vsetín, Bratří Hlaviců 67, PSČ 75501</t>
  </si>
  <si>
    <t>Spolek občanů obce Zlobice</t>
  </si>
  <si>
    <t>Zlobice 41, PSČ 76831</t>
  </si>
  <si>
    <t>Spolek ochránců přírody Slavičín</t>
  </si>
  <si>
    <t>Slavičín, Luhačovská 199, PSČ 76321</t>
  </si>
  <si>
    <t>Spolek OFF ROAD Klub Zubří</t>
  </si>
  <si>
    <t>Zubří, Sídliště 6. května 1049, PSČ 75654</t>
  </si>
  <si>
    <t>Spolek Ohlá klika</t>
  </si>
  <si>
    <t>Horní Bečva 857, PSČ 75657</t>
  </si>
  <si>
    <t>Spolek otrokovických akvaristů</t>
  </si>
  <si>
    <t>Otrokovice, tř. Tomáše Bati 952, PSČ 76502</t>
  </si>
  <si>
    <t>Spolek Oživení Krásnice</t>
  </si>
  <si>
    <t>Zlín, Chlum 44, PSČ 76302</t>
  </si>
  <si>
    <t>Spolek Parkinson Zlínsko</t>
  </si>
  <si>
    <t>Zlín, Dolní 2952, PSČ 76001</t>
  </si>
  <si>
    <t>Spolek partnerství měst Bystřice pod Hostýnem - Salzkotten</t>
  </si>
  <si>
    <t>Bystřice pod Hostýnem, Komenského 1426, PSČ 76861</t>
  </si>
  <si>
    <t>spolek PassionForCycle z.s.</t>
  </si>
  <si>
    <t>Karolinka, Na Oboře 571, PSČ 75605</t>
  </si>
  <si>
    <t>Spolek Pašovsko - Prakšická hodová chasa</t>
  </si>
  <si>
    <t>Spolek pěstitelů kaktusů CARNEGIA Uherské Hradiště, o.s.</t>
  </si>
  <si>
    <t>Uherský Brod, Provazní 2184, PSČ 68801</t>
  </si>
  <si>
    <t>Spolek pěstitelů travních a jetelových semen</t>
  </si>
  <si>
    <t>Zubří, Hamerská 698, PSČ 75654</t>
  </si>
  <si>
    <t>Spolek PETRŮWJAN</t>
  </si>
  <si>
    <t>spolek Pod křídly</t>
  </si>
  <si>
    <t>Valašské Meziříčí, Družstevní 228, PSČ 75701</t>
  </si>
  <si>
    <t>Spolek podporovatelů historie Buchlovic, z.s.</t>
  </si>
  <si>
    <t>Spolek Posvátno</t>
  </si>
  <si>
    <t>Kelč 445, PSČ 75643</t>
  </si>
  <si>
    <t>Spolek PRACH</t>
  </si>
  <si>
    <t>Uherský Brod, Obchodní 1568, PSČ 68801</t>
  </si>
  <si>
    <t>Spolek PRO BIO poradenství</t>
  </si>
  <si>
    <t>Napajedla, Na Malině 1277, PSČ 76361</t>
  </si>
  <si>
    <t>SPOLEK PRO DALŠÍ VZDĚLÁVÁNÍ, z.s.</t>
  </si>
  <si>
    <t>Zlín, Prštné, M. Alše 531, PSČ 76001</t>
  </si>
  <si>
    <t>Spolek pro Domov Jitka</t>
  </si>
  <si>
    <t>Spolek pro ekologii Kostelec</t>
  </si>
  <si>
    <t>Zlín, Kostelec, Májová 432, PSČ 76314</t>
  </si>
  <si>
    <t>Spolek pro hravé setkávání rodičů a dětí, z.s.</t>
  </si>
  <si>
    <t>Poličná 173, PSČ 75701</t>
  </si>
  <si>
    <t>Spolek pro kulturní osvětu S-Tour</t>
  </si>
  <si>
    <t>Rožnov pod Radhoštěm, Za Hážovkou 2036, PSČ 75661</t>
  </si>
  <si>
    <t>Spolek pro obnovu chřibského mlýna, z.s.</t>
  </si>
  <si>
    <t>Zástřizly 87, PSČ 76805</t>
  </si>
  <si>
    <t>Spolek pro obnovu venkova Zlínského kraje (zkratka SPOV ZK)</t>
  </si>
  <si>
    <t>Spolek pro obnovu zámeckého parku</t>
  </si>
  <si>
    <t>Branky 295, PSČ 75645</t>
  </si>
  <si>
    <t>Spolek pro podporu místních iniciativ Chřiby, z.s.</t>
  </si>
  <si>
    <t>Spolek pro přírodu Plamének</t>
  </si>
  <si>
    <t>Uherské Hradiště, Tř. Maršála Malinovského 722, PSČ 68601</t>
  </si>
  <si>
    <t>"SPOLEK PRO REALIZACI SOCHY EMILA ZÁTOPKA NA STADIONU MLÁDEŽE VE ZLÍNĚ, z.s."</t>
  </si>
  <si>
    <t>Spolek pro rozvoj a ochranu lázní a lázeňské oblasti Smraďavka - Buchlovice</t>
  </si>
  <si>
    <t>Buchlovice, Smraďavka 416, PSČ 68708</t>
  </si>
  <si>
    <t>Spolek pro rozvoj cestovního ruchu městyse Buchlovice</t>
  </si>
  <si>
    <t>Buchlovice, náměstí Svobody 598, PSČ 68708</t>
  </si>
  <si>
    <t>Spolek pro rozvoj individuálního bydlení a sportovních aktivit a zařízení ve Zlínském kraji, z.s.</t>
  </si>
  <si>
    <t>Napajedla, Kvítkovická 1527, PSČ 76361</t>
  </si>
  <si>
    <t>Spolek pro rozvoj severního Slovácka, z.s.</t>
  </si>
  <si>
    <t>Spytihněv 396, PSČ 76364</t>
  </si>
  <si>
    <t>Spolek pro snižování energetické náročnosti budov z.s.</t>
  </si>
  <si>
    <t>Spolek pro splavnění a rekreační využití řeky Moravy</t>
  </si>
  <si>
    <t>Kroměříž, Gorkého 956/9, PSČ 76701</t>
  </si>
  <si>
    <t>Spolek pro šíření díla Jaroslava Novotného</t>
  </si>
  <si>
    <t>Zlín, Jaroslavice, V Dolině 161, PSČ 76001</t>
  </si>
  <si>
    <t>Spolek Pro školu</t>
  </si>
  <si>
    <t>Hulín, Žižkova 188, PSČ 76824</t>
  </si>
  <si>
    <t>Spolek Pro táborníky</t>
  </si>
  <si>
    <t>Lešná 170, PSČ 75641</t>
  </si>
  <si>
    <t>Spolek pro udržení tradic</t>
  </si>
  <si>
    <t>Břestek 14, PSČ 68708</t>
  </si>
  <si>
    <t>„Spolek pro vlčnovské děti”</t>
  </si>
  <si>
    <t>Vlčnov 124, PSČ 68761</t>
  </si>
  <si>
    <t>Spolek pro výstavbu kostela sv.Václava v Sazovicích</t>
  </si>
  <si>
    <t>Sazovice 182, PSČ 76301</t>
  </si>
  <si>
    <t>Spolek pro zachování hubertovských tradic</t>
  </si>
  <si>
    <t>Spolek pro zachování tradic, kultury a sportu</t>
  </si>
  <si>
    <t>Spolek pro zachování Valašských tradic</t>
  </si>
  <si>
    <t>Spolek pro zbudování kaple v obci Loučka</t>
  </si>
  <si>
    <t>Loučka 62, PSČ 76325</t>
  </si>
  <si>
    <t>Spolek pro zdravý rozvoj obcí</t>
  </si>
  <si>
    <t>Zádveřice-Raková, Zádveřice 460, PSČ 76312</t>
  </si>
  <si>
    <t>Spolek pro ZŠ Ohrada</t>
  </si>
  <si>
    <t>Vsetín, Nad Školou 1876, PSČ 75501</t>
  </si>
  <si>
    <t>Spolek pro ZŠ Sychrov</t>
  </si>
  <si>
    <t>Vsetín, MUDr. Františka Sovy 97, PSČ 75501</t>
  </si>
  <si>
    <t>Spolek profesionálních řidičů a zaměstnanců, z. s.</t>
  </si>
  <si>
    <t>Vlčnov 73, PSČ 68761</t>
  </si>
  <si>
    <t>spolek PROSTOR</t>
  </si>
  <si>
    <t>Valašské Meziříčí, Hrachovec 251, PSČ 75701</t>
  </si>
  <si>
    <t>Spolek Proud Holešov</t>
  </si>
  <si>
    <t>Holešov, Bezručova 1202/11, PSČ 76901</t>
  </si>
  <si>
    <t>Spolek přátel Alternus</t>
  </si>
  <si>
    <t>Ratiboř 285, PSČ 75621</t>
  </si>
  <si>
    <t>Spolek přátel Dětského domova a Speciálních škol Zlín</t>
  </si>
  <si>
    <t>Zlín, Na Honech III 4925, PSČ 76005</t>
  </si>
  <si>
    <t>Spolek přátel dětského folklórního souboru Veleťánek, z. s.</t>
  </si>
  <si>
    <t>Spolek přátel Elimu Vsetín</t>
  </si>
  <si>
    <t>Spolek přátel folkloru ve Slavičíně</t>
  </si>
  <si>
    <t>Lipová 3, PSČ 76321</t>
  </si>
  <si>
    <t>Spolek přátel Gymnázia Františka Palackého Valašské Meziříčí</t>
  </si>
  <si>
    <t>Valašské Meziříčí, Husova 146/2, PSČ 75701</t>
  </si>
  <si>
    <t>Spolek přátel historie - Ostrožská Lhota, z.s.</t>
  </si>
  <si>
    <t>Ostrožská Lhota 220, PSČ 68723</t>
  </si>
  <si>
    <t>Spolek přátel historie, z. s.</t>
  </si>
  <si>
    <t>Hošťálková 286, PSČ 75622</t>
  </si>
  <si>
    <t>Spolek přátel hradu Lukova</t>
  </si>
  <si>
    <t>Lukov č. ev. 38, PSČ 76317</t>
  </si>
  <si>
    <t>„Spolek přátel hřbitovní kaple v Uherském Brodě”</t>
  </si>
  <si>
    <t>Uherský Brod, Hradební 111, PSČ 68801</t>
  </si>
  <si>
    <t>Spolek přátel Jelínkovy slivovice</t>
  </si>
  <si>
    <t>Vizovice, Razov 472, PSČ 76312</t>
  </si>
  <si>
    <t>Spolek přátel kaple svatého Rocha</t>
  </si>
  <si>
    <t>Uherské Hradiště, Lechova 571, PSČ 68601</t>
  </si>
  <si>
    <t>Spolek přátel kroměřížské konzervatoře</t>
  </si>
  <si>
    <t>Kroměříž, Pilařova 7/1, PSČ 76701</t>
  </si>
  <si>
    <t>Spolek přátel lesa Ondřejovsko</t>
  </si>
  <si>
    <t>Fryšták, Horní Ves, Humna I 304, PSČ 76316</t>
  </si>
  <si>
    <t>Spolek přátel lidové hudby a umění</t>
  </si>
  <si>
    <t>Spolek přátel literatury a Knihovny Bedřicha Beneše Buchlovana</t>
  </si>
  <si>
    <t>Uherské Hradiště, Velehradská třída 714, PSČ 68601</t>
  </si>
  <si>
    <t>Spolek přátel města Mayen</t>
  </si>
  <si>
    <t>Spolek přátel Montessori</t>
  </si>
  <si>
    <t>Spolek přátel Skopalíkova muzea v Záhlinicích</t>
  </si>
  <si>
    <t>Hulín, Záhlinice 24, PSČ 76824</t>
  </si>
  <si>
    <t>Spolek přátel souboru Radhošť</t>
  </si>
  <si>
    <t>Rožnov pod Radhoštěm, Chobot 94, PSČ 75661</t>
  </si>
  <si>
    <t>Spolek přátel souboru Soláň</t>
  </si>
  <si>
    <t>Rožnov pod Radhoštěm, Horská 1540, PSČ 75661</t>
  </si>
  <si>
    <t>Spolek přátel SPgŠ Kroměříž</t>
  </si>
  <si>
    <t>Spolek přátel SŠP a VOŠ</t>
  </si>
  <si>
    <t>Kroměříž, Oskol 433/3, PSČ 76701</t>
  </si>
  <si>
    <t>Spolek přátel Stupavy</t>
  </si>
  <si>
    <t>Spolek přátel školy při SOU Valašské Klobouky</t>
  </si>
  <si>
    <t>"Spolek přátel valašských aktivit"</t>
  </si>
  <si>
    <t>Spolek přátel větrného mlýna Bojanovice - Zlobice</t>
  </si>
  <si>
    <t>Spolek přátel vína a cestování</t>
  </si>
  <si>
    <t>SPOLEK PŘÁTEL VÝTVARNÉHO UMĚNÍ A KNIHY z.s.</t>
  </si>
  <si>
    <t>Zlín, Zálešná VI 5797, PSČ 76001</t>
  </si>
  <si>
    <t>Spolek přátel výtvarného umění Kroměřížska</t>
  </si>
  <si>
    <t>Spolek přátel Základní umělecké školy Bystřice pod Hostýnem</t>
  </si>
  <si>
    <t>Spolek přátel Základní umělecké školy Luhačovice</t>
  </si>
  <si>
    <t>Luhačovice, Masarykova 137, PSČ 76326</t>
  </si>
  <si>
    <t>Spolek přátel zdravého rozumu a kvalitní muziky</t>
  </si>
  <si>
    <t>Troubky-Zdislavice, Troubky 70, PSČ 76802</t>
  </si>
  <si>
    <t>Spolek přátel ZŠ a MŠ Kladeruby</t>
  </si>
  <si>
    <t>Spolek přátel ZŠ Horní Němčí, z.s.</t>
  </si>
  <si>
    <t>Horní Němčí 118, PSČ 68764</t>
  </si>
  <si>
    <t>Spolek přátel ZŠ Mysločovice</t>
  </si>
  <si>
    <t>Mysločovice 150, PSČ 76301</t>
  </si>
  <si>
    <t>Spolek přátel ZŠ Slavičín - Vlára, z.s.</t>
  </si>
  <si>
    <t>Spolek Přátelé evropských vrcholů Zlín</t>
  </si>
  <si>
    <t>Luhačovice, Polichno 93, PSČ 76341</t>
  </si>
  <si>
    <t>Spolek Přátelé krajiny Dolní Lhota - Lipska u Luhačovic</t>
  </si>
  <si>
    <t>Luhačovice, Nádražní 133, PSČ 76326</t>
  </si>
  <si>
    <t>Spolek při ZŠ a MŠ Valašské Meziříčí, Křižná 782</t>
  </si>
  <si>
    <t>Valašské Meziříčí, Krásno nad Bečvou, Křižná 782, PSČ 75701</t>
  </si>
  <si>
    <t>SPOLEK při ZŠ Nedakonice, z. s.</t>
  </si>
  <si>
    <t>Nedakonice 142, PSČ 68738</t>
  </si>
  <si>
    <t>Spolek „PŘIDEJ SE K NÁM”</t>
  </si>
  <si>
    <t>Chropyně, Moravská 611, PSČ 76811</t>
  </si>
  <si>
    <t>Spolek Přílepy - náš domov</t>
  </si>
  <si>
    <t>Přílepy 184, PSČ 76901</t>
  </si>
  <si>
    <t>Spolek příznivců česneku z Buchlovic</t>
  </si>
  <si>
    <t>Buchlovice, Rechtorka 543, PSČ 68708</t>
  </si>
  <si>
    <t>Spolek radostného dětství, z.s.</t>
  </si>
  <si>
    <t>Zlín, třída Tomáše Bati 1030, PSČ 76001</t>
  </si>
  <si>
    <t>Spolek Recesistů Přílep z.s.</t>
  </si>
  <si>
    <t>Přílepy 6, PSČ 76901</t>
  </si>
  <si>
    <t>spolek Repetebox</t>
  </si>
  <si>
    <t>Zlín, Okružní 4732, PSČ 76005</t>
  </si>
  <si>
    <t>"Spolek Rodiče a přátelé školy Pržno"</t>
  </si>
  <si>
    <t>Pržno 127, PSČ 75623</t>
  </si>
  <si>
    <t>Spolek rodičů a přátel dětí a školy při ZŠ Kvasice, z. s.</t>
  </si>
  <si>
    <t>Kvasice, Husova 642, PSČ 76821</t>
  </si>
  <si>
    <t>Spolek rodičů a přátel dětí a školy při ZŠ Zámoraví</t>
  </si>
  <si>
    <t>SPOLEK RODIČŮ A PŘÁTEL DĚTÍ DECHOVÉHO SOUBORU MORAVA při Základní umělecké škole Hulín</t>
  </si>
  <si>
    <t>Spolek rodičů a přátel dětí při Základní škole UNESCO Uherské Hradiště</t>
  </si>
  <si>
    <t>Uherské Hradiště, Komenského náměstí 350, PSČ 68601</t>
  </si>
  <si>
    <t>Spolek rodičů a přátel dětí při 2. ZŠ Holešov</t>
  </si>
  <si>
    <t>Holešov, Smetanovy sady 625/4, PSČ 76901</t>
  </si>
  <si>
    <t>Spolek rodičů a přátel dětí školy při Základní umělecké škole v Hulíně</t>
  </si>
  <si>
    <t>Spolek rodičů a přátel Gymnázia J.A.Komenského v Uherském Brodě z.s.</t>
  </si>
  <si>
    <t>Uherský Brod, Komenského 169, PSČ 68801</t>
  </si>
  <si>
    <t>Spolek rodičů a přátel Katolické základní školy v Uherském Brodě</t>
  </si>
  <si>
    <t>Spolek rodičů a přátel MŠ Klíček</t>
  </si>
  <si>
    <t>Uherský Brod, Prim. Hájka 2030, PSČ 68801</t>
  </si>
  <si>
    <t>Spolek rodičů a přátel při SŠHS Kroměříž, z.s.</t>
  </si>
  <si>
    <t>Spolek rodičů a přátel při Střední průmyslové škole polytechnické - Centrum odborné přípravy Zlín, Nad Ovčírnou 2528, 76001 Zlín</t>
  </si>
  <si>
    <t>Zlín, Nad Ovčírnou IV 2528, PSČ 76001</t>
  </si>
  <si>
    <t>Spolek rodičů a přátel SŠ-COPT Kroměříž</t>
  </si>
  <si>
    <t>Kroměříž, Nábělkova 539/3, PSČ 76701</t>
  </si>
  <si>
    <t>Spolek rodičů a přátel školy Fénix při ZŠ a MŠ Větrná 1063, Uherské Hradiště, z. s.</t>
  </si>
  <si>
    <t>Uherské Hradiště, Sady, Trnková 430, PSČ 68605</t>
  </si>
  <si>
    <t>Spolek rodičů a přátel školy Pohořelice</t>
  </si>
  <si>
    <t>Pohořelice, Školní 126, PSČ 76361</t>
  </si>
  <si>
    <t>Spolek rodičů a přátel školy při Církevní ZŠ a MŠ ve Zlíně</t>
  </si>
  <si>
    <t>Spolek rodičů a přátel školy při SPŠ MV v Holešově</t>
  </si>
  <si>
    <t>Holešov, Zlínská 991, PSČ 76901</t>
  </si>
  <si>
    <t>Spolek rodičů a přátel školy při Základní škole a Mateřské škole Bílovice</t>
  </si>
  <si>
    <t>Bílovice 440, PSČ 68712</t>
  </si>
  <si>
    <t>Spolek rodičů a přátel školy při Základní škole a mateřské škole J. A.Komenského Nivnice</t>
  </si>
  <si>
    <t>Spolek rodičů a přátel školy při Základní škole a Mateřské škole ve Vlčnově</t>
  </si>
  <si>
    <t>Vlčnov 1202, PSČ 68761</t>
  </si>
  <si>
    <t>Spolek rodičů a přátel školy při Základní škole Trnava 242</t>
  </si>
  <si>
    <t>Trnava 242, PSČ 76318</t>
  </si>
  <si>
    <t>Spolek rodičů a přátel školy při Základní škole Zlín - Dřevnická 1790</t>
  </si>
  <si>
    <t>Zlín, Dřevnická 1790, PSČ 76001</t>
  </si>
  <si>
    <t>Spolek rodičů a přátel školy při ZŠ a MŠ v Kašavě z.s.</t>
  </si>
  <si>
    <t>Spolek rodičů a přátel školy při ZŠ a PrŠ Valašské Klobouky</t>
  </si>
  <si>
    <t>Valašské Klobouky, Smolina 16, PSČ 76601</t>
  </si>
  <si>
    <t>Spolek rodičů a přátel školy při ZŠ, MŠ a PŠ Vsetín</t>
  </si>
  <si>
    <t>Spolek rodičů a přátel školy při ZŠ Neubuz, z.s.</t>
  </si>
  <si>
    <t>Neubuz 65, PSČ 76315</t>
  </si>
  <si>
    <t>Spolek rodičů a přátel školy při ZŠ Prakšice, z.s.</t>
  </si>
  <si>
    <t>Prakšice 100, PSČ 68756</t>
  </si>
  <si>
    <t>Spolek rodičů a přátel školy při ZŠ Sportovní v Uh. Hradišti</t>
  </si>
  <si>
    <t>Uherské Hradiště, Sportovní 777, PSČ 68601</t>
  </si>
  <si>
    <t>Spolek rodičů a přátel školy při ZŠ Valašská Bystřice</t>
  </si>
  <si>
    <t>Valašská Bystřice 360, PSČ 75627</t>
  </si>
  <si>
    <t>Spolek rodičů a přátel školy při ZŠ Větrná 1063,uherské Hradiště</t>
  </si>
  <si>
    <t>Uherské Hradiště, Mařatice, Větrná 1063, PSČ 68605</t>
  </si>
  <si>
    <t>Spolek rodičů a přátel školy při ZŠ Záhorovice</t>
  </si>
  <si>
    <t>Záhorovice 164, PSČ 68771</t>
  </si>
  <si>
    <t>Spolek rodičů a přátel Základní a Mateřské  školy Halenkovice</t>
  </si>
  <si>
    <t>Halenkovice 76, PSČ 76363</t>
  </si>
  <si>
    <t>Spolek rodičů a přátel Základní školy  Ostrožská Nová Ves</t>
  </si>
  <si>
    <t>Ostrožská Nová Ves, Lhotská 500, PSČ 68722</t>
  </si>
  <si>
    <t>Spolek rodičů a přátel Základní školy Komenského náměstí Kroměříž</t>
  </si>
  <si>
    <t>Kroměříž, Komenského náměstí 440/2, PSČ 76701</t>
  </si>
  <si>
    <t>Spolek rodičů a přátel Základní školy Liptál</t>
  </si>
  <si>
    <t>Liptál 465, PSČ 75631</t>
  </si>
  <si>
    <t>Spolek rodičů a přátel Základní školy v Boršicích</t>
  </si>
  <si>
    <t>Boršice 7, PSČ 68709</t>
  </si>
  <si>
    <t>Spolek rodičů a přátel ZŠ Zdounky</t>
  </si>
  <si>
    <t>Zdounky 59, PSČ 76802</t>
  </si>
  <si>
    <t>Spolek rodičů a příznivců Základní školy Uherský Ostroh</t>
  </si>
  <si>
    <t>Uherský Ostroh, Ostrožské Předměstí, Školní 400, PSČ 68724</t>
  </si>
  <si>
    <t>Spolek rodičů a zaměstnanců při Odborném učilišti v Kelči, náměstí Osvoboditelů 1, 756 43 Kelč</t>
  </si>
  <si>
    <t>Kelč 1, PSČ 75643</t>
  </si>
  <si>
    <t>Spolek rodičů Montessori při Mateřské škole, Uherské Hradiště</t>
  </si>
  <si>
    <t>Uherské Hradiště, Štěpnická 1111, PSČ 68606</t>
  </si>
  <si>
    <t>Spolek rodičů při  ZUŠ Zlín - Jižní Svahy</t>
  </si>
  <si>
    <t>Zlín, Okružní 4699, PSČ 76005</t>
  </si>
  <si>
    <t>Spolek rodičů při I. ZŠ Kunovice, Červená cesta 853</t>
  </si>
  <si>
    <t>Kunovice, Červená cesta 853, PSČ 68604</t>
  </si>
  <si>
    <t>Spolek rodičů při Mateřské škole v Uherském Hradišti - Jarošově</t>
  </si>
  <si>
    <t>Uherské Hradiště, Jarošov, Markov 416, PSČ 68601</t>
  </si>
  <si>
    <t>Spolek rodičů při MŠ Obchodní, zapsaný spolek</t>
  </si>
  <si>
    <t>Uherský Brod, Obchodní 1639, PSČ 68801</t>
  </si>
  <si>
    <t>SPOLEK RODIČŮ PŘI MŠ RADOST z.s.</t>
  </si>
  <si>
    <t>Holešov, Grohova 1392, PSČ 76901</t>
  </si>
  <si>
    <t>Spolek rodičů při MŠ Sídliště</t>
  </si>
  <si>
    <t>Uherský Ostroh, Ostrožské Předměstí, Sídliště 836, PSČ 68724</t>
  </si>
  <si>
    <t>Spolek rodičů při MŠ Štěpánov, Valašské Meziříčí</t>
  </si>
  <si>
    <t>Valašské Meziříčí, Šafaříkova 658, PSČ 75701</t>
  </si>
  <si>
    <t>Spolek rodičů při Základní škole a mateřské škole Osvětimany</t>
  </si>
  <si>
    <t>Osvětimany 282, PSČ 68742</t>
  </si>
  <si>
    <t>Spolek rodičů při Základní škole Boršice u Blatnice, z.s.</t>
  </si>
  <si>
    <t>Spolek rodičů při Základní škole Vsetín, Rokytnice 436</t>
  </si>
  <si>
    <t>Vsetín, Rokytnice, Michala Urbánka 436, PSČ 75501</t>
  </si>
  <si>
    <t>Spolek rodičů při ZŠ a MŠ Buchlovice</t>
  </si>
  <si>
    <t>Buchlovice, Komenského 483, PSČ 68708</t>
  </si>
  <si>
    <t>Spolek rodičů při ZŠ a MŠ Jarcová z.s.</t>
  </si>
  <si>
    <t>Jarcová 53, PSČ 75701</t>
  </si>
  <si>
    <t>Spolek rodičů při ZŠ Březolupy</t>
  </si>
  <si>
    <t>Březolupy 134, PSČ 68713</t>
  </si>
  <si>
    <t>Spolek rodičů při ZŠ Jablůnka</t>
  </si>
  <si>
    <t>Jablůnka 306, PSČ 75623</t>
  </si>
  <si>
    <t>Spolek rodičů při ZŠ Komenského I, Zlín, z.s.</t>
  </si>
  <si>
    <t>Zlín, Havlíčkovo nábřeží 3114, PSČ 76001</t>
  </si>
  <si>
    <t>Spolek rodičů při ZŠ Kunovice U Pálenice, z.s.</t>
  </si>
  <si>
    <t>Kunovice, U Pálenice 1620, PSČ 68604</t>
  </si>
  <si>
    <t>Spolek rodičů při ZŠ Mánesova v Otrokovicích</t>
  </si>
  <si>
    <t>Otrokovice, Mánesova 908, PSČ 76502</t>
  </si>
  <si>
    <t>Spolek rodičů při ZŠ T.G. Masaryka Bystřice pod Hostýnem</t>
  </si>
  <si>
    <t>Bystřice pod Hostýnem, Nádražní 56, PSČ 76861</t>
  </si>
  <si>
    <t>Spolek rodičů při ZŠ Uherské Hradiště - Jarošov</t>
  </si>
  <si>
    <t>Uherské Hradiště-Jarošov,čp.200 /ZŠ/</t>
  </si>
  <si>
    <t>Spolek rodičů při ZŠ Valašské Klobouky</t>
  </si>
  <si>
    <t>Valašské Klobouky, Školní 856, PSČ 76601</t>
  </si>
  <si>
    <t>Spolek rodičů při 9. ZŠ Zlín</t>
  </si>
  <si>
    <t>Zlín, Štefánikova 2514, PSČ 76001</t>
  </si>
  <si>
    <t>Spolek rodičů z Mistřic</t>
  </si>
  <si>
    <t>Spolek rodičů žáků sportovních tříd</t>
  </si>
  <si>
    <t>Spolek Romů a Sintů ČR</t>
  </si>
  <si>
    <t>Otrokovice, Kvítkovice, K. H. Máchy 107, PSČ 76502</t>
  </si>
  <si>
    <t>Spolek ROSA Roštění</t>
  </si>
  <si>
    <t>Roštění 91, PSČ 76843</t>
  </si>
  <si>
    <t>Spolek RUBÍN</t>
  </si>
  <si>
    <t>Uherské Hradiště, Za Alejí 1015, PSČ 68606</t>
  </si>
  <si>
    <t>Spolek rybářů Mistřice</t>
  </si>
  <si>
    <t>SPOLEK RYBÁŘŮ MÍŠKOVICE</t>
  </si>
  <si>
    <t>Míškovice 76, PSČ 76852</t>
  </si>
  <si>
    <t>Spolek rybářů Polešovice</t>
  </si>
  <si>
    <t>Polešovice 551, PSČ 68737</t>
  </si>
  <si>
    <t>Spolek rybářů, rybníkářství Holomňa</t>
  </si>
  <si>
    <t>Prakšice 127, PSČ 68756</t>
  </si>
  <si>
    <t>Spolek rybářů Žeranovice</t>
  </si>
  <si>
    <t>Žeranovice 260, PSČ 76901</t>
  </si>
  <si>
    <t>Akvakultura</t>
  </si>
  <si>
    <t>Spolek rybářů Žopy</t>
  </si>
  <si>
    <t>Žopy 166, Holešov</t>
  </si>
  <si>
    <t>Spolek Rybníkářství Jezera Šumice</t>
  </si>
  <si>
    <t>SPOLEK R-72</t>
  </si>
  <si>
    <t>Staré Město, Brněnská 369, PSČ 68603</t>
  </si>
  <si>
    <t>Spolek Řetechov, z.s.</t>
  </si>
  <si>
    <t>Spolek s názvem ORIENTKLUB Vsetín</t>
  </si>
  <si>
    <t>Vsetín, Semetín 1717, PSČ 75501</t>
  </si>
  <si>
    <t>spolek Sdružení Woodcraft Chřiby</t>
  </si>
  <si>
    <t>Koryčany, Smetanova 624, PSČ 76805</t>
  </si>
  <si>
    <t>Spolek seniorů Břest</t>
  </si>
  <si>
    <t>Spolek seniorů Dolní Lhota</t>
  </si>
  <si>
    <t>Spolek seniorů Klásek,z.s.</t>
  </si>
  <si>
    <t>Spolek seniorů ve Velkých Karlovicích</t>
  </si>
  <si>
    <t>Spolek singularistů v Lukově z.s.</t>
  </si>
  <si>
    <t>Spolek singularistů velkousedlých Horní Ves</t>
  </si>
  <si>
    <t>Fryšták, Horní Ves, Ke Skalce 442, PSČ 76316</t>
  </si>
  <si>
    <t>Spolek singularistů Zlobice</t>
  </si>
  <si>
    <t>Spolek singulárních domkařů Zlín - Štípa, z.s.</t>
  </si>
  <si>
    <t>Želechovice nad Dřevnicí, Osvobození 408, PSČ 76311</t>
  </si>
  <si>
    <t>Spolek singulárních podílníků Bojkovice</t>
  </si>
  <si>
    <t>Spolek singulárních podílníků Bzová</t>
  </si>
  <si>
    <t>Bojkovice, Bzová 40, PSČ 68771</t>
  </si>
  <si>
    <t>Spolek singulárních podílníků Komňa</t>
  </si>
  <si>
    <t>Komňa 213, PSČ 68771</t>
  </si>
  <si>
    <t>Spolek singulárních podílníků Krhov</t>
  </si>
  <si>
    <t>Spolek singulárních podílníků Slavkov</t>
  </si>
  <si>
    <t>Spolek singulárních podílníků Suchá Loz</t>
  </si>
  <si>
    <t>Spolek singulárních podílníků Třešinky  Cetechovice</t>
  </si>
  <si>
    <t>Cetechovice 45, PSČ 76802</t>
  </si>
  <si>
    <t>Spolek singulárních vlastníků Lukoveček, z.s.</t>
  </si>
  <si>
    <t>Fryšták, Dolní Ves, Dolnoveská 197, PSČ 76316</t>
  </si>
  <si>
    <t>Spolek S&amp;K</t>
  </si>
  <si>
    <t>Napajedla, Smetanova 1401, PSČ 76361</t>
  </si>
  <si>
    <t>Spolek SK GMG Zlín</t>
  </si>
  <si>
    <t>Zlín, Díly IV 884, PSČ 76001</t>
  </si>
  <si>
    <t>Spolek Skatepark Slavičín</t>
  </si>
  <si>
    <t>Slavičín, K Hájenkám 358, PSČ 76321</t>
  </si>
  <si>
    <t>"Spolek Slatina Slavkov pod Hostýnem"</t>
  </si>
  <si>
    <t>Spolek soukromých chovatelů koní na Moravě se sídlem v Holešově</t>
  </si>
  <si>
    <t>Martinice 128, PSČ 76901</t>
  </si>
  <si>
    <t>Spolek Speranza di Cavalli</t>
  </si>
  <si>
    <t>Uherský Brod, Králov 1576, PSČ 68801</t>
  </si>
  <si>
    <t>Spolek spoluvlastníků bytového domu Odboje 1081, 1082 a 1083, Bystřice pod Hostýnem</t>
  </si>
  <si>
    <t>Bystřice pod Hostýnem, Odboje 1083, PSČ 76861</t>
  </si>
  <si>
    <t>Spolek spoluvlastníků podzemní hromadné garáže Plesníkova 5572, Zlín</t>
  </si>
  <si>
    <t>Zlín, Zarámí 92, PSČ 76001</t>
  </si>
  <si>
    <t>Spolek spoluvlastníků podzemní hromadné garáže Voženílkova 5573, Zlín</t>
  </si>
  <si>
    <t>Spolek Sportovní klub Jarohněvice</t>
  </si>
  <si>
    <t>Spolek Staroměští mládenci</t>
  </si>
  <si>
    <t>Staré Město, Svatoplukova 2193, PSČ 68603</t>
  </si>
  <si>
    <t>spolek Střelců Újezd, z.s.</t>
  </si>
  <si>
    <t>Újezd č. ev. 1, PSČ 76325</t>
  </si>
  <si>
    <t>Spolek ŠTĚPY SPYTIHNĚV</t>
  </si>
  <si>
    <t>Otrokovice, Obchodní 1320, PSČ 76502</t>
  </si>
  <si>
    <t>Spolek TANCKLUB Vsetín</t>
  </si>
  <si>
    <t>Vsetín, Rokytnice, Rokytnice 413, PSČ 75501</t>
  </si>
  <si>
    <t>Spolek TENIS Podvesná XI/XII Zlín z.s.</t>
  </si>
  <si>
    <t>Zlín, Podvesná XI 741, PSČ 76001</t>
  </si>
  <si>
    <t>SPOLEK TENIS ZÁLEŠNÁ VI/VII ZLÍN, z.s.</t>
  </si>
  <si>
    <t>Zlín, Zálešná X 5874, PSČ 76001</t>
  </si>
  <si>
    <t>Spolek Topolská chasa</t>
  </si>
  <si>
    <t>Spolek Tylovjané</t>
  </si>
  <si>
    <t>Rožnov pod Radhoštěm, Za Hážovkou 1944, PSČ 75661</t>
  </si>
  <si>
    <t>Spolek Valašských cyklistů</t>
  </si>
  <si>
    <t>Spolek věřících kaple Sv. Ducha v Podolí</t>
  </si>
  <si>
    <t>Vlčnov 508, PSČ 68761</t>
  </si>
  <si>
    <t>SPOLEK VÉSKY</t>
  </si>
  <si>
    <t>Uherské Hradiště, Vésky, Zámostí 103, PSČ 68601</t>
  </si>
  <si>
    <t>spolek VIA SOPHIAE</t>
  </si>
  <si>
    <t>Březnice 517, PSČ 76001</t>
  </si>
  <si>
    <t>Spolek vlastníků lesa Loučka Zániví Paseky</t>
  </si>
  <si>
    <t>Loučka 129, PSČ 76325</t>
  </si>
  <si>
    <t>Spolek vlastníků lesa Újezd</t>
  </si>
  <si>
    <t>Újezd 308, PSČ 76325</t>
  </si>
  <si>
    <t>Spolek vlastníků zahrádek ZaO3 Slavičín</t>
  </si>
  <si>
    <t>Slavičín, U Rybníka 410, PSČ 76321</t>
  </si>
  <si>
    <t>Spolek V+M, z.s.</t>
  </si>
  <si>
    <t>Uherský Brod, Kučerovo nám. 478, PSČ 68801</t>
  </si>
  <si>
    <t>Spolek westernové střelby Otrokovice</t>
  </si>
  <si>
    <t>Otrokovice, Komenského 248, PSČ 76502</t>
  </si>
  <si>
    <t>Spolek za kvalitní rozvoj Štípy a Kostelce</t>
  </si>
  <si>
    <t>Fryšták, Zlínská 241, PSČ 76316</t>
  </si>
  <si>
    <t>Spolek za ochranu přírody Fabiánka</t>
  </si>
  <si>
    <t>Březnice 435, PSČ 76001</t>
  </si>
  <si>
    <t>Spolek za otevřený a prosperující Zlín, z.s.</t>
  </si>
  <si>
    <t>Zlín, U Splavu 1539, PSČ 76001</t>
  </si>
  <si>
    <t>SPOLEK ZA PRÁVA JIŘÍHO KUBÍČKA, z. s.</t>
  </si>
  <si>
    <t>Zlín, Malenovice, Tyršova 1071, PSČ 76302</t>
  </si>
  <si>
    <t>Spolek Za starou Moravu</t>
  </si>
  <si>
    <t>Spolek za vládu práva v kauzách obnovitelných zdrojů energie, z. s.</t>
  </si>
  <si>
    <t>Spolek za zachování rázu krajiny Zašové</t>
  </si>
  <si>
    <t>Zašová 166, PSČ 75651</t>
  </si>
  <si>
    <t>Spolek za zdravé prostředí pro všechny</t>
  </si>
  <si>
    <t>Lešná, Lhotka nad Bečvou 55, PSČ 75641</t>
  </si>
  <si>
    <t>"Spolek Za zdravé Valašsko"</t>
  </si>
  <si>
    <t>Vlachovice, Vrbětice 109, PSČ 76324</t>
  </si>
  <si>
    <t>Spolek za zdravé životní prostředí - Vršava, z.s.</t>
  </si>
  <si>
    <t>Zlín, Horní Vršava IV 5378, PSČ 76001</t>
  </si>
  <si>
    <t>spolek Zahrádkáři Rožnov-město</t>
  </si>
  <si>
    <t>Rožnov pod Radhoštěm, Hradišťko 2531, PSČ 75661</t>
  </si>
  <si>
    <t>Spolek Zákopčan</t>
  </si>
  <si>
    <t>"Spolek Zdravá Napajedla"</t>
  </si>
  <si>
    <t>Napajedla, Žerotínova 253, PSČ 76361</t>
  </si>
  <si>
    <t>Spolek zdravotně postižených v Hulíně</t>
  </si>
  <si>
    <t>Hulín, Třebízského 194, PSČ 76824</t>
  </si>
  <si>
    <t>Spolek ZELENÁ HRÁZ na ochranu přírodních a historických hodnot Uh.Ostrohu</t>
  </si>
  <si>
    <t>Uherský Ostroh, Sv. Čecha 73, PSČ 68724</t>
  </si>
  <si>
    <t>spolek Zlínský Zvěřinec</t>
  </si>
  <si>
    <t>Lukov, Průmyslová 513, PSČ 76317</t>
  </si>
  <si>
    <t>Spolek Zoufalých rodičů</t>
  </si>
  <si>
    <t>Uherské Hradiště, Míkovice, Lesní 36, PSČ 68609</t>
  </si>
  <si>
    <t>Spolek ZUŠKA?ZUŠKA!</t>
  </si>
  <si>
    <t>Spolek Zvonek</t>
  </si>
  <si>
    <t>Slavičín, Nevšová 98, PSČ 76321</t>
  </si>
  <si>
    <t>Spolek žen Kurovice, z.s.</t>
  </si>
  <si>
    <t>Spolek žen Žeranovice</t>
  </si>
  <si>
    <t>Žeranovice 179, PSČ 76901</t>
  </si>
  <si>
    <t>Spolek Žítek</t>
  </si>
  <si>
    <t>pošta Starý Hrozenkov, Žítková 88</t>
  </si>
  <si>
    <t>Spolek Živé Přečkovice</t>
  </si>
  <si>
    <t>Bojkovice, Přečkovice 60, PSČ 68771</t>
  </si>
  <si>
    <t>Spolek-Klub outdoorových aktivit</t>
  </si>
  <si>
    <t>Zlín, Prostřední 3375, PSČ 76001</t>
  </si>
  <si>
    <t>SPOLU - Spolek ochotníků Lukoveček</t>
  </si>
  <si>
    <t>Lukoveček, Záhumenní 156, PSČ 76316</t>
  </si>
  <si>
    <t>Sport Academy B2M, z.s.</t>
  </si>
  <si>
    <t>Ostrožská Nová Ves, Za kostelem 785, PSČ 68722</t>
  </si>
  <si>
    <t>SPORT AKADEMIE, z.s.</t>
  </si>
  <si>
    <t>Brumov-Bylnice, Brumov, Družba 1180, PSČ 76331</t>
  </si>
  <si>
    <t>SPORT CENTRUM KOHÚTKA, z.s.</t>
  </si>
  <si>
    <t>Nový Hrozenkov 241, PSČ 75604</t>
  </si>
  <si>
    <t>SPORT CENTRUM SLUŠOVICE o.s.</t>
  </si>
  <si>
    <t>Slušovice, U Vodojemu 576, PSČ 76315</t>
  </si>
  <si>
    <t>Sport club GÖRÖ Zlín</t>
  </si>
  <si>
    <t>Zlín, Příluky, Dřevnická 377, PSČ 76001</t>
  </si>
  <si>
    <t>Sport Club MBC - MOTOR BOAT CLUB</t>
  </si>
  <si>
    <t>Kroměříž, Hulínská 3221/26, PSČ 76701</t>
  </si>
  <si>
    <t>SPORT CLUB STŘÍLKY z.s.</t>
  </si>
  <si>
    <t>Střílky, Koryčanská 56, PSČ 76804</t>
  </si>
  <si>
    <t>Sport Klub Holešov</t>
  </si>
  <si>
    <t>Rymice 134, PSČ 76901</t>
  </si>
  <si>
    <t>SPORT KLUB KARPATY o.s.</t>
  </si>
  <si>
    <t>Vápenice 56, PSČ 68774</t>
  </si>
  <si>
    <t>Sport klub U Lukášů, z.s.</t>
  </si>
  <si>
    <t>SPORT KLUB VOLEJBAL Hošťálková, z.s.</t>
  </si>
  <si>
    <t>Hošťálková 496, PSČ 75622</t>
  </si>
  <si>
    <t>SPORT KLUB ZLÍN - MLADCOVÁ</t>
  </si>
  <si>
    <t>Zlín, Mladcová, Vinohrádek 493, PSČ 76001</t>
  </si>
  <si>
    <t>SPORT Luhačovice, spolek</t>
  </si>
  <si>
    <t>Luhačovice, Rumunská 590, PSČ 76326</t>
  </si>
  <si>
    <t>Sport Poker Klub Zlín o.s.</t>
  </si>
  <si>
    <t>Sport pomáhá, z.s.</t>
  </si>
  <si>
    <t>Liptál 84, PSČ 75631</t>
  </si>
  <si>
    <t>Sport pro všechny Vsetín, z.s.</t>
  </si>
  <si>
    <t>Vsetín, Jabloňová 946, PSČ 75501</t>
  </si>
  <si>
    <t>Sport pro zdravý život, z.s.</t>
  </si>
  <si>
    <t>SPORT PRO ŽIVOT 2008</t>
  </si>
  <si>
    <t>Zlín, Nad Dolinou 4982, PSČ 76001</t>
  </si>
  <si>
    <t>Sport to life z.s.</t>
  </si>
  <si>
    <t>Kněžpole 366, PSČ 68712</t>
  </si>
  <si>
    <t>Sportcentrum Beneško, z.s.</t>
  </si>
  <si>
    <t>Zlín, Benešovo nábřeží 1739, PSČ 76001</t>
  </si>
  <si>
    <t>SPORTcentrum BYLNICE, z. s.</t>
  </si>
  <si>
    <t>Sportcentrum ROZLET</t>
  </si>
  <si>
    <t>Kroměříž, Kolojedská 2590</t>
  </si>
  <si>
    <t>sportchance.eu, z. s.</t>
  </si>
  <si>
    <t>Uherské Hradiště, Rostislavova 1265, PSČ 68601</t>
  </si>
  <si>
    <t>SPORTCLUB UNION DRTIČ ZLÍN</t>
  </si>
  <si>
    <t>Otrokovice, Školní 1002</t>
  </si>
  <si>
    <t>Sportem ke zdraví a duševní pohodě z. s.</t>
  </si>
  <si>
    <t>Zlín, Velíková, Zvonička 216, PSČ 76314</t>
  </si>
  <si>
    <t>SPORTOVÁNÍ V MATEŘSKÝCH ŠKOLKÁCH, z.s.</t>
  </si>
  <si>
    <t>Sportovně kulturní klub TATANKA, z.s.</t>
  </si>
  <si>
    <t>Zlín, Příluky, Pekárenská 356, PSČ 76001</t>
  </si>
  <si>
    <t>Sportovně střelecký klub Jeffa Coopera č. 2 při České zbrojovce a.s. Uherský Brod</t>
  </si>
  <si>
    <t>Sportovně střelecký klub Střítež nad Bečvou z.s.</t>
  </si>
  <si>
    <t>Sportovně-rekreační spolek Kudlovice, z.s.</t>
  </si>
  <si>
    <t>Sportovní a turistický klub Sulimov</t>
  </si>
  <si>
    <t>Sportovní a turistický klub Valašského království</t>
  </si>
  <si>
    <t>Neubuz 149, PSČ 76315</t>
  </si>
  <si>
    <t>Sportovní agentura MULTI, z.s.</t>
  </si>
  <si>
    <t>Fryšták, Komenského 206, PSČ 76316</t>
  </si>
  <si>
    <t>Sportovní asociace Ostrožská Nová Ves</t>
  </si>
  <si>
    <t>Ostrožská Nová Ves, Nádražní č. ev. 5, PSČ 68722</t>
  </si>
  <si>
    <t>Sportovní dětské kempy z. s.</t>
  </si>
  <si>
    <t>Zlín, Příluky, Pod Mlýnem 314, PSČ 76001</t>
  </si>
  <si>
    <t>Sportovní DH Vsetín z.s.</t>
  </si>
  <si>
    <t>Oznice 3, PSČ 75624</t>
  </si>
  <si>
    <t>Sportovní klub - Křídla Valachů SK Vsetín</t>
  </si>
  <si>
    <t>Vsetín - Svárov 936</t>
  </si>
  <si>
    <t>Sportovní klub Balloons Propag Vsetín</t>
  </si>
  <si>
    <t>SPORTOVNÍ KLUB BASKETBALU ZLÍN, z.s.</t>
  </si>
  <si>
    <t>Sportovní klub Berani Naděje Zlín, z. s.</t>
  </si>
  <si>
    <t>Zlín, Bratří Sousedíků 349, PSČ 76001</t>
  </si>
  <si>
    <t>Sportovní klub BNT</t>
  </si>
  <si>
    <t>Uherské Hradiště, Mařatice, Vinohradská 398, PSČ 68605</t>
  </si>
  <si>
    <t>Sportovní klub Brumov-Bylnice, z.s.</t>
  </si>
  <si>
    <t>SPORTOVNÍ KLUB BŘEST, z.s.</t>
  </si>
  <si>
    <t>Sportovní klub Březnice, z.s.</t>
  </si>
  <si>
    <t>Březnice 566, PSČ 76001</t>
  </si>
  <si>
    <t>Sportovní klub BULDOK</t>
  </si>
  <si>
    <t>Vlachovice 9, PSČ 76324</t>
  </si>
  <si>
    <t>Sportovní klub Chan-Shaolin-Si Dju-Su Kung-Fu Zlín, z.s.</t>
  </si>
  <si>
    <t>Zlín, Lazy VI 2883, PSČ 76001</t>
  </si>
  <si>
    <t>Sportovní klub cyklistů Hluk, z.s.</t>
  </si>
  <si>
    <t>Hluk, Vyšehradská 1388, PSČ 68725</t>
  </si>
  <si>
    <t>Sportovní klub cyklistů Kroměříž</t>
  </si>
  <si>
    <t>Sportovní klub DC BILLIARD CLUB "4"</t>
  </si>
  <si>
    <t>Uherský Brod, Weberova 2, PSČ 68801</t>
  </si>
  <si>
    <t>Sportovní klub DC KORÁDO Staré Město</t>
  </si>
  <si>
    <t>Staré Město, Hradišťská 1911</t>
  </si>
  <si>
    <t>Sportovní klub DC KRAKEN Dřínov</t>
  </si>
  <si>
    <t>Sportovní klub Demons, z.s.</t>
  </si>
  <si>
    <t>Sportovní klub Demons-VK</t>
  </si>
  <si>
    <t>Valašské Klobouky, Jamy 968, PSČ 76601</t>
  </si>
  <si>
    <t>Sportovní klub DERBY</t>
  </si>
  <si>
    <t>Sportovní klub DTB serie, z.s.</t>
  </si>
  <si>
    <t>Kunovice 213, PSČ 75644</t>
  </si>
  <si>
    <t>Sportovní klub EDIE team Vsetín, z.s.</t>
  </si>
  <si>
    <t>Sportovní klub EKOBIKE Zlín</t>
  </si>
  <si>
    <t>Zlín, Nad Vývozem 4857, PSČ 76005</t>
  </si>
  <si>
    <t>Sportovní klub EMKaD Holešov, z.s.</t>
  </si>
  <si>
    <t>Holešov, Masarykova 635, PSČ 76901</t>
  </si>
  <si>
    <t>Sportovní klub FORTES Zlín</t>
  </si>
  <si>
    <t>Zlín, Příluky, Boněcko I 265, PSČ 76001</t>
  </si>
  <si>
    <t>"SPORTOVNÍ KLUB GARI"</t>
  </si>
  <si>
    <t>Zlín, třída Tomáše Bati 56, PSČ 76001</t>
  </si>
  <si>
    <t>Sportovní klub Gymnastika specializace Prostná z.s.</t>
  </si>
  <si>
    <t>Rožnov pod Radhoštěm, 1. máje 1161, PSČ 75661</t>
  </si>
  <si>
    <t>Sportovní klub hasiči Zlín, z.s.</t>
  </si>
  <si>
    <t>Sportovní klub Jaroslavice z.s.</t>
  </si>
  <si>
    <t>Zlín, Jaroslavice, Na Vrše 295, PSČ 76001</t>
  </si>
  <si>
    <t>Sportovní klub Jestřabí</t>
  </si>
  <si>
    <t>Štítná nad Vláří-Popov, Štítná nad Vláří 1, PSČ 76333</t>
  </si>
  <si>
    <t>SPORTOVNÍ KLUB JS ZLÍN o.s.</t>
  </si>
  <si>
    <t>Sportovní klub KARATE-DO Goju Ryu, Team Bojkovice</t>
  </si>
  <si>
    <t>Starý Hrozenkov 257, PSČ 68774</t>
  </si>
  <si>
    <t>Sportovní klub KAVÁRNA GRÉTA Boršice</t>
  </si>
  <si>
    <t>Boršice 498, PSČ 68709</t>
  </si>
  <si>
    <t>Sportovní klub Kobra Vsetín, z.s.</t>
  </si>
  <si>
    <t>Vsetín, Dolní Jasenka 776, PSČ 75501</t>
  </si>
  <si>
    <t>Sportovní klub Krásno Valašské Meziříčí</t>
  </si>
  <si>
    <t>Valašské Meziříčí, Krásno nad Bečvou, Na Šištotě 721, PSČ 75701</t>
  </si>
  <si>
    <t>Sportovní klub Kudlovice</t>
  </si>
  <si>
    <t>Sportovní klub kulturistiky Hulín</t>
  </si>
  <si>
    <t>Hulín, Záhlinická 1267 /Petr Poszytek/</t>
  </si>
  <si>
    <t>Sportovní klub LOVE Dědině, z.s.</t>
  </si>
  <si>
    <t>Sportovní klub Lukov z.s.</t>
  </si>
  <si>
    <t>Lukov, Padělky č. ev. 501, PSČ 76317</t>
  </si>
  <si>
    <t>SPORTOVNÍ KLUB Malenovice</t>
  </si>
  <si>
    <t>Zlín, Malenovice, Havlíčkova 422, PSČ 76302</t>
  </si>
  <si>
    <t>Sportovní klub mládeže JUNIOR Chropyně, z.s.</t>
  </si>
  <si>
    <t>Sportovní klub mládeže Valašské Meziříčí, z.s.</t>
  </si>
  <si>
    <t>Valašské Meziříčí, Krásno nad Bečvou, Svěrákova 531/32, PSČ 75701</t>
  </si>
  <si>
    <t>Sportovní klub Natursport o.s.</t>
  </si>
  <si>
    <t>Otrokovice, Moravní 1636, PSČ 76502</t>
  </si>
  <si>
    <t>Sportovní klub neslyšících Valašské Meziříčí,z.s.</t>
  </si>
  <si>
    <t>Sportovní klub NS7, z.s.</t>
  </si>
  <si>
    <t>Nový Hrozenkov 389, PSČ 75604</t>
  </si>
  <si>
    <t>Sportovní klub Olympia Zlín, z.s.</t>
  </si>
  <si>
    <t>Sportovní klub orientačního běhu Zlín, z.s.</t>
  </si>
  <si>
    <t>Sportovní klub Pacetluky, z.s.</t>
  </si>
  <si>
    <t>Sportovní klub Paseky Zlín o.s.</t>
  </si>
  <si>
    <t>Zlín, Pasecká ul.čp. 5551, sportovní stadion</t>
  </si>
  <si>
    <t>Sportovní klub Phar Lap, o.s.</t>
  </si>
  <si>
    <t>Bezměrov 29, PSČ 76701</t>
  </si>
  <si>
    <t>Sportovní klub P+K Zlín, z.s.</t>
  </si>
  <si>
    <t>Zlín, Kostelec, Za Humny 393, PSČ 76314</t>
  </si>
  <si>
    <t>Sportovní klub PLANET BIKES, z. s.</t>
  </si>
  <si>
    <t>Vsetín, U Skláren 1306, PSČ 75501</t>
  </si>
  <si>
    <t>Sportovní klub Podkopná Lhota, z.s.</t>
  </si>
  <si>
    <t>Podkopná Lhota 16, PSČ 76318</t>
  </si>
  <si>
    <t>Sportovní klub policie ČR-Referát cizinecké a pohraniční policie Brumov-Bylnice</t>
  </si>
  <si>
    <t>Brumov-Bylnice, Svatý Štěpán 146, PSČ 76334</t>
  </si>
  <si>
    <t>Sportovní klub policie Holešov, z.s.</t>
  </si>
  <si>
    <t>Sportovní klub policie Vsetín, spolek</t>
  </si>
  <si>
    <t>Vsetín, Hlásenka 1516, PSČ 75501</t>
  </si>
  <si>
    <t>Sportovní klub Policie Zlín, z.s.</t>
  </si>
  <si>
    <t>Sportovní klub Pozlovice, z.s.</t>
  </si>
  <si>
    <t>Pozlovice, Hlavní 361, PSČ 76326</t>
  </si>
  <si>
    <t>Sportovní klub Rajnochovice z. s.</t>
  </si>
  <si>
    <t>Rajnochovice 278, PSČ 76871</t>
  </si>
  <si>
    <t>Sportovní klub RANČ REBEL</t>
  </si>
  <si>
    <t>Napajedla, Nábřeží 1333, PSČ 76361</t>
  </si>
  <si>
    <t>Sportovní klub Rokytnice, z. s.</t>
  </si>
  <si>
    <t>Rokytnice 159, PSČ 76321</t>
  </si>
  <si>
    <t>Sportovní klub Rožnov, z.s.</t>
  </si>
  <si>
    <t>Rožnov pod Radhoštěm, Travinářská 1170, PSČ 75661</t>
  </si>
  <si>
    <t>Sportovní klub Rusava, z.s.</t>
  </si>
  <si>
    <t>Sportovní klub RYCHLOV, z.s.</t>
  </si>
  <si>
    <t>Bystřice pod Hostýnem, Rychlov, Za Potokem 239, PSČ 76861</t>
  </si>
  <si>
    <t>Sportovní klub sjezdového lyžování Hutisko-Solanec</t>
  </si>
  <si>
    <t>Sportovní klub Slovácká Viktoria Bojkovice z.s.</t>
  </si>
  <si>
    <t>Bojkovice, Tovární 615, PSČ 68771</t>
  </si>
  <si>
    <t>Sklenářské, malířské a natěračské práce</t>
  </si>
  <si>
    <t>Sportovní klub Sokol - FK Kudlov, z.s.</t>
  </si>
  <si>
    <t>Zlín, Kudlov, Na Vrchovici 154, PSČ 76001</t>
  </si>
  <si>
    <t>Sportovní klub Spartak Hulín, z. s.</t>
  </si>
  <si>
    <t>Hulín, Javorová 439, PSČ 76824</t>
  </si>
  <si>
    <t>Sportovní klub Spoje Zlín</t>
  </si>
  <si>
    <t>Sportovní klub Squash Valmez</t>
  </si>
  <si>
    <t>Valašské Meziříčí, Lhotka nad Bečvou 75</t>
  </si>
  <si>
    <t>Sportovní klub Strání, z.s.</t>
  </si>
  <si>
    <t>Zlín, U Trojáku 4634, PSČ 76005</t>
  </si>
  <si>
    <t>Sportovní klub Střední průmyslové školy Zlín</t>
  </si>
  <si>
    <t>Zlín, tř. T. Bati 4187</t>
  </si>
  <si>
    <t>Sportovní klub Stříbrnice, z.s.</t>
  </si>
  <si>
    <t>Stříbrnice 283, PSČ 68709</t>
  </si>
  <si>
    <t>Sportovní klub Stupava, občanské sdružení</t>
  </si>
  <si>
    <t>Stupava 111, PSČ 68601</t>
  </si>
  <si>
    <t>Sportovní klub Šanov, z. s.</t>
  </si>
  <si>
    <t>Šanov 209, PSČ 76321</t>
  </si>
  <si>
    <t>Sportovní klub ŠK M.A.S.H. Polešovice</t>
  </si>
  <si>
    <t>Polešovice 746, PSČ 68737</t>
  </si>
  <si>
    <t>Sportovní klub Študlov z. s.</t>
  </si>
  <si>
    <t>Sportovní klub Tenis Hvozdná</t>
  </si>
  <si>
    <t>Hvozdná, Záhumení 251, PSČ 76310</t>
  </si>
  <si>
    <t>Sportovní klub Tomšů</t>
  </si>
  <si>
    <t>Kúty 1960 760 01 Zlín</t>
  </si>
  <si>
    <t>Sportovní klub tradičních bojových umění - Vsetín</t>
  </si>
  <si>
    <t>Vsetín, Rokytnice, Pod Žamboškou 252, PSČ 75501</t>
  </si>
  <si>
    <t>Sportovní Klub Uherský Brod, z.s.</t>
  </si>
  <si>
    <t>Uherský Brod, Zátiší 1958, PSČ 68801</t>
  </si>
  <si>
    <t>Sportovní Klub Valachy z.s.</t>
  </si>
  <si>
    <t>Velké Karlovice 1144, PSČ 75606</t>
  </si>
  <si>
    <t>Sportovní klub Vesani.cz, z.s.</t>
  </si>
  <si>
    <t>Sportovní klub Vlachovice, z. s.</t>
  </si>
  <si>
    <t>Vlachovice 399, PSČ 76324</t>
  </si>
  <si>
    <t>Sportovní klub VLÁRA BYLNICE</t>
  </si>
  <si>
    <t>Brumov-Bylnice, Pod Strání čp.44</t>
  </si>
  <si>
    <t>Sportovní klub vytrvalostních a extrémních sportů Zlín</t>
  </si>
  <si>
    <t>Zlín, Dolní 2302, PSČ 76001</t>
  </si>
  <si>
    <t>Sportovní klub Yacimu z. s.</t>
  </si>
  <si>
    <t>Branky 95, PSČ 75645</t>
  </si>
  <si>
    <t>Sportovní klub Zlín z.s.</t>
  </si>
  <si>
    <t>Zlín, Potoky 5145, PSČ 76001</t>
  </si>
  <si>
    <t>Sportovní klub Želechovice z.s.</t>
  </si>
  <si>
    <t>Želechovice nad Dřevnicí, Přílucká 17, PSČ 76311</t>
  </si>
  <si>
    <t>Sportovní kluby Slavičín, z.s.</t>
  </si>
  <si>
    <t>Sportovní kluby Staré Město, z.s.</t>
  </si>
  <si>
    <t>Sportovní kluby Zlín, z.s.</t>
  </si>
  <si>
    <t>Sportovní kynologický klub Uh.Brod</t>
  </si>
  <si>
    <t>Uherský Brod, Vazová 2452, PSČ 688 01</t>
  </si>
  <si>
    <t>Sportovní paintball Slovácko, o. s.</t>
  </si>
  <si>
    <t>Nivnice, Podohradí 690, PSČ 68751</t>
  </si>
  <si>
    <t>Sportovní sdružení Memoriálu L. Oškery</t>
  </si>
  <si>
    <t>Zlín, Kudlov, Žlutá 483, PSČ 76001</t>
  </si>
  <si>
    <t>SPORTOVNÍ SPOLEK BŘEZOLUPY</t>
  </si>
  <si>
    <t>Březolupy 555, PSČ 68713</t>
  </si>
  <si>
    <t>Sportovní spolek Pod Chlumem</t>
  </si>
  <si>
    <t>Bystřice pod Hostýnem, Bílavsko 34, PSČ 76861</t>
  </si>
  <si>
    <t>Sportovní stáj VITTORIA</t>
  </si>
  <si>
    <t>Skaštice 16, PSČ 76701</t>
  </si>
  <si>
    <t>Sportovní šerm Zlín, z.s.</t>
  </si>
  <si>
    <t>Zlín, třída Tomáše Bati 6247, PSČ 76001</t>
  </si>
  <si>
    <t>Sportovní škola judo, jiu-jitsu Zlín, z. s.</t>
  </si>
  <si>
    <t>SPORT-Relax KLUB VM, z.s.</t>
  </si>
  <si>
    <t>Valašské Meziříčí, Kraiczova 1040, PSČ 75701</t>
  </si>
  <si>
    <t>Sportstudio Popovice, občanské sdružení</t>
  </si>
  <si>
    <t>Popovice 333, PSČ 68604</t>
  </si>
  <si>
    <t>Sportyzlin.cz,z.s.</t>
  </si>
  <si>
    <t>Zlín, Prostřední 5382, PSČ 76001</t>
  </si>
  <si>
    <t>SPORT4STREET o.s.</t>
  </si>
  <si>
    <t>Vsetín, Na Kopečku 9, PSČ 75501</t>
  </si>
  <si>
    <t>SPOT "Slunéčko" z.s.</t>
  </si>
  <si>
    <t>Popovice 303, PSČ 68604</t>
  </si>
  <si>
    <t>Správa Arcibiskupského zámku a zahrad v Kroměříži, z.ú.</t>
  </si>
  <si>
    <t>Smíšené hospodářství</t>
  </si>
  <si>
    <t>Správa singulárního majetku Popov z.s.</t>
  </si>
  <si>
    <t>Štítná nad Vláří-Popov, Popov 40, PSČ 76333</t>
  </si>
  <si>
    <t>Správný směr o.p.s.</t>
  </si>
  <si>
    <t>Valašské Meziříčí, Hrachovec 26, PSČ 75701</t>
  </si>
  <si>
    <t>SPS Staré Město, z.s.</t>
  </si>
  <si>
    <t>Staré Město, Erbenova 1182, PSČ 68603</t>
  </si>
  <si>
    <t>„SPUNT, o.s.”</t>
  </si>
  <si>
    <t>Squash v pohodě</t>
  </si>
  <si>
    <t>SRC Zlín modelářský klub p.s.</t>
  </si>
  <si>
    <t>Tlumačov, Sokolská 401, PSČ 76362</t>
  </si>
  <si>
    <t>Srdcem pro chlupáče z.s.</t>
  </si>
  <si>
    <t>Štítná nad Vláří-Popov, Štítná nad Vláří 324, PSČ 76333</t>
  </si>
  <si>
    <t>Srdcem Rožnovák z. s.</t>
  </si>
  <si>
    <t>Rožnov pod Radhoštěm, Kramolišov 2903, PSČ 75661</t>
  </si>
  <si>
    <t>Srdeční spolek</t>
  </si>
  <si>
    <t>Horní Lideč 114, PSČ 75612</t>
  </si>
  <si>
    <t>SRNÍ z.s.</t>
  </si>
  <si>
    <t>Vsetín, Rokytnice, Srní 345, PSČ 75501</t>
  </si>
  <si>
    <t>SRPDŠ při ZŠ Tlumačov, z.s.</t>
  </si>
  <si>
    <t>Tlumačov, náměstí Komenského 905, PSČ 76362</t>
  </si>
  <si>
    <t>SRPDŠ SLOVAN, z.s.</t>
  </si>
  <si>
    <t>Kroměříž, Zeyerova 3354/2, PSČ 76701</t>
  </si>
  <si>
    <t>SRPŠ Kněžpole, z.s.</t>
  </si>
  <si>
    <t>SRPŠ při Základní škole Pohořelice, okres Zlín</t>
  </si>
  <si>
    <t>SRPŠ při ZŠ Chropyně, z. s.</t>
  </si>
  <si>
    <t>SRPŠ při ZŠ Fryšták, z.s.</t>
  </si>
  <si>
    <t>Fryšták, náměstí Míru 7, PSČ 76316</t>
  </si>
  <si>
    <t>SRPŠ při ZUŠ Bojkovice z.s.</t>
  </si>
  <si>
    <t>SRPŠ při ZUŠ Otrokovice z.s.</t>
  </si>
  <si>
    <t>Zlín, Prštné, M. Alše 394, PSČ 76001</t>
  </si>
  <si>
    <t>SRPŠ při 1.ZŠ Holešov, z.s.</t>
  </si>
  <si>
    <t>Holešov, Smetanovy sady 630/8, PSČ 76901</t>
  </si>
  <si>
    <t>SS EQUI - BŘEST o.s.</t>
  </si>
  <si>
    <t>Břest 288, PSČ 76823</t>
  </si>
  <si>
    <t>SS RENOSPORT, o.s.</t>
  </si>
  <si>
    <t>Kroměříž, Lubné 108</t>
  </si>
  <si>
    <t>ST AMON Kunovice z.s.</t>
  </si>
  <si>
    <t>STAGE GARDEN z.s.</t>
  </si>
  <si>
    <t>Rožnov pod Radhoštěm, Horní Dráhy 2769, PSČ 75661</t>
  </si>
  <si>
    <t>Stáj Basilika o.s.</t>
  </si>
  <si>
    <t>Zlín, Rašínova 72, PSČ 76001</t>
  </si>
  <si>
    <t>STÁJ CHLUM, z. s.</t>
  </si>
  <si>
    <t>Bystřice pod Hostýnem, Bílavsko 1, PSČ 76861</t>
  </si>
  <si>
    <t>Stáj Dolina Staré Město, z. s.</t>
  </si>
  <si>
    <t>Tupesy 187, PSČ 68707</t>
  </si>
  <si>
    <t>Stáj Gamara Leskovec z.s.</t>
  </si>
  <si>
    <t>Leskovec 72, PSČ 75611</t>
  </si>
  <si>
    <t>Stáj MEVRIN z.s.</t>
  </si>
  <si>
    <t>Zádveřice-Raková, Zádveřice 449, PSČ 76312</t>
  </si>
  <si>
    <t>Stáj Moravia Branky z. s.</t>
  </si>
  <si>
    <t>Branky 285, PSČ 75645</t>
  </si>
  <si>
    <t>Stáj Rektořík o.s.</t>
  </si>
  <si>
    <t>Holešov, Všetuly, 6. května 39, PSČ 76901</t>
  </si>
  <si>
    <t>Stáj Unity z.s.</t>
  </si>
  <si>
    <t>Dolní Bečva 88, PSČ 75655</t>
  </si>
  <si>
    <t>Stáje Ťapka z.s.</t>
  </si>
  <si>
    <t>Boršice 268, PSČ 68709</t>
  </si>
  <si>
    <t>Opravy obuvi a kožených výrobků</t>
  </si>
  <si>
    <t>"STALKER 2009"</t>
  </si>
  <si>
    <t>Uherské Hradiště, Mařatice, Václava Kulíška 1157, PSČ 68605</t>
  </si>
  <si>
    <t>Stánek probuzení</t>
  </si>
  <si>
    <t>Holešov, Školní 451/14, PSČ 76901</t>
  </si>
  <si>
    <t>Stanice ochrany fauny Hluk, zapsaný spolek</t>
  </si>
  <si>
    <t>Hluk, Hlavní 889, PSČ 68725</t>
  </si>
  <si>
    <t>Star team Kroměříž,z.s.</t>
  </si>
  <si>
    <t>Kroměříž, Zborovská 4268/1, PSČ 76701</t>
  </si>
  <si>
    <t>Stará Cihelna z. s.</t>
  </si>
  <si>
    <t>Uherské Hradiště, Mařatice, Stará Cihelna 1410, PSČ 68605</t>
  </si>
  <si>
    <t>Stará Masna art z.s.</t>
  </si>
  <si>
    <t>Kroměříž, Na Sladovnách 1479/21, PSČ 76701</t>
  </si>
  <si>
    <t>Staré Malenovice</t>
  </si>
  <si>
    <t>Zlín, Malenovice, Jarolímkovo náměstí 121, PSČ 76302</t>
  </si>
  <si>
    <t>STAROHROZENČAN, z.s.</t>
  </si>
  <si>
    <t>Starý Hrozenkov 284, PSČ 68774</t>
  </si>
  <si>
    <t>Starohrozenská kapela, z.s.</t>
  </si>
  <si>
    <t>Starý Hrozenkov 323, PSČ 68774</t>
  </si>
  <si>
    <t>Starokatolická farnost ve Zlíně</t>
  </si>
  <si>
    <t>"STAROMĚSTSKÁ KAPELA z. s."</t>
  </si>
  <si>
    <t>Staroměstské sdružení</t>
  </si>
  <si>
    <t>Staré Město, Nad Hřištěm 1891, PSČ 68603</t>
  </si>
  <si>
    <t>Staroměští šohajíci, spolek</t>
  </si>
  <si>
    <t>Statek Pod Ostrým, z.s.</t>
  </si>
  <si>
    <t>Stínová rada pro reklamu, z.s.</t>
  </si>
  <si>
    <t>Kroměříž, Havlíčkova 3936/126, PSČ 76701</t>
  </si>
  <si>
    <t>Stodola Horreum z. s.</t>
  </si>
  <si>
    <t>Vydávání knih</t>
  </si>
  <si>
    <t>Stolní tenis Bílovice, z.s.</t>
  </si>
  <si>
    <t>Bílovice 208, PSČ 68712</t>
  </si>
  <si>
    <t>Stolní tenis Bystřice pod Lopeníkem z.s.</t>
  </si>
  <si>
    <t>Stolní tenis Kvasice z.s.</t>
  </si>
  <si>
    <t>Kvasice, Tlumačovská 700, PSČ 76821</t>
  </si>
  <si>
    <t>Stolní tenis Rajnochovice z.s.</t>
  </si>
  <si>
    <t>Rajnochovice 155, PSČ 76871</t>
  </si>
  <si>
    <t>Stolní tenis Uherské Hradiště z.s.</t>
  </si>
  <si>
    <t>Břestek 41, PSČ 68708</t>
  </si>
  <si>
    <t>Stolní tenis Zubří, z.s.</t>
  </si>
  <si>
    <t>Zubří, Ke Kapličce 793, PSČ 75654</t>
  </si>
  <si>
    <t>Stonožka Valašská Polanka z.s.</t>
  </si>
  <si>
    <t>Valašská Polanka 450, PSČ 75611</t>
  </si>
  <si>
    <t>Stop bariérám, o.s.</t>
  </si>
  <si>
    <t>Zlín, Mladcová, Na Drahách 523, PSČ 76001</t>
  </si>
  <si>
    <t>Stop HF Valašsko, o.s.</t>
  </si>
  <si>
    <t>Jablůnka 188, PSČ 75623</t>
  </si>
  <si>
    <t>Stoprounští vinaři, z. s.</t>
  </si>
  <si>
    <t>Stormriders Freeski Club z.s</t>
  </si>
  <si>
    <t>Prostřední Bečva 693, PSČ 75656</t>
  </si>
  <si>
    <t>Stoupa Cup, z.s.</t>
  </si>
  <si>
    <t>Vsetín, Těšíkov 1170, PSČ 75501</t>
  </si>
  <si>
    <t>Strategický nadační fond</t>
  </si>
  <si>
    <t>Strážce valašských tradic</t>
  </si>
  <si>
    <t>Vsetín, Semetín 1737, PSČ 75501</t>
  </si>
  <si>
    <t>"Strážná Věž o.s."</t>
  </si>
  <si>
    <t>Valašské Meziříčí, Krásno nad Bečvou, Sklářská 644/1, PSČ 75701</t>
  </si>
  <si>
    <t>„STRBON z.s.“</t>
  </si>
  <si>
    <t>STRG Holešovský Region, z.s.</t>
  </si>
  <si>
    <t>Holešov, Grohova 1266, PSČ 76901</t>
  </si>
  <si>
    <t>STROM RODINY, z.s.</t>
  </si>
  <si>
    <t>Rožnov pod Radhoštěm, Jiřího Wolkera 1021, PSČ 75661</t>
  </si>
  <si>
    <t>STROP, z.ú.</t>
  </si>
  <si>
    <t>Zlín, Dlouhá 2699, PSČ 76001</t>
  </si>
  <si>
    <t>Zlín, J. A. Bati 5648, PSČ 76001</t>
  </si>
  <si>
    <t>Středeční Monumenty z. s.</t>
  </si>
  <si>
    <t>Rožnov pod Radhoštěm, Tkalcovská 1373, PSČ 75661</t>
  </si>
  <si>
    <t>Středisko občanů s tělesným postižením Vsetín o.p.s.</t>
  </si>
  <si>
    <t>Středisko rané péče EDUCO Zlín z.s.</t>
  </si>
  <si>
    <t>Kroměříž, Na Lindovce 1463/1, PSČ 76701</t>
  </si>
  <si>
    <t>Středomoravská agentura rozvoje venkova, o.p.s.</t>
  </si>
  <si>
    <t>Středomoravský oblastní šipkový svaz</t>
  </si>
  <si>
    <t>Střelecký klub HANÁ</t>
  </si>
  <si>
    <t>Kyselovice 225, PSČ 76811</t>
  </si>
  <si>
    <t>Střelecký klub KM z.s.</t>
  </si>
  <si>
    <t>Kroměříž, Dolnozahradská 1663/38, PSČ 76701</t>
  </si>
  <si>
    <t>Střelecký klub Oznice, z.s.</t>
  </si>
  <si>
    <t>Oznice 125, PSČ 75624</t>
  </si>
  <si>
    <t>Střelecký klub střelnice MCV Pohořelice, z.s.</t>
  </si>
  <si>
    <t>Napajedla, Sládkova 1223, PSČ 76361</t>
  </si>
  <si>
    <t>STŘELECKÝ ODDÍL CBA o.s.</t>
  </si>
  <si>
    <t>Střelecký spolek Hvězda Kroměříž</t>
  </si>
  <si>
    <t>Skaštice 136, PSČ 76701</t>
  </si>
  <si>
    <t>Střelecký spolek Valašské Klobouky</t>
  </si>
  <si>
    <t>Střelecký svaz Bystřička z.s.</t>
  </si>
  <si>
    <t>Bystřička 312, PSČ 75624</t>
  </si>
  <si>
    <t>Stříbrná linka z. s.</t>
  </si>
  <si>
    <t>Lukov, U Rybníka 301, PSČ 76317</t>
  </si>
  <si>
    <t>Stříška, zapsaný spolek</t>
  </si>
  <si>
    <t>Uherský Brod, Havřice, Brodská 1, PSČ 68801</t>
  </si>
  <si>
    <t>Střítežský vlk z.s.</t>
  </si>
  <si>
    <t>Střítež nad Bečvou 173, PSČ 75652</t>
  </si>
  <si>
    <t>Students 4U</t>
  </si>
  <si>
    <t>Studentská tvůrčí unie</t>
  </si>
  <si>
    <t>Březůvky 64, PSČ 76345</t>
  </si>
  <si>
    <t>Studentská unie fakulty technologické Univerzita Tomáše Bati ve Zlíně</t>
  </si>
  <si>
    <t>Zlín, T.G.Masaryka 275</t>
  </si>
  <si>
    <t>Studentská unie UTB, z.s.</t>
  </si>
  <si>
    <t>Studentský domov - sdružení rodičů, přátel a studentů Domova mládeže</t>
  </si>
  <si>
    <t>Studentský domov, z. s.</t>
  </si>
  <si>
    <t>Studentský klub U TeBe</t>
  </si>
  <si>
    <t>Studijní nadace CS Cabot</t>
  </si>
  <si>
    <t>Studijní nadační fond a.s. DEZA</t>
  </si>
  <si>
    <t>Studio Activity Kroměříž, z.s.</t>
  </si>
  <si>
    <t>Chropyně, Hrad 459, PSČ 76811</t>
  </si>
  <si>
    <t>Studna extreme riders z. s.</t>
  </si>
  <si>
    <t>Uherské Hradiště, Mařatice, Sokolovská 476, PSČ 68601</t>
  </si>
  <si>
    <t>STUDUJ TO, z. s.</t>
  </si>
  <si>
    <t>Zlín, Zelinova 5589, PSČ 76005</t>
  </si>
  <si>
    <t>SUBARU SPORT SERVICE AČR</t>
  </si>
  <si>
    <t>Sucholožský občanský spolek</t>
  </si>
  <si>
    <t>SUK o.s.</t>
  </si>
  <si>
    <t>SUMUS Plus z. s.</t>
  </si>
  <si>
    <t>Staré Město, Alšova 1350, PSČ 68603</t>
  </si>
  <si>
    <t>Sun Jardin o.s.</t>
  </si>
  <si>
    <t>Komňa 164, PSČ 68771</t>
  </si>
  <si>
    <t>SUPERIOR RIDERS, z.s.</t>
  </si>
  <si>
    <t>Rožnov pod Radhoštěm, Hážovice 2168, PSČ 75661</t>
  </si>
  <si>
    <t>SUPPORTERS o. s.</t>
  </si>
  <si>
    <t>Uherské Hradiště, Rostislavova 670, PSČ 68601</t>
  </si>
  <si>
    <t>Súsedé, z.s.</t>
  </si>
  <si>
    <t>Střílky, Komná 281, PSČ 76804</t>
  </si>
  <si>
    <t>"Svah J. Šperky o.s."</t>
  </si>
  <si>
    <t>Svah Rochus, z.ú.</t>
  </si>
  <si>
    <t>Svah Zlín spolek</t>
  </si>
  <si>
    <t>Kroměříž, K Terezovu 4247/5, PSČ 76701</t>
  </si>
  <si>
    <t>"Svahovky, o.s."</t>
  </si>
  <si>
    <t>Zlín, Krátká 1930/31, PSČ 76001</t>
  </si>
  <si>
    <t>Svaťa Božák ultracycling</t>
  </si>
  <si>
    <t>Rožnov pod Radhoštěm, Tylovice 2729</t>
  </si>
  <si>
    <t>Svatá Sidonie, z.s.</t>
  </si>
  <si>
    <t>Brumov-Bylnice, Sidonie 35, PSČ 76334</t>
  </si>
  <si>
    <t>Svaz chovatelů a příznivců moravského teplokrevníka z. s.</t>
  </si>
  <si>
    <t>Svaz diabetiků ČR - územní organizace Val.Meziř.</t>
  </si>
  <si>
    <t>Valašské Meziříčí,</t>
  </si>
  <si>
    <t>Svaz diabetiků ČR, pobočný spolek Kroměříž</t>
  </si>
  <si>
    <t>Kvasice, Husova 559, PSČ 76821</t>
  </si>
  <si>
    <t>Svaz diabetiků ČR, pobočný spolek Vsetín</t>
  </si>
  <si>
    <t>Vsetín, Pod Žamboškou 1579, PSČ 75501</t>
  </si>
  <si>
    <t>Svaz diabetiků ČR, pobočný spolek Zlín</t>
  </si>
  <si>
    <t>Svaz diabetiků ČR, územní organizace Rožnov pod Radhoštěm</t>
  </si>
  <si>
    <t>Rožnov pod Radhoštěm, Valašská 1658, PSČ 75661</t>
  </si>
  <si>
    <t>Svaz diabetiků ČR, územní organizace Uh. Brod</t>
  </si>
  <si>
    <t>Vlčnov 727, PSČ 68761</t>
  </si>
  <si>
    <t>Svaz dobrovolných záchranářů Otrokovice, z.s.</t>
  </si>
  <si>
    <t>Otrokovice, J. Jabůrkové 1427, PSČ 76502</t>
  </si>
  <si>
    <t>Svaz mládeže Lechotice</t>
  </si>
  <si>
    <t>Svaz Moravanů</t>
  </si>
  <si>
    <t>Uherský Ostroh, Ostrožské Předměstí, Veselská 724, PSČ 68724</t>
  </si>
  <si>
    <t>Svaz Motokrosu Boršice, z.s.</t>
  </si>
  <si>
    <t>Boršice č. ev. 116, PSČ 68709</t>
  </si>
  <si>
    <t>Svaz neslyšících a nedoslýchavých osob v ČR, z.s.,  Základní organizace Vsetín, p.s.</t>
  </si>
  <si>
    <t>Vsetín, Smetanova 1484, PSČ 75501</t>
  </si>
  <si>
    <t>Svaz neslyšících a nedoslýchavých osob v ČR, z.s., Základní organizace nedoslýchavých Zlín, p.s.</t>
  </si>
  <si>
    <t>Tečovice 105, PSČ 76302</t>
  </si>
  <si>
    <t>Svaz neslyšících a nedoslýchavých osob v ČR, z.s., Zlínský spolek neslyšících, p.s.</t>
  </si>
  <si>
    <t>Svaz postižených civilizačními chorobami ČR, z.s., Základní organizace Kroměříž</t>
  </si>
  <si>
    <t>Svaz postižených civilizačními chorobami v ČR - základní organizace KARDI Zlín</t>
  </si>
  <si>
    <t>Zlín, Dolní 2221, PSČ 76001</t>
  </si>
  <si>
    <t>Svaz postižených civilizačními chorobami v ČR, o.s. Okresní organizace Kroměříž</t>
  </si>
  <si>
    <t>Svaz postižených civilizačními chorobami v ČR, o.s. základní organizace ROSKA Zlín</t>
  </si>
  <si>
    <t>Zlín, Kudlov, Skalka I 213, PSČ 76001</t>
  </si>
  <si>
    <t>Svaz postižených civilizačními chorobami v ČR, základní organizace Onko Zlín</t>
  </si>
  <si>
    <t>Svaz postižených civilizačními chorobami v ČR, z.s.,  základní organizace RESPI Zlín</t>
  </si>
  <si>
    <t>Zlín, 2. května 4099, PSČ 76001</t>
  </si>
  <si>
    <t>Svaz postižených civilizačními chorobami v ČR, z.s. Krajská organizace Zlín</t>
  </si>
  <si>
    <t>Boršice 698, PSČ 68709</t>
  </si>
  <si>
    <t>Svaz postižených civilizačními chorobami v ČR, z.s. okresní organizace Uherské Hradiště</t>
  </si>
  <si>
    <t>Svaz postižených civilizačními chorobami v ČR, z.s. okresní organizace Vsetín</t>
  </si>
  <si>
    <t>Svaz postižených civilizačními chorobami v ČR, z.s., Okresní organizace Zlín</t>
  </si>
  <si>
    <t>Zlín-Příluky, Zborovská 4163</t>
  </si>
  <si>
    <t>Svaz postižených civilizačními chorobami v ČR, z.s., základní organizace Bílovice</t>
  </si>
  <si>
    <t>Bílovice 80, PSČ 68712</t>
  </si>
  <si>
    <t>Svaz postižených civilizačními chorobami v ČR, z.s. základní organizace Boršice</t>
  </si>
  <si>
    <t>Svaz postižených civilizačními chorobami v ČR, z.s., základní organizace diabetiků Zlín</t>
  </si>
  <si>
    <t>Zlín, Slunečná 4556, PSČ 76005</t>
  </si>
  <si>
    <t>Svaz postižených civilizačními chorobami v ČR, z.s. základní organizace Halenkov</t>
  </si>
  <si>
    <t>Halenkov 701, PSČ 75603</t>
  </si>
  <si>
    <t>Svaz postižených civilizačními chorobami v ČR, z.s. základní organizace Karolinka</t>
  </si>
  <si>
    <t>Karolinka, U školy 549, PSČ 75605</t>
  </si>
  <si>
    <t>Svaz postižených civilizačními chorobami v ČR, z.s., základní organizace Koryčany</t>
  </si>
  <si>
    <t>Koryčany, Lískovec 141, PSČ 76805</t>
  </si>
  <si>
    <t>Svaz postižených civilizačními chorobami v ČR, z.s. základní organizace Medlovice</t>
  </si>
  <si>
    <t>Medlovice 160, PSČ 68741</t>
  </si>
  <si>
    <t>Svaz postižených civilizačními chorobami v ČR, z.s., základní organizace Růžďka</t>
  </si>
  <si>
    <t>Růžďka 75, PSČ 75625</t>
  </si>
  <si>
    <t>Svaz postižených civilizačními chorobami v ČR, z.s. základní organizace Uherský Ostroh</t>
  </si>
  <si>
    <t>Uherský Ostroh, Ostrožské Předměstí, Výhon 307, PSČ 68724</t>
  </si>
  <si>
    <t>Svaz postižených civilizačními chorobami v ČR, z.s. základní organizace Valašské Meziříčí</t>
  </si>
  <si>
    <t>Valašské Meziříčí, Krásno nad Bečvou, Vodní 59/5, PSČ 75701</t>
  </si>
  <si>
    <t>Svaz postižených civilizačními chorobami v ČR, z.s., základní organizace Velehrad</t>
  </si>
  <si>
    <t>Svaz postižených civilizačními chorobami v ČR, z.s. základní organizace VERTEBRO Zlín</t>
  </si>
  <si>
    <t>Zlín, Příluky, Zborovská 4163, PSČ 76001</t>
  </si>
  <si>
    <t>Svaz postižených civilizačními chorobami v ČR, z.s. základní organizace Vlčnov</t>
  </si>
  <si>
    <t>Svaz postižených civilizačními chorobami v ČR, z.s. základní organizace Vsetín</t>
  </si>
  <si>
    <t>Vsetín, Semetín 1704, PSČ 75501</t>
  </si>
  <si>
    <t>Svaz postižených civilizačními chorobami v ČR, z.s.základní organizace Jablůnka</t>
  </si>
  <si>
    <t>Svaz postižených civilizačními chorobami v ČR,z.s. základní organizace Hluk</t>
  </si>
  <si>
    <t>Hluk, Hlavní 63, PSČ 68725</t>
  </si>
  <si>
    <t>Svaz postižených civilizačními chorobami v ČR,z.s.základní organizace Staré Město</t>
  </si>
  <si>
    <t>Staré Město, Komenského 1651, PSČ 68603</t>
  </si>
  <si>
    <t>Svaz psovodů s handicapem, o.s.</t>
  </si>
  <si>
    <t>Svaz sálového fotbalu ČR - Futsal</t>
  </si>
  <si>
    <t>Svaz skautů a skautek České republiky 10. oddíl oldskautů Fryšták, z.s.</t>
  </si>
  <si>
    <t>Svaz skautů a skautek České Republiky, 5. oddíl skautů Fryšták, z.s.</t>
  </si>
  <si>
    <t>Svaz technických sportů a činností SOU zemědělského Kroměříž</t>
  </si>
  <si>
    <t>Svaz technických sportů "Morava" Střílky, z.s.</t>
  </si>
  <si>
    <t>Střílky, Hlavní 12, PSČ 76804</t>
  </si>
  <si>
    <t>Svaz tělesně postižených v České republice, o.s., krajská organizace Zlínského kraje</t>
  </si>
  <si>
    <t>Zlín, Podlesí IV 5348, PSČ 76005</t>
  </si>
  <si>
    <t>Svaz tělesně postižených v České republice, o.s., místní organizace Valašské Klobouky</t>
  </si>
  <si>
    <t>Svaz tělesně postižených v České republice, o.s., místní organizace Valašské Meziříčí</t>
  </si>
  <si>
    <t>Svaz tělesně postižených v České republice, o.s., okresní organizace Kroměříž</t>
  </si>
  <si>
    <t>Svaz tělesně postižených v České republice z. s. místní organizace Chropyně</t>
  </si>
  <si>
    <t>Svaz tělesně postižených v České republice z. s. místní organizace Halenkovice</t>
  </si>
  <si>
    <t>Svaz tělesně postižených v České republice z. s. místní organizace Kunovice</t>
  </si>
  <si>
    <t>Kunovice, Osvobození 1157, PSČ 68604</t>
  </si>
  <si>
    <t>Svaz tělesně postižených v České republice z. s. místní organizace Luhačovice</t>
  </si>
  <si>
    <t>Dolní Lhota 29, PSČ 76323</t>
  </si>
  <si>
    <t>Svaz tělesně postižených v České republice z. s. místní organizace Napajedla</t>
  </si>
  <si>
    <t>Napajedla, Sadová 1554, PSČ 76361</t>
  </si>
  <si>
    <t>Svaz tělesně postižených v České republice z. s. místní organizace Rožnov pod Radhoštěm</t>
  </si>
  <si>
    <t>Svaz tělesně postižených v České republice z. s. místní organizace Staré Město</t>
  </si>
  <si>
    <t>Svaz tělesně postižených v České republice z. s. místní organizace Uherské Hradiště</t>
  </si>
  <si>
    <t>Uherské Hradiště, Tř. Maršála Malinovského 880, PSČ 68601</t>
  </si>
  <si>
    <t>Svaz tělesně postižených v České republice z. s. místní organizace Velehrad</t>
  </si>
  <si>
    <t>Svaz tělesně postižených v České republice z. s. místní organizace Vsetín</t>
  </si>
  <si>
    <t>Svaz tělesně postižených v České republice z. s. místní organizace Zlín</t>
  </si>
  <si>
    <t>Svaz tělesně postižených v České republice z. s. místní organizace 1 Kroměříž</t>
  </si>
  <si>
    <t>Svaz tělesně postižených v České republice z. s. místní organizace 2 Kroměříž</t>
  </si>
  <si>
    <t>Svaz tělesně postižených v České republice z. s. okresní organizace Uherské Hradiště</t>
  </si>
  <si>
    <t>Svaz tělesně postižených v České republice z. s. okresní organizace Vsetín</t>
  </si>
  <si>
    <t>Svaz tělesně postižených v České republice z. s. okresní organizace Zlín</t>
  </si>
  <si>
    <t>Svaz tělesně postižených v ČR Nivnice</t>
  </si>
  <si>
    <t>Nivnice, Komenského 126, PSČ 68751</t>
  </si>
  <si>
    <t>SVAZ TĚŠÁNSKÝCH BOJOVNÍKŮ TĚŠÁNKY- SÁLOVÁ KOPANÁ</t>
  </si>
  <si>
    <t>Zdounky,</t>
  </si>
  <si>
    <t>Svaz valašských soukromých podnikatelů</t>
  </si>
  <si>
    <t>Svaz vodáků České republiky, klub vodáků Akvatechnika Zlín, p.s.</t>
  </si>
  <si>
    <t>Svaz výrobců a distributorů stavebních a nátěrových hmot</t>
  </si>
  <si>
    <t>Zlín, Nad Ovčírnou V 1778/11, PSČ 76001</t>
  </si>
  <si>
    <t>Svaz výrobců, zpracovatelů a montážníků úsporných energetických technologií, o. s.</t>
  </si>
  <si>
    <t>Kroměříž, Kotojedská 2588/91, PSČ 76701</t>
  </si>
  <si>
    <t>Svět bez hladu, z.s.</t>
  </si>
  <si>
    <t>SVĚTLOVÁNEK z.s.</t>
  </si>
  <si>
    <t>Bojkovice, Jiráskova 452, PSČ 68771</t>
  </si>
  <si>
    <t>Světský řád Černí myslivci pobeskydští - SRŘ ČMP</t>
  </si>
  <si>
    <t>Rožnov pod Radhoštěm 1678, PSČ 756 61</t>
  </si>
  <si>
    <t>SVÍTÁNÍ-Mikulůvka</t>
  </si>
  <si>
    <t>Mikulůvka 61, PSČ 75624</t>
  </si>
  <si>
    <t>Svobodní Kroměřížané, z.s.</t>
  </si>
  <si>
    <t>Kroměříž, Žerotínova 2915/3, PSČ 76701</t>
  </si>
  <si>
    <t>SWAP ZLÍN, z.s.</t>
  </si>
  <si>
    <t>Zlín, Malenovice, Tyršova 726, PSČ 76302</t>
  </si>
  <si>
    <t>Swedenborská společnost</t>
  </si>
  <si>
    <t>Karolinka, Rybízovna 51, PSČ 75605</t>
  </si>
  <si>
    <t>Swim Masters Zlín z. s.</t>
  </si>
  <si>
    <t>Zlín, Lazy IV 3875, PSČ 76001</t>
  </si>
  <si>
    <t>Swing Band Zubří Jindřicha Dořičáka, z.s.</t>
  </si>
  <si>
    <t>Zubří, U Bečvy 685, PSČ 75654</t>
  </si>
  <si>
    <t>Swing Dance z.s.</t>
  </si>
  <si>
    <t>Valašské Meziříčí, Kálalova 993, PSČ 75701</t>
  </si>
  <si>
    <t>Syndikát novinářů Zlínského kraje</t>
  </si>
  <si>
    <t>Šachová škola Rošáda, z. s.</t>
  </si>
  <si>
    <t>Kostelany nad Moravou 327, PSČ 68601</t>
  </si>
  <si>
    <t>Šachový klub Bystřice pod Hostýnem, z. s.</t>
  </si>
  <si>
    <t>Bystřice pod Hostýnem, Čs. brigády 147, PSČ 76861</t>
  </si>
  <si>
    <t>Šachový Klub Rajnochovice z.s.</t>
  </si>
  <si>
    <t>Šachový klub Staré Město, z.s.</t>
  </si>
  <si>
    <t>Šachový klub Valašské Klobouky z.s.</t>
  </si>
  <si>
    <t>Valašské Klobouky, Sušilova 401, PSČ 76601</t>
  </si>
  <si>
    <t>Šachový klub Vsetín, z. s.</t>
  </si>
  <si>
    <t>Vsetín, Na Výšině 406, PSČ 75501</t>
  </si>
  <si>
    <t>Šachový klub Zlín-Malenovice, z.s.</t>
  </si>
  <si>
    <t>Zlín, Malenovice, Lidická 363, PSČ 76302</t>
  </si>
  <si>
    <t>Šachový oddíl Kunovice, z.s.</t>
  </si>
  <si>
    <t>Kunovice, Za Stodolami 1490, PSČ 68604</t>
  </si>
  <si>
    <t>Šachový oddíl Mařatice, z. s.</t>
  </si>
  <si>
    <t>Uherské Hradiště, Sady, Jabloňová 437, PSČ 68605</t>
  </si>
  <si>
    <t>Šachový oddíl TJ Karolinka, z.s.</t>
  </si>
  <si>
    <t>Karolinka, U Sokolovny 81, PSČ 75605</t>
  </si>
  <si>
    <t>Šachový svaz Zlínského kraje</t>
  </si>
  <si>
    <t>Šachy Hošťálková z.s.</t>
  </si>
  <si>
    <t>ŠANCE PRO NAŠE DĚTI z.s.</t>
  </si>
  <si>
    <t>Šance pro pohyb, nadační fond</t>
  </si>
  <si>
    <t>Zlechov 64, PSČ 68710</t>
  </si>
  <si>
    <t>Šance pro život, z. s.</t>
  </si>
  <si>
    <t>Otrokovice, tř. Tomáše Bati 1290, PSČ 76502</t>
  </si>
  <si>
    <t>Šance UB, z. s.</t>
  </si>
  <si>
    <t>ŠAROVEC, z.s.</t>
  </si>
  <si>
    <t>Hluk, Vyšehradská 907, PSČ 68725</t>
  </si>
  <si>
    <t>Šarovská chasa, spolek</t>
  </si>
  <si>
    <t>Šarovy 100, PSČ 76351</t>
  </si>
  <si>
    <t>Šarovské hejtmanství</t>
  </si>
  <si>
    <t>Šarovy 41, PSČ 76351</t>
  </si>
  <si>
    <t>Šeltička z.s.</t>
  </si>
  <si>
    <t>Šerm Slovácká Slavia Uherské Hradiště, z.s.</t>
  </si>
  <si>
    <t>Šermířský klub Uherský Brod</t>
  </si>
  <si>
    <t>Šermířský klub Zlín, z.s.</t>
  </si>
  <si>
    <t>Šipkařský klub Otrokovice z.s.</t>
  </si>
  <si>
    <t>Otrokovice, tř. Tomáše Bati 274, PSČ 76502</t>
  </si>
  <si>
    <t>Šipkařský klub Šípy Velké Karlovice, z.s.</t>
  </si>
  <si>
    <t>Velké Karlovice č. ev. 168, PSČ 75606</t>
  </si>
  <si>
    <t>Šipkařský spolek Karlovjani, z.s.</t>
  </si>
  <si>
    <t>Velké Karlovice 175, PSČ 75606</t>
  </si>
  <si>
    <t>Šipkový klub Skaštice</t>
  </si>
  <si>
    <t>Skaštice 124, p. Kroměříž</t>
  </si>
  <si>
    <t>ŠK Holešov z. s.</t>
  </si>
  <si>
    <t>Prusinovice, Holešovská 282, PSČ 76842</t>
  </si>
  <si>
    <t>ŠK LION ZDOUNKY</t>
  </si>
  <si>
    <t>Zdounky, Zákostelí 185, PSČ 76802</t>
  </si>
  <si>
    <t>ŠK Prusinovice z.s.</t>
  </si>
  <si>
    <t>ŠK Sulimov, z.s.</t>
  </si>
  <si>
    <t>Sulimov 39, PSČ 76821</t>
  </si>
  <si>
    <t>ŠK Zlín, z.s.</t>
  </si>
  <si>
    <t>ŠK-MALIBU SYNOT</t>
  </si>
  <si>
    <t>Uherské Hradiště, Na Rybníku 972, PSČ 68601</t>
  </si>
  <si>
    <t>Škola z praxe, z. s.</t>
  </si>
  <si>
    <t>Škola zdraví Zlín, z. s.</t>
  </si>
  <si>
    <t>Zlín, Příkrá 6920, PSČ 76001</t>
  </si>
  <si>
    <t>Školka neškolka z. s.</t>
  </si>
  <si>
    <t>Valašské Meziříčí, Ve Stráni 1623, PSČ 75701</t>
  </si>
  <si>
    <t>Školní sportovní klub AŠSK při Tauferova SOŠ veterinární Kroměříž, pobočný spolek</t>
  </si>
  <si>
    <t>Školní sportovní klub AŠSK při Základní škole a Mateřské škole Želechovice nad Dřevnicí, pobočný spolek</t>
  </si>
  <si>
    <t>Školní sportovní klub AŠSK při ZŠ Brumov - Bylnice, pobočný spolek</t>
  </si>
  <si>
    <t>Školní sportovní klub AŠSK při ZŠ Mánesova Otrokovice, p.o., pobočný spolek</t>
  </si>
  <si>
    <t>Školní sportovní klub AŠSK při ZŠ Videčská Rožnov pod Radhoštěm, pobočný spolek</t>
  </si>
  <si>
    <t>Školní sportovní klub AŠSK při ZŠ Vsetín, Luh, pobočný spolek</t>
  </si>
  <si>
    <t>Školní sportovní klub AŠSK při ZŠ Vsetín, pobočný spolek</t>
  </si>
  <si>
    <t>Školní sportovní klub AŠSK při ZŠ Výsluní Uh. Brod, pobočný spolek</t>
  </si>
  <si>
    <t>Školní sportovní klub při Základní škole, J. Žižky 1355, 765 35 Otrokovice</t>
  </si>
  <si>
    <t>Školní sportovní klub při Základní škole Žerotínova, Valašské Meziříčí</t>
  </si>
  <si>
    <t>Valašské Meziříčí, Žerotínova 376, PSČ 75701</t>
  </si>
  <si>
    <t>Školní sportovní klub při ZŠ Valašské Klobouky</t>
  </si>
  <si>
    <t>Školní sportovní klub při 3. Zákl.škole Zlín</t>
  </si>
  <si>
    <t>Šmoulí město Zlín z.s.</t>
  </si>
  <si>
    <t>Zlín, Šedesátá 7046, PSČ 76001</t>
  </si>
  <si>
    <t>ŠORSTÝN o. s.</t>
  </si>
  <si>
    <t>Horní Bečva 363, PSČ 75657</t>
  </si>
  <si>
    <t>Štrajchkapela z Kněžpola, z.s.</t>
  </si>
  <si>
    <t>ŠTROF TEAM</t>
  </si>
  <si>
    <t>Kroměříž, Vodní 52/3, PSČ 76701</t>
  </si>
  <si>
    <t>Šumárník, o.p.s.</t>
  </si>
  <si>
    <t>Strání, U hlavní 526, PSČ 68765</t>
  </si>
  <si>
    <t>Činnosti související s úpravou krajiny</t>
  </si>
  <si>
    <t>Švabinského kruh přátel výtvarného umění, z.s.</t>
  </si>
  <si>
    <t>Činnosti knihoven, archivů, muzeí a jiných kulturních zařízení</t>
  </si>
  <si>
    <t>Švrček, z.s.</t>
  </si>
  <si>
    <t>Zlín, Příluky, Ronzovy Paseky 195, PSČ 76001</t>
  </si>
  <si>
    <t>Tabačka racing team, z.s.</t>
  </si>
  <si>
    <t>TÁBOR HOŠŤÁLKOVÁ, Z.S.</t>
  </si>
  <si>
    <t>TáborAG z.s.</t>
  </si>
  <si>
    <t>Táborníci Ranče Všemina, z.s.</t>
  </si>
  <si>
    <t>Všemina č. ev. 25, PSČ 76315</t>
  </si>
  <si>
    <t>Tábornický klub TULÁCI-Zlín, z.s.</t>
  </si>
  <si>
    <t>Zlín, Malenovice, Chelčického 714, PSČ 76302</t>
  </si>
  <si>
    <t>TÁBORY FANTAZIE, z. s.</t>
  </si>
  <si>
    <t>Napajedla, Nábřeží 1340, PSČ 76361</t>
  </si>
  <si>
    <t>Tadeáš Krása a Nela Kapušňáková - taneční pár, z.s.</t>
  </si>
  <si>
    <t>Zlín, Podvesná VII 2046, PSČ 76001</t>
  </si>
  <si>
    <t>Tady v Rožnově, z. s.</t>
  </si>
  <si>
    <t>Vidče 91, PSČ 75653</t>
  </si>
  <si>
    <t>taekwondo school Zlín, z.s.</t>
  </si>
  <si>
    <t>Zlín, Nivy I 2703, PSČ 76001</t>
  </si>
  <si>
    <t>Tail Story z.s.</t>
  </si>
  <si>
    <t>Boršice 593, PSČ 68709</t>
  </si>
  <si>
    <t>TAKODA, z. s.</t>
  </si>
  <si>
    <t>Kateřinice 342, PSČ 75621</t>
  </si>
  <si>
    <t>TALENTCENTRUM /CENTRUM PRO TALENTOVANÉ DĚTI A MLÁDEŽ/ z.s.</t>
  </si>
  <si>
    <t>Zlín, Louky, Pod Šternberkem 306, PSČ 76302</t>
  </si>
  <si>
    <t>Tanečně - gymnastický klub Zlín, z.s.</t>
  </si>
  <si>
    <t>Taneční centrum LAYLA, z.s.</t>
  </si>
  <si>
    <t>Kunovice, Úvoz 1554, PSČ 68604</t>
  </si>
  <si>
    <t>Taneční centrum Orianadance, Zlín z. s.</t>
  </si>
  <si>
    <t>Taneční centrum ValMez z. s.</t>
  </si>
  <si>
    <t>Taneční klub FORTUNA Zlín z.s.</t>
  </si>
  <si>
    <t>Zlín, Filmová 412, PSČ 76001</t>
  </si>
  <si>
    <t>Taneční klub Gradace Kroměříž, z.s.</t>
  </si>
  <si>
    <t>Kroměříž, Višňová 4212/2, PSČ 76701</t>
  </si>
  <si>
    <t>Taneční klub Henzély-SWING, z.s.</t>
  </si>
  <si>
    <t>Kroměříž, Oskol 275/6, PSČ 76701</t>
  </si>
  <si>
    <t>Taneční klub Rokaso Uherské Hradiště, z.s.</t>
  </si>
  <si>
    <t>Uherské Hradiště, Jarošov, Pivovarská 488, PSČ 68601</t>
  </si>
  <si>
    <t>Taneční klub Tweet, z.s.</t>
  </si>
  <si>
    <t>Jezuitská 410, 686 03 Staré Město</t>
  </si>
  <si>
    <t>Taneční skupina B-different, z. s.</t>
  </si>
  <si>
    <t>Valašské Meziříčí, Zdeňka Fibicha 1207, PSČ 75701</t>
  </si>
  <si>
    <t>Taneční skupina Dancing People o.s.</t>
  </si>
  <si>
    <t>Zlín, Obeciny VI 3600, PSČ 76001</t>
  </si>
  <si>
    <t>Taneční skupina Trick, z.s.</t>
  </si>
  <si>
    <t>Hulín, Sadová 976, PSČ 76824</t>
  </si>
  <si>
    <t>Taneční soubor Botík, z.s.</t>
  </si>
  <si>
    <t>Taneční soubor Hradišťan, z.s.</t>
  </si>
  <si>
    <t>Jalubí 324, PSČ 68705</t>
  </si>
  <si>
    <t>Taneční soubor KONTRASTY Hulín</t>
  </si>
  <si>
    <t>Taneční soubor Popovjánek z.s.</t>
  </si>
  <si>
    <t>Taneční soubor STARS, z.s.  Bystřice pod Hostýnem</t>
  </si>
  <si>
    <t>Taneční studio Effect Proof</t>
  </si>
  <si>
    <t>Zlín, třída Tomáše Bati 2098, PSČ 76001</t>
  </si>
  <si>
    <t>Taneční studio HENZÉLY z.s.</t>
  </si>
  <si>
    <t>Taneční Studio JL z. s.</t>
  </si>
  <si>
    <t>Holešov, Malá 28/18, PSČ 76901</t>
  </si>
  <si>
    <t>Taneční studio LINIE z. s.</t>
  </si>
  <si>
    <t>TANEČNÍ STUDIO YALLA, z.s.</t>
  </si>
  <si>
    <t>Taneční studio Zlín</t>
  </si>
  <si>
    <t>Taneční škola Aura, o.s.</t>
  </si>
  <si>
    <t>Buchlovice, Komenského 290, PSČ 68708</t>
  </si>
  <si>
    <t>Umělecké vzdělávání</t>
  </si>
  <si>
    <t>Tangsoodo Czech Republic</t>
  </si>
  <si>
    <t>Žeranovice 206, PSČ 76901</t>
  </si>
  <si>
    <t>Taurus Zlín, z.s.</t>
  </si>
  <si>
    <t>Zlín, Vavrečkova 5673, PSČ 76001</t>
  </si>
  <si>
    <t>T-BOZ Vsetín</t>
  </si>
  <si>
    <t>Kulturní zařízení Sychrov, Vsetín</t>
  </si>
  <si>
    <t>TC BAJDA Kroměříž, z.s.</t>
  </si>
  <si>
    <t>Kroměříž, Na Sladovnách 4255/2, PSČ 76701</t>
  </si>
  <si>
    <t>TC Holešov, z.s.</t>
  </si>
  <si>
    <t>Holešov, Střelnice 1410/53, PSČ 76901</t>
  </si>
  <si>
    <t>TCV Strání z.s.</t>
  </si>
  <si>
    <t>Strání, Květná, Lůčky 1080, PSČ 68766</t>
  </si>
  <si>
    <t>Team Meliora z. s.</t>
  </si>
  <si>
    <t>Zlín, Prštné, Nad Humny 64, PSČ 76001</t>
  </si>
  <si>
    <t>Team VTK z.s.</t>
  </si>
  <si>
    <t>Pitín 263, PSČ 68771</t>
  </si>
  <si>
    <t>Technická akademie, o.p.s.</t>
  </si>
  <si>
    <t>Technické sporty Březolupy z.s.</t>
  </si>
  <si>
    <t>Technické sporty Nivnice</t>
  </si>
  <si>
    <t>Nivnice, Hliníky 939</t>
  </si>
  <si>
    <t>Technicko informační centra</t>
  </si>
  <si>
    <t>Technikou pro rozvoj regionu, z.s.</t>
  </si>
  <si>
    <t>Morkovice-Slížany, Morkovice, Jabloňová 820, PSČ 76833</t>
  </si>
  <si>
    <t>Tečovské folklorní sdružení z.s.</t>
  </si>
  <si>
    <t>Tečovice 55, PSČ 76302</t>
  </si>
  <si>
    <t>TEFO Bílany, z.s.</t>
  </si>
  <si>
    <t>TEFOSPORT</t>
  </si>
  <si>
    <t>Uherské Hradiště, Mařatice, Stará Cihelna 1402, PSČ 68605</t>
  </si>
  <si>
    <t>Telegraf Uherské Hradiště</t>
  </si>
  <si>
    <t>Uherské Hradiště, Průmyslová 964, PSČ 68601</t>
  </si>
  <si>
    <t>Tělocvičná jednota Sokol Babice</t>
  </si>
  <si>
    <t>Tělocvičná jednota Sokol Bánov</t>
  </si>
  <si>
    <t>Tělocvičná jednota Sokol Bojkovice</t>
  </si>
  <si>
    <t>Bojkovice, Mánesova 278, PSČ 68771</t>
  </si>
  <si>
    <t>Tělocvičná jednota Sokol Březnice</t>
  </si>
  <si>
    <t>Březnice 225, PSČ 76001</t>
  </si>
  <si>
    <t>Tělocvičná jednota Sokol Bystřice pod Hostýnem</t>
  </si>
  <si>
    <t>Bystřice pod Hostýnem, Sokolská 207, PSČ 76861</t>
  </si>
  <si>
    <t>Tělocvičná jednota Sokol Holešov</t>
  </si>
  <si>
    <t>Holešov, Plačkov 547/2, PSČ 76901</t>
  </si>
  <si>
    <t>Tělocvičná jednota Sokol Hošťálková</t>
  </si>
  <si>
    <t>Hošťálková 441, PSČ 75622</t>
  </si>
  <si>
    <t>Tělocvičná jednota Sokol Jablůnka - Pržno</t>
  </si>
  <si>
    <t>Jablůnka 187, PSČ 75623</t>
  </si>
  <si>
    <t>Tělocvičná jednota Sokol Jasenná</t>
  </si>
  <si>
    <t>Jasenná, 171</t>
  </si>
  <si>
    <t>Tělocvičná jednota Sokol Jižní Svahy Zlín - 5</t>
  </si>
  <si>
    <t>Zlín, Družstevní 5398, PSČ 76001</t>
  </si>
  <si>
    <t>Tělocvičná jednota Sokol Karolinka</t>
  </si>
  <si>
    <t>Tělocvičná jednota Sokol Kostelany</t>
  </si>
  <si>
    <t>Kostelany 119, PSČ 76701</t>
  </si>
  <si>
    <t>Tělocvičná jednota Sokol Kostelec</t>
  </si>
  <si>
    <t>Zlín, Kostelec, Za Humny 339, PSČ 76314</t>
  </si>
  <si>
    <t>Tělocvičná jednota Sokol Kostelec u Holešova</t>
  </si>
  <si>
    <t>Kostelec u Holešova 93, PSČ 76843</t>
  </si>
  <si>
    <t>Tělocvičná jednota Sokol Kroměříž</t>
  </si>
  <si>
    <t>Tělocvičná jednota Sokol Kunovice</t>
  </si>
  <si>
    <t>Kunovice, Panská 1612, PSČ 68604</t>
  </si>
  <si>
    <t>Tělocvičná jednota Sokol Kvasice</t>
  </si>
  <si>
    <t>Kvasice, A. Dohnala 14, PSČ 76821</t>
  </si>
  <si>
    <t>Tělocvičná jednota Sokol Litenčice</t>
  </si>
  <si>
    <t>Litenčice 98, PSČ 76813</t>
  </si>
  <si>
    <t>Tělocvičná jednota Sokol Luhačovice</t>
  </si>
  <si>
    <t>Luhačovice, Masarykova 228, PSČ 76326</t>
  </si>
  <si>
    <t>Tělocvičná jednota Sokol Lukov</t>
  </si>
  <si>
    <t>Tělocvičná jednota Sokol Malenovice</t>
  </si>
  <si>
    <t>Zlín, Malenovice, Tyršova 230, PSČ 76302</t>
  </si>
  <si>
    <t>Tělocvičná jednota Sokol Martinice</t>
  </si>
  <si>
    <t>Martinice 321, PSČ 76901</t>
  </si>
  <si>
    <t>Tělocvičná jednota Sokol Mařatice</t>
  </si>
  <si>
    <t>Uherské Hradiště, Mařatice, Sokolovská 351, PSČ 68601</t>
  </si>
  <si>
    <t>Tělocvičná jednota Sokol Morkovice</t>
  </si>
  <si>
    <t>Morkovice-Slížany, Morkovice, Sokolská 410, PSČ 76833</t>
  </si>
  <si>
    <t>Tělocvičná jednota Sokol Napajedla</t>
  </si>
  <si>
    <t>Napajedla, Na Kapli 673, PSČ 76361</t>
  </si>
  <si>
    <t>Tělocvičná jednota Sokol Nítkovice</t>
  </si>
  <si>
    <t>Nítkovice 128, PSČ 76813</t>
  </si>
  <si>
    <t>Tělocvičná jednota Sokol Otrokovice</t>
  </si>
  <si>
    <t>Tělocvičná jednota Sokol Podolí</t>
  </si>
  <si>
    <t>Podolí 251, PSČ 68604</t>
  </si>
  <si>
    <t>Tělocvičná jednota Sokol Pornice</t>
  </si>
  <si>
    <t>Pačlavice, Pornice 141, PSČ 76833</t>
  </si>
  <si>
    <t>Tělocvičná jednota Sokol Postoupky</t>
  </si>
  <si>
    <t>Kroměříž, Postoupky 67, PSČ 76701</t>
  </si>
  <si>
    <t>Tělocvičná jednota Sokol Přílepy</t>
  </si>
  <si>
    <t>Přílepy 117, PSČ 76901</t>
  </si>
  <si>
    <t>Tělocvičná jednota Sokol Rožnov pod Radhoštěm</t>
  </si>
  <si>
    <t>Rožnov pod Radhoštěm, Slezská 1129, PSČ 75661</t>
  </si>
  <si>
    <t>Tělocvičná jednota Sokol Staré Město</t>
  </si>
  <si>
    <t>Tělocvičná jednota Sokol Štípa</t>
  </si>
  <si>
    <t>Zlín, Štípa, Mariánské náměstí 197, PSČ 76314</t>
  </si>
  <si>
    <t>Tělocvičná jednota Sokol Tlumačov</t>
  </si>
  <si>
    <t>Tělocvičná jednota Sokol Třebětice</t>
  </si>
  <si>
    <t>Třebětice 60, PSČ 76901</t>
  </si>
  <si>
    <t>Tělocvičná jednota Sokol Uherské Hradiště</t>
  </si>
  <si>
    <t>Uherské Hradiště, Tyršovo náměstí 113, PSČ 68601</t>
  </si>
  <si>
    <t>Tělocvičná jednota Sokol Uherský Brod</t>
  </si>
  <si>
    <t>Uherský Brod, Svat. Čecha 1137, PSČ 68801</t>
  </si>
  <si>
    <t>Tělocvičná jednota Sokol Valašské Klobouky</t>
  </si>
  <si>
    <t>Valašské Klobouky, Dobrovského 40, PSČ 76601</t>
  </si>
  <si>
    <t>Tělocvičná jednota Sokol Valašské Meziříčí</t>
  </si>
  <si>
    <t>Tělocvičná jednota Sokol Věžky</t>
  </si>
  <si>
    <t>Tělocvičná jednota Sokol Vlčnov</t>
  </si>
  <si>
    <t>Vlčnov 170, PSČ 68761</t>
  </si>
  <si>
    <t>Tělocvičná jednota Sokol Vsetín</t>
  </si>
  <si>
    <t>Tělocvičná jednota Sokol Všetuly</t>
  </si>
  <si>
    <t>Tělocvičná jednota Sokol Zádveřice</t>
  </si>
  <si>
    <t>Zádveřice-Raková, Zádveřice 340, PSČ 76312</t>
  </si>
  <si>
    <t>Tělocvičná jednota Sokol Zlín</t>
  </si>
  <si>
    <t>Zlín, Sokolská 663, PSČ 76001</t>
  </si>
  <si>
    <t>Tělocvičná jednota Sokol Zlín - Prštné</t>
  </si>
  <si>
    <t>Zlín, Prštné, U Sokolovny 100, PSČ 76001</t>
  </si>
  <si>
    <t>Tělocvičná jednota Sokol Žalkovice</t>
  </si>
  <si>
    <t>Žalkovice 122, PSČ 76823</t>
  </si>
  <si>
    <t>Tělocvičná jednota Sokol Želechovice</t>
  </si>
  <si>
    <t>Želechovice nad Dřevnicí, 4. května 48, PSČ 76311</t>
  </si>
  <si>
    <t>Tělovýchovná jednota Bílovice z.s.</t>
  </si>
  <si>
    <t>Bílovice 4, PSČ 68712</t>
  </si>
  <si>
    <t>Tělovýchovná jednota Bojkovice z.s.</t>
  </si>
  <si>
    <t>Tělovýchovná jednota Buchlovice z.s.</t>
  </si>
  <si>
    <t>Buchlovice, Sportovní 574, PSČ 68708</t>
  </si>
  <si>
    <t>Tělovýchovná jednota Chvalčov, z.s.</t>
  </si>
  <si>
    <t>Tělovýchovná jednota Dolní Lhota, z.s.</t>
  </si>
  <si>
    <t>Tělovýchovná jednota Drslavice, z. s.</t>
  </si>
  <si>
    <t>Tělovýchovná jednota Družstevník Popovice z.s.</t>
  </si>
  <si>
    <t>Popovice 403, PSČ 68604</t>
  </si>
  <si>
    <t>Tělovýchovná jednota Gumárny Zubří, z.s.</t>
  </si>
  <si>
    <t>Zubří, Sídlištní 1750, PSČ 75654</t>
  </si>
  <si>
    <t>Tělovýchovná jednota Halenkovice, z.s.</t>
  </si>
  <si>
    <t>Halenkovice 622, PSČ 76363</t>
  </si>
  <si>
    <t>Tělovýchovná jednota Holešov, z.s.</t>
  </si>
  <si>
    <t>Tělovýchovná jednota Horní Lideč z.s.</t>
  </si>
  <si>
    <t>Tělovýchovná jednota Jasenice, z.s.</t>
  </si>
  <si>
    <t>Lešná, Jasenice 96, PSČ 75641</t>
  </si>
  <si>
    <t>Tělovýchovná jednota Jižní svahy Zlín, spolek</t>
  </si>
  <si>
    <t>Zlín, Česká 4759, PSČ 76005</t>
  </si>
  <si>
    <t>Tělovýchovná jednota Kelč, z.s.</t>
  </si>
  <si>
    <t>Kelč 592, PSČ 75643</t>
  </si>
  <si>
    <t>Tělovýchovná Jednota Kladeruby, z.s.</t>
  </si>
  <si>
    <t>Tělovýchovná jednota Korytná, z.s.</t>
  </si>
  <si>
    <t>Korytná 418, PSČ 68752</t>
  </si>
  <si>
    <t>Tělovýchovná jednota Ludkovice, spolek</t>
  </si>
  <si>
    <t>Tělovýchovná jednota Lutopecny-Měrůtky, z.s.</t>
  </si>
  <si>
    <t>Tělovýchovná jednota Malenovice, z.s.</t>
  </si>
  <si>
    <t>Zlín, Malenovice, Tyršova 1295, PSČ 76302</t>
  </si>
  <si>
    <t>Tělovýchovná jednota MEZ Vsetín, spolek</t>
  </si>
  <si>
    <t>TĚLOVÝCHOVNÁ JEDNOTA NIVNICE z.s.</t>
  </si>
  <si>
    <t>Nivnice, Podohradí 888, PSČ 68751</t>
  </si>
  <si>
    <t>Činnosti v oblasti nemovitostí na základě smlouvy nebo dohody</t>
  </si>
  <si>
    <t>Tělovýchovná jednota Osíčko, z. s.</t>
  </si>
  <si>
    <t>Osíčko 121, PSČ 76861</t>
  </si>
  <si>
    <t>Tělovýchovná jednota Pitín z.s.</t>
  </si>
  <si>
    <t>Pitín 361, PSČ 68771</t>
  </si>
  <si>
    <t>Tělovýchovná jednota Podolí,z.s.</t>
  </si>
  <si>
    <t>Podolí 54, PSČ 68604</t>
  </si>
  <si>
    <t>Tělovýchovná jednota Polešovice, z.s.</t>
  </si>
  <si>
    <t>Polešovice 252, PSČ 68737</t>
  </si>
  <si>
    <t>Tělovýchovná jednota Police - spolek</t>
  </si>
  <si>
    <t>Police 207, PSČ 75644</t>
  </si>
  <si>
    <t>Tělovýchovná jednota Přečkovice z. s.</t>
  </si>
  <si>
    <t>Bojkovice, Přečkovice 105, PSČ 68771</t>
  </si>
  <si>
    <t>Tělovýchovná jednota rekreační sporty Těšnovice</t>
  </si>
  <si>
    <t>Kroměříž, Těšnovice 115, PSČ 76701</t>
  </si>
  <si>
    <t>Tělovýchovná jednota Skaštice, z.s.</t>
  </si>
  <si>
    <t>Skaštice 157, PSČ 76701</t>
  </si>
  <si>
    <t>Tělovýchovná jednota Slavoj Jarošov z.s.</t>
  </si>
  <si>
    <t>Uherské Hradiště, Jarošov, Pivovarská 102, PSČ 68601</t>
  </si>
  <si>
    <t>Tělovýchovná jednota Sokol Branky, z.s.</t>
  </si>
  <si>
    <t>Branky 181, PSČ 75645</t>
  </si>
  <si>
    <t>Tělovýchovná jednota Sokol Bystřička, z.s.</t>
  </si>
  <si>
    <t>Tělovýchovná jednota Sokol Choryně, z. s.</t>
  </si>
  <si>
    <t>Choryně 259, PSČ 75642</t>
  </si>
  <si>
    <t>Tělovýchovná jednota Sokol Francova Lhota, z.s.</t>
  </si>
  <si>
    <t>Francova Lhota 375, PSČ 75614</t>
  </si>
  <si>
    <t>Tělovýchovná jednota Sokol Hošťálková, z. s.</t>
  </si>
  <si>
    <t>Hošťálková 531, PSČ 75622</t>
  </si>
  <si>
    <t>Tělovýchovná jednota SOKOL Huštěnovice, z.s.</t>
  </si>
  <si>
    <t>Huštěnovice 53, PSČ 68703</t>
  </si>
  <si>
    <t>Tělovýchovná jednota Sokol Kněhyně z.s.</t>
  </si>
  <si>
    <t>Prostřední Bečva 414, PSČ 75656</t>
  </si>
  <si>
    <t>Tělovýchovná jednota SOKOL Kněžpole</t>
  </si>
  <si>
    <t>Kněžpole 103, PSČ 68712</t>
  </si>
  <si>
    <t>Tělovýchovná jednota Sokol Komárov, z.s.</t>
  </si>
  <si>
    <t>Tělovýchovná jednota Sokol Kostelany nad Moravou z.s.</t>
  </si>
  <si>
    <t>Kostelany nad Moravou 350, PSČ 68601</t>
  </si>
  <si>
    <t>Tělovýchovná Jednota Sokol Lačnov, z.s.</t>
  </si>
  <si>
    <t>Tělovýchovná jednota Sokol Ořechov, z. s.</t>
  </si>
  <si>
    <t>Ořechov č. ev. 3, PSČ 68737</t>
  </si>
  <si>
    <t>Tělovýchovná jednota Sokol Rymice, z. s.</t>
  </si>
  <si>
    <t>Tělovýchovná jednota SOKOL Střelná, z.s.</t>
  </si>
  <si>
    <t>Střelná 223, PSČ 75612</t>
  </si>
  <si>
    <t>Tělovýchovná jednota Sokol Študlov, z.s.</t>
  </si>
  <si>
    <t>Tělovýchovná jednota Sokol Tečovice, z.s.</t>
  </si>
  <si>
    <t>Tečovice 302, PSČ 76302</t>
  </si>
  <si>
    <t>Tělovýchovná jednota Sokol Ústí, z.s.</t>
  </si>
  <si>
    <t>Ústí 76, PSČ 75501</t>
  </si>
  <si>
    <t>Tělovýchovná jednota Sokol Valašská Bystřice, spolek</t>
  </si>
  <si>
    <t>Valašská Bystřice 614, PSČ 75627</t>
  </si>
  <si>
    <t>Tělovýchovná jednota Tatran Velké Karlovice, z.s.</t>
  </si>
  <si>
    <t>Velké Karlovice 672, PSČ 75606</t>
  </si>
  <si>
    <t>Tělovýchovná jednota Těšnovice, z.s.</t>
  </si>
  <si>
    <t>Kroměříž, Těšnovice 191, PSČ 76701</t>
  </si>
  <si>
    <t>Tělovýchovná jednota Topolná, z. s.</t>
  </si>
  <si>
    <t>Tělovýchovná jednota Valašské Meziříčí, spolek</t>
  </si>
  <si>
    <t>Valašské Meziříčí, Žerotínova 736, PSČ 75701</t>
  </si>
  <si>
    <t>Tělovýchovná jednota Velká Lhota, z. s.</t>
  </si>
  <si>
    <t>Velká Lhota 122, PSČ 75701</t>
  </si>
  <si>
    <t>Tělovýchovná jednota Veselá, z.s.</t>
  </si>
  <si>
    <t>Zašová, Veselá 117, PSČ 75651</t>
  </si>
  <si>
    <t>TĚLOVÝCHOVNÁ JEDNOTA VIDČE, z.s.</t>
  </si>
  <si>
    <t>Vidče 432, PSČ 75653</t>
  </si>
  <si>
    <t>Tělovýchovná jednota Vlčnov z.s.</t>
  </si>
  <si>
    <t>Vlčnov 1250, PSČ 68761</t>
  </si>
  <si>
    <t>Tělovýchovná jednota voltiž Tlumačov, z. s.</t>
  </si>
  <si>
    <t>Tlumačov, Machovská 356, PSČ 76362</t>
  </si>
  <si>
    <t>Tělovýchovná jednota Zdounky, z.s.</t>
  </si>
  <si>
    <t>Zdounky, Cvrčovská 435, PSČ 76802</t>
  </si>
  <si>
    <t>Tělovýchovná jednota Zlámanec z.s.</t>
  </si>
  <si>
    <t>Tělovýchovný spolek Komňa</t>
  </si>
  <si>
    <t>Komňa 200, PSČ 68771</t>
  </si>
  <si>
    <t>Tenis club Valašsko z. s.</t>
  </si>
  <si>
    <t>Tenis klub Všemina, o.s.</t>
  </si>
  <si>
    <t>TENIS KLUB ZÁTOPEK RATIBOŘ 52</t>
  </si>
  <si>
    <t>Ratiboř 52, PSČ 75621</t>
  </si>
  <si>
    <t>Tenis Rožnov pod Radhoštěm</t>
  </si>
  <si>
    <t>Rožnov pod Radhoštěm, Hradišťko 1613, PSČ 75661</t>
  </si>
  <si>
    <t>TENIS SLOVÁCKO, z.s.</t>
  </si>
  <si>
    <t>Tenis Trávníky Otrokovice, spolek</t>
  </si>
  <si>
    <t>Otrokovice, Kvítkovice, Nivy 1504, PSČ 76502</t>
  </si>
  <si>
    <t>Tenisklub Hošťálková</t>
  </si>
  <si>
    <t>Hošťálková 354, PSČ 75622</t>
  </si>
  <si>
    <t>Tenisový klub Bystřice pod Hostýnem, z.s.</t>
  </si>
  <si>
    <t>Bystřice pod Hostýnem, Sportovní 258, PSČ 76861</t>
  </si>
  <si>
    <t>Tenisový klub DEZA Valašské Meziříčí, z.s.</t>
  </si>
  <si>
    <t>Valašské Meziříčí, Kouty 1581, PSČ 75701</t>
  </si>
  <si>
    <t>Tenisový klub Hluk</t>
  </si>
  <si>
    <t>Hluk - Zelnice 294, PSČ 763 64</t>
  </si>
  <si>
    <t>„Tenisový klub Horní konec Zašová”</t>
  </si>
  <si>
    <t>Zašová 657, PSČ 75651</t>
  </si>
  <si>
    <t>Tenisový klub "Javorník" Štítná nad Vláří</t>
  </si>
  <si>
    <t>Štítná nad Vláří-Popov, Štítná nad Vláří 414, PSČ 76333</t>
  </si>
  <si>
    <t>Tenisový klub Karolinka z.s.</t>
  </si>
  <si>
    <t>Karolinka, Sklářská 63, PSČ 75605</t>
  </si>
  <si>
    <t>Tenisový klub Kněžpole, z.s.</t>
  </si>
  <si>
    <t>Tenisový klub Kunovice z.s.</t>
  </si>
  <si>
    <t>Kunovice, V Hliníku 484, PSČ 68604</t>
  </si>
  <si>
    <t>TENISOVÝ KLUB NAPAJEDLA z.s.</t>
  </si>
  <si>
    <t>Napajedla, 1. máje 1091, PSČ 76361</t>
  </si>
  <si>
    <t>Tenisový klub Ostrožská Nová Ves, z.s.</t>
  </si>
  <si>
    <t>Tenisový klub Pod Lipou, z. s.</t>
  </si>
  <si>
    <t>Zlín, Lesní čtvrť I 6925, PSČ 76001</t>
  </si>
  <si>
    <t>Tenisový klub Radegast, z.s.</t>
  </si>
  <si>
    <t>Rožnov pod Radhoštěm, Pod strání 2834, PSČ 75661</t>
  </si>
  <si>
    <t>Tenisový klub Roštín, z.s.</t>
  </si>
  <si>
    <t>Tenisový klub Slavičín, z.s.</t>
  </si>
  <si>
    <t>Rokytnice 203, PSČ 76321</t>
  </si>
  <si>
    <t>Tenisový klub Slovácká Viktoria Bojkovice</t>
  </si>
  <si>
    <t>"Tenisový Klub Soláň,o.s."</t>
  </si>
  <si>
    <t>Hutisko-Solanec, Solanec č.p. 099</t>
  </si>
  <si>
    <t>Tenisový klub Spytihněv, z.s.</t>
  </si>
  <si>
    <t>č.p. 607, 763 64  Spytihněv</t>
  </si>
  <si>
    <t>Tenisový klub TK Bánov z. s.</t>
  </si>
  <si>
    <t>Tenisový klub Topolná</t>
  </si>
  <si>
    <t>Topolná 271, PSČ 68711</t>
  </si>
  <si>
    <t>Tenisový klub TSRM, z.s.</t>
  </si>
  <si>
    <t>Uherský Brod, Dolní Valy 541, PSČ 68801</t>
  </si>
  <si>
    <t>Tenisový klub Uherské Hradiště, spolek</t>
  </si>
  <si>
    <t>Uherské Hradiště, Mařatice, U Moravy 827, PSČ 68601</t>
  </si>
  <si>
    <t>TENISOVÝ KLUB UHERSKÝ BROD z. s.</t>
  </si>
  <si>
    <t>Uherský Brod, Seichertova 151, PSČ 68801</t>
  </si>
  <si>
    <t>Tenisový klub Zašová, z.s.</t>
  </si>
  <si>
    <t>Zašová 149, PSČ 75651</t>
  </si>
  <si>
    <t>Tenisový klub Zlín, z.s.</t>
  </si>
  <si>
    <t>Tenisový klub 2000 Luhačovice z.s.</t>
  </si>
  <si>
    <t>Luhačovice, Lázeňské náměstí 427, PSČ 76326</t>
  </si>
  <si>
    <t>Tenisový spolek Valašské Klobouky</t>
  </si>
  <si>
    <t>Valašské Klobouky, Záhumení 836, PSČ 76601</t>
  </si>
  <si>
    <t>Tennis Training Camp, spolek</t>
  </si>
  <si>
    <t>Rožnov pod Radhoštěm, Pivovarská 30, PSČ 75661</t>
  </si>
  <si>
    <t>Tenšin dódžó z.s.</t>
  </si>
  <si>
    <t>Zlín, Prštné, Jateční 523, PSČ 76001</t>
  </si>
  <si>
    <t>TENTOklub Halenkovice</t>
  </si>
  <si>
    <t>Halenkovice 636, PSČ 76363</t>
  </si>
  <si>
    <t>Teo via Fundace nadační fond</t>
  </si>
  <si>
    <t>Teo via Morava z.s.</t>
  </si>
  <si>
    <t>Teo via nadační fond</t>
  </si>
  <si>
    <t>Terapeutické centrum Kroměříž</t>
  </si>
  <si>
    <t>Kroměříž, Švabinského nábřeží 2015/3, PSČ 76701</t>
  </si>
  <si>
    <t>"TEREZULE o.s."</t>
  </si>
  <si>
    <t>Uherské Hradiště, Mařatice, Slunečná 1417, PSČ 68605</t>
  </si>
  <si>
    <t>TERITORIO Training, z.s.</t>
  </si>
  <si>
    <t>Hulín, Boženy Němcové 202, PSČ 76824</t>
  </si>
  <si>
    <t>T-gym - sportovní klub kulturistiky - fitness, z.s.</t>
  </si>
  <si>
    <t>Kunovice, Pod Valy 1460, PSČ 68604</t>
  </si>
  <si>
    <t>ThaiBoxing Gym Zlín, z.s.</t>
  </si>
  <si>
    <t>Zlín, Okružní 4727, PSČ 76005</t>
  </si>
  <si>
    <t>The Anomalous o. s.</t>
  </si>
  <si>
    <t>The Playful Book, z.s.</t>
  </si>
  <si>
    <t>Osvětimany č. ev. 220, PSČ 68742</t>
  </si>
  <si>
    <t>Thémis Vizovice</t>
  </si>
  <si>
    <t>Zlín, Dlouhá 4211, PSČ 76001</t>
  </si>
  <si>
    <t>Things of Dignity z. s.</t>
  </si>
  <si>
    <t>Zlín, Lazy VI 6981, PSČ 76001</t>
  </si>
  <si>
    <t>Three monkeys, z.s.</t>
  </si>
  <si>
    <t>TIGER CLUB, spolek</t>
  </si>
  <si>
    <t>Zlín, Věžové domy 861, PSČ 76001</t>
  </si>
  <si>
    <t>Tigers Zlín z. s.</t>
  </si>
  <si>
    <t>„Timothyho institut”</t>
  </si>
  <si>
    <t>Zlín, Březnická 5565, PSČ 76001</t>
  </si>
  <si>
    <t>TITAN sport club, z.s.</t>
  </si>
  <si>
    <t>TJ AJAX Valašská Senice, z.s.</t>
  </si>
  <si>
    <t>TJ Bivoj Bařice, z.s.</t>
  </si>
  <si>
    <t>TJ Bohuslavice u Zlína, z. s.</t>
  </si>
  <si>
    <t>TJ Bystřice pod Hostýnem, z.s.</t>
  </si>
  <si>
    <t>TJ Chropyně, z.s.</t>
  </si>
  <si>
    <t>Chropyně, Hanácké náměstí 552, PSČ 76811</t>
  </si>
  <si>
    <t>Výroba a rozvod tepla a klimatizovaného vzduchu, výroba ledu</t>
  </si>
  <si>
    <t>TJ Drnovice, z.s.</t>
  </si>
  <si>
    <t>TJ Fryšták, z.s.</t>
  </si>
  <si>
    <t>Fryšták, Komenského 78, PSČ 76316</t>
  </si>
  <si>
    <t>TJ FS Napajedla, z.s.</t>
  </si>
  <si>
    <t>TJ Hlinsko p/H, z.s.</t>
  </si>
  <si>
    <t>TJ Holešov oddíl házené, z.s.</t>
  </si>
  <si>
    <t>Holešov, Bezručova 640, PSČ 76901</t>
  </si>
  <si>
    <t>TJ Holešov oddíl stolního tenisu, z. s.</t>
  </si>
  <si>
    <t>TJ Horní Lapač z. s.</t>
  </si>
  <si>
    <t>TJ Hřivínův Újezd-Kaňovice, spolek</t>
  </si>
  <si>
    <t>TJ Jiskra Dolní Bečva</t>
  </si>
  <si>
    <t>TJ Jiskra Krhová z. s.</t>
  </si>
  <si>
    <t>Krhová, Hlavní 205, PSČ 75663</t>
  </si>
  <si>
    <t>TJ Jiskra Otrokovice, z.s.</t>
  </si>
  <si>
    <t>TJ Juřinka, z.s.</t>
  </si>
  <si>
    <t>Valašské Meziříčí, Juřinka 162, PSČ 75701</t>
  </si>
  <si>
    <t>TJ Kašava, z.s.</t>
  </si>
  <si>
    <t>Kašava 217, PSČ 76319</t>
  </si>
  <si>
    <t>TJ Košíky z.s.</t>
  </si>
  <si>
    <t>TJ Kudlovice, z.s.</t>
  </si>
  <si>
    <t>Kudlovice 348, PSČ 68703</t>
  </si>
  <si>
    <t>TJ LESANA Zubří, z.s.</t>
  </si>
  <si>
    <t>Zubří, Starozuberská 341, PSČ 75654</t>
  </si>
  <si>
    <t>TJ Lešná, z.s.</t>
  </si>
  <si>
    <t>TJ Lipová, z.s.</t>
  </si>
  <si>
    <t>TJ Lokomotiva Uherský Ostroh, z. s.</t>
  </si>
  <si>
    <t>Uherský Ostroh, Šance 166, PSČ 68724</t>
  </si>
  <si>
    <t>TJ Loukov, z. s.</t>
  </si>
  <si>
    <t>TJ Ludslavice</t>
  </si>
  <si>
    <t>Ludslavice 155, PSČ 76852</t>
  </si>
  <si>
    <t>TJ Medlov, z.s.</t>
  </si>
  <si>
    <t>Zborovice, Medlov 102, PSČ 76802</t>
  </si>
  <si>
    <t>TJ MONTY z.s.</t>
  </si>
  <si>
    <t>TJ Mrlínek, z.s.</t>
  </si>
  <si>
    <t>Mrlínek 54, PSČ 76861</t>
  </si>
  <si>
    <t>TJ Nedachlebice, z.s.</t>
  </si>
  <si>
    <t>TJ Nedašov z.s.</t>
  </si>
  <si>
    <t>Nedašov 305, PSČ 76332</t>
  </si>
  <si>
    <t>TJ Nedašova Lhota z.s.</t>
  </si>
  <si>
    <t>Nedašova Lhota 58, PSČ 76332</t>
  </si>
  <si>
    <t>TJ Nová Dědina z.s.</t>
  </si>
  <si>
    <t>TJ Ostrožská Nová Ves, z.s.</t>
  </si>
  <si>
    <t>Ostrožská Nová Ves, Nádražní 970, PSČ 68722</t>
  </si>
  <si>
    <t>TJ Osvětimany, spolek</t>
  </si>
  <si>
    <t>TJ Oznice z.s.</t>
  </si>
  <si>
    <t>TJ Partyzán Prlov, z.s.</t>
  </si>
  <si>
    <t>TJ Pilana Zborovice z.s.</t>
  </si>
  <si>
    <t>TJ Počenice-Tetětice, z.s.</t>
  </si>
  <si>
    <t>TJ POLIČNÁ, spolek</t>
  </si>
  <si>
    <t>Poličná 330, PSČ 75701</t>
  </si>
  <si>
    <t>TJ Prusinovice, z.s.</t>
  </si>
  <si>
    <t>TJ při Domu dětí a mládeže z.s.</t>
  </si>
  <si>
    <t>TJ Rokytnice, z.s.</t>
  </si>
  <si>
    <t>Rokytnice 204, PSČ 76321</t>
  </si>
  <si>
    <t>TJ Roštění z.s.</t>
  </si>
  <si>
    <t>TJ Roštín, z.s.</t>
  </si>
  <si>
    <t>TJ Rožnov pod Radhoštěm, spolek</t>
  </si>
  <si>
    <t>TJ SKI-TURIST, z.s.</t>
  </si>
  <si>
    <t>Velké Karlovice č. ev. 172, PSČ 75606</t>
  </si>
  <si>
    <t>TJ SLAVIA Kroměříž z.s.</t>
  </si>
  <si>
    <t>TJ Slavkov pod Hostýnem z.s.</t>
  </si>
  <si>
    <t>Slavkov pod Hostýnem 166, PSČ 76861</t>
  </si>
  <si>
    <t>TJ Slavoj Šelešovice, z.s.</t>
  </si>
  <si>
    <t>TJ Slovácká Slavia Uherské Hradiště, z.s.</t>
  </si>
  <si>
    <t>Správa nemovitostí na základě smlouvy nebo dohody</t>
  </si>
  <si>
    <t>TJ Slovácko Vážany z.s.</t>
  </si>
  <si>
    <t>TJ SLOVAN Luhačovice, spolek</t>
  </si>
  <si>
    <t>TJ Slovan neslyšících Zlín z. s.</t>
  </si>
  <si>
    <t>Rajnochovice č. ev. 246, PSČ 76871</t>
  </si>
  <si>
    <t>TJ Slovan Vsetín, z.s.</t>
  </si>
  <si>
    <t>TJ Sokol - jezdecký oddíl Kyselovice, spolek</t>
  </si>
  <si>
    <t>Kyselovice 104, PSČ 76811</t>
  </si>
  <si>
    <t>TJ Sokol Bohuslavice nad Vláří, z.s.</t>
  </si>
  <si>
    <t>TJ Sokol Bratřejov, z.s.</t>
  </si>
  <si>
    <t>Bratřejov 261, PSČ 76312</t>
  </si>
  <si>
    <t>TJ Sokol Březová, z.s.</t>
  </si>
  <si>
    <t>TJ Sokol Bynina, z.s.</t>
  </si>
  <si>
    <t>TJ Sokol Dobrkovice, z.s.</t>
  </si>
  <si>
    <t>763 07 Dobrkovice</t>
  </si>
  <si>
    <t>TJ Sokol Dřínov, spolek</t>
  </si>
  <si>
    <t>Dřínov 163, PSČ 76833</t>
  </si>
  <si>
    <t>TJ Sokol Horní Bečva z.s.</t>
  </si>
  <si>
    <t>Horní Bečva 799, PSČ 75657</t>
  </si>
  <si>
    <t>TJ Sokol Horní Němčí, spolek</t>
  </si>
  <si>
    <t>Horní Němčí 401, PSČ 68764</t>
  </si>
  <si>
    <t>TJ Sokol Hovězí, z.s.</t>
  </si>
  <si>
    <t>Hovězí 83, PSČ 75601</t>
  </si>
  <si>
    <t>TJ Sokol Hradčovice z.s.</t>
  </si>
  <si>
    <t>TJ. Sokol Huslenky, z.s.</t>
  </si>
  <si>
    <t>Huslenky 585, PSČ 75602</t>
  </si>
  <si>
    <t>TJ Sokol Hutisko-Solanec z.s.</t>
  </si>
  <si>
    <t>TJ Sokol Jankovice, z.s.</t>
  </si>
  <si>
    <t>TJ Sokol Jarcová z.s.</t>
  </si>
  <si>
    <t>Jarcová 231, PSČ 75701</t>
  </si>
  <si>
    <t>TJ. Sokol Kateřinice, z.s.</t>
  </si>
  <si>
    <t>Kateřinice 391, PSČ 75621</t>
  </si>
  <si>
    <t>TJ Sokol Kostelec-Zlín, z.s.</t>
  </si>
  <si>
    <t>Zlín, Kostelec, Lázeňská 723, PSČ 76314</t>
  </si>
  <si>
    <t>TJ Sokol Kunovice, z.s.</t>
  </si>
  <si>
    <t>TJ Sokol Kurovice, z.s.</t>
  </si>
  <si>
    <t>TJ Sokol Lípa, z.s.</t>
  </si>
  <si>
    <t>TJ Sokol Loučka, z.s.</t>
  </si>
  <si>
    <t>Loučka 248, PSČ 75644</t>
  </si>
  <si>
    <t>TJ Sokol Lužná, z.s.</t>
  </si>
  <si>
    <t>Lužná 259, PSČ 75611</t>
  </si>
  <si>
    <t>TJ Sokol Machová, z.s.</t>
  </si>
  <si>
    <t>Machová 186, PSČ 76301</t>
  </si>
  <si>
    <t>TJ Sokol Mistřice, z.s.</t>
  </si>
  <si>
    <t>Mistřice 450, PSČ 68712</t>
  </si>
  <si>
    <t>TJ Sokol Míškovice, z.s.</t>
  </si>
  <si>
    <t>Míškovice 165, PSČ 76852</t>
  </si>
  <si>
    <t>TJ SOKOL Mysločovice, z.s.</t>
  </si>
  <si>
    <t>Mysločovice 56, PSČ 76301</t>
  </si>
  <si>
    <t>TJ Sokol Návojná, z.s.</t>
  </si>
  <si>
    <t>Návojná 81, PSČ 76332</t>
  </si>
  <si>
    <t>T.J. Sokol Nedakonice z.s.</t>
  </si>
  <si>
    <t>Nedakonice 19, PSČ 68738</t>
  </si>
  <si>
    <t>TJ Sokol Němčice, z.s.</t>
  </si>
  <si>
    <t>Němčice 68, PSČ 76843</t>
  </si>
  <si>
    <t>TJ Sokol Nevšová, z.s.</t>
  </si>
  <si>
    <t>Slavičín, Nevšová 84, PSČ 76321</t>
  </si>
  <si>
    <t>TJ Sokol Nezdenice z.s.</t>
  </si>
  <si>
    <t>Nezdenice č. ev. 4, PSČ 68732</t>
  </si>
  <si>
    <t>TJ Sokol Nový Hrozenkov, z.s.</t>
  </si>
  <si>
    <t>Nový Hrozenkov 914, PSČ 75604</t>
  </si>
  <si>
    <t>TJ Sokol Pačlavice, spolek</t>
  </si>
  <si>
    <t>Pačlavice 72, PSČ 76834</t>
  </si>
  <si>
    <t>TJ Sokol Petrůvka z.s.</t>
  </si>
  <si>
    <t>TJ Sokol Podhradní Lhota z.s.</t>
  </si>
  <si>
    <t>TJ Sokol Podlesí, z.s.</t>
  </si>
  <si>
    <t>Valašské Meziříčí, Podlesí 608, PSČ 75701</t>
  </si>
  <si>
    <t>TJ Sokol Pohořelice, z.s.</t>
  </si>
  <si>
    <t>TJ Sokol Pozděchov, z.s.</t>
  </si>
  <si>
    <t>Pozděchov 238, PSČ 75611</t>
  </si>
  <si>
    <t>TJ SOKOL PRAKŠICE - PAŠOVICE, z.s.</t>
  </si>
  <si>
    <t>Prakšice 311, PSČ 68756</t>
  </si>
  <si>
    <t>TJ Sokol Pravčice, spolek</t>
  </si>
  <si>
    <t>Pravčice 224, PSČ 76824</t>
  </si>
  <si>
    <t>TJ Sokol Racková, z.s.</t>
  </si>
  <si>
    <t>Racková 6, PSČ 76001</t>
  </si>
  <si>
    <t>TJ Sokol Rataje, z.s.</t>
  </si>
  <si>
    <t>TJ SOKOL RATIBOŘ, z.s.</t>
  </si>
  <si>
    <t>Ratiboř 307, PSČ 75621</t>
  </si>
  <si>
    <t>TJ SOKOL RUDICE 1922 z.s.</t>
  </si>
  <si>
    <t>Rudice 234, PSČ 68732</t>
  </si>
  <si>
    <t>TJ Sokol Růžďka z. s.</t>
  </si>
  <si>
    <t>Růžďka č. ev. 61, PSČ 75625</t>
  </si>
  <si>
    <t>TJ Sokol Salaš</t>
  </si>
  <si>
    <t>Zlín, Salaš 37, PSČ 76351</t>
  </si>
  <si>
    <t>TJ Sokol Sehradice, z.s.</t>
  </si>
  <si>
    <t>Sehradice 143, PSČ 76323</t>
  </si>
  <si>
    <t>TJ Sokol Seninka, z.s.</t>
  </si>
  <si>
    <t>TJ Sokol Slavkov, z.s.</t>
  </si>
  <si>
    <t>TJ Sokol Střítež, z.s.</t>
  </si>
  <si>
    <t>Střítež nad Bečvou 1, PSČ 75652</t>
  </si>
  <si>
    <t>TJ Sokol Šarovy, z. s.</t>
  </si>
  <si>
    <t>T.J. Sokol Trnava, z.s.</t>
  </si>
  <si>
    <t>TJ Sokol Tučapy z.s.</t>
  </si>
  <si>
    <t>Holešov, Tučapy 94, PSČ 76901</t>
  </si>
  <si>
    <t>TJ Sokol Újezdec-Těšov,z.s.</t>
  </si>
  <si>
    <t>Uherský Brod, Újezdec 371, PSČ 68734</t>
  </si>
  <si>
    <t>TJ Sokol Valašská Polanka, z. s.</t>
  </si>
  <si>
    <t>Valašská Polanka 204, PSČ 75611</t>
  </si>
  <si>
    <t>TJ Sokol Velké Těšany, z.s.</t>
  </si>
  <si>
    <t>Bařice-Velké Těšany, Velké Těšany, 9. května 70, PSČ 76701</t>
  </si>
  <si>
    <t>TJ Sokol Velký Ořechov, z.s.</t>
  </si>
  <si>
    <t>Velký Ořechov 219, PSČ 76307</t>
  </si>
  <si>
    <t>TJ Sokol Veselá, z.s.</t>
  </si>
  <si>
    <t>Veselá 218, PSČ 76315</t>
  </si>
  <si>
    <t>TJ Sokol Vizovice, z. s.</t>
  </si>
  <si>
    <t>TJ Sokol Vlčková, z.s.</t>
  </si>
  <si>
    <t>Vlčková č. ev. 131, PSČ 76319</t>
  </si>
  <si>
    <t>TJ Sokol Všemina z.s.</t>
  </si>
  <si>
    <t>Všemina 299, PSČ 76315</t>
  </si>
  <si>
    <t>TJ Sokol Záhlinice z.s.</t>
  </si>
  <si>
    <t>Hulín, Záhlinice 138, PSČ 76824</t>
  </si>
  <si>
    <t>TJ SOKOL ZDĚCHOV, z.s.</t>
  </si>
  <si>
    <t>TJ Sokol Zlobice z.s.</t>
  </si>
  <si>
    <t>TJ Sokol Žopy, z.s.</t>
  </si>
  <si>
    <t>Holešov, Palackého 1169/39, PSČ 76901</t>
  </si>
  <si>
    <t>TJ Spartak Hluk, z. s.</t>
  </si>
  <si>
    <t>Hluk, Boršická 1313, PSČ 68725</t>
  </si>
  <si>
    <t>TJ Spartak Jablůnka, z.s.</t>
  </si>
  <si>
    <t>TJ Spartak Uherský Brod, z.s.</t>
  </si>
  <si>
    <t>Uherský Brod, U Stadionu 2295, PSČ 68801</t>
  </si>
  <si>
    <t>TJ Spartak Valašské Klobouky, z.s.</t>
  </si>
  <si>
    <t>Valašské Klobouky, Nádražní 282, PSČ 76601</t>
  </si>
  <si>
    <t>TJ Start Uherský Ostroh</t>
  </si>
  <si>
    <t>Uherský Ostroh, Kvačice, Mlýnská 44, PSČ 68724</t>
  </si>
  <si>
    <t>TJ Stavosvit Zlín Březůvky</t>
  </si>
  <si>
    <t>TJ Sušice z.s.</t>
  </si>
  <si>
    <t>Sušice 176, PSČ 68704</t>
  </si>
  <si>
    <t>TJ Štítná nad Vláří, z.s.</t>
  </si>
  <si>
    <t>Štítná nad Vláří-Popov, Štítná nad Vláří 256, PSČ 76333</t>
  </si>
  <si>
    <t>TJ Šumice z.s.</t>
  </si>
  <si>
    <t>TJ Tatran Biskupice, spolek</t>
  </si>
  <si>
    <t>TJ Tatran Halenkov, z.s.</t>
  </si>
  <si>
    <t>Halenkov 686, PSČ 75603</t>
  </si>
  <si>
    <t>TJ TATRAN HAVŘICE, z.s.</t>
  </si>
  <si>
    <t>Uherský Brod, Havřice, U Zastávky 362, PSČ 68801</t>
  </si>
  <si>
    <t>TJ Tatran Janová, spolek</t>
  </si>
  <si>
    <t>TJ Traplice z.s.</t>
  </si>
  <si>
    <t>Traplice 374, PSČ 68704</t>
  </si>
  <si>
    <t>TJ Troubky-Zdislavice z.s.</t>
  </si>
  <si>
    <t>TJ TUPESY, z.s.</t>
  </si>
  <si>
    <t>Tupesy 388, PSČ 68707</t>
  </si>
  <si>
    <t>TJ Velehrad z.s.</t>
  </si>
  <si>
    <t>Velehrad č. ev. 47, PSČ 68706</t>
  </si>
  <si>
    <t>TJ Vysoké Pole, z.s.</t>
  </si>
  <si>
    <t>TJ Zádveřice, z.s.</t>
  </si>
  <si>
    <t>Zádveřice-Raková, Zádveřice 152, PSČ 76312</t>
  </si>
  <si>
    <t>TJ Zbrojovka Vsetín, z.s.</t>
  </si>
  <si>
    <t>Vsetín, Tyršova 1456, PSČ 75501</t>
  </si>
  <si>
    <t>TJG ZLÍN - občanské sdružení</t>
  </si>
  <si>
    <t>Zlín, Štefánikova 3176, PSČ 76001</t>
  </si>
  <si>
    <t>TK Morkovice, z.s.</t>
  </si>
  <si>
    <t>Morkovice-Slížany, Morkovice, Kolaříkova 651, PSČ 76833</t>
  </si>
  <si>
    <t>TK Prusinovice, z.s.</t>
  </si>
  <si>
    <t>TK SOKOL Vizovice, z.s.</t>
  </si>
  <si>
    <t>Vizovice, Těchlovská 807, PSČ 76312</t>
  </si>
  <si>
    <t>TKD SKYDIVE TEAM spolek</t>
  </si>
  <si>
    <t>Uherské Hradiště, Sady, Trnková 432, PSČ 68605</t>
  </si>
  <si>
    <t>TLAPKA - kynologický spolek Kvasice</t>
  </si>
  <si>
    <t>Kvasice, Čtvrtky 709, PSČ 76821</t>
  </si>
  <si>
    <t>To mě rozlož, z.s.</t>
  </si>
  <si>
    <t>T.O. Vršava, z.s.</t>
  </si>
  <si>
    <t>Zdounky, Zákostelí 276, PSČ 76802</t>
  </si>
  <si>
    <t>TOKAČEKA, z.s.</t>
  </si>
  <si>
    <t>Napajedla, Nádražní 706, PSČ 76361</t>
  </si>
  <si>
    <t>Tokaheya vzdělávání, z. s.</t>
  </si>
  <si>
    <t>Holešov, Sadová 1526, PSČ 76901</t>
  </si>
  <si>
    <t>TOM HELP, z. s.</t>
  </si>
  <si>
    <t>Valašské Meziříčí, 1. máje 1034, PSČ 75701</t>
  </si>
  <si>
    <t>ToNeON o.s.</t>
  </si>
  <si>
    <t>Luhačovice, Masarykova 101, SOŠ</t>
  </si>
  <si>
    <t>TOP tým Zlín, z. s.</t>
  </si>
  <si>
    <t>TOPMOTO z.s.</t>
  </si>
  <si>
    <t>Topolná 391, PSČ 68711</t>
  </si>
  <si>
    <t>TOPOLANKA, z.s.</t>
  </si>
  <si>
    <t>TOPOLSKÁ CHASA</t>
  </si>
  <si>
    <t>Topolná 92, PSČ 68711</t>
  </si>
  <si>
    <t>Toulavé nožky - cestovatelský klub, o. s.</t>
  </si>
  <si>
    <t>Halenkov 310, PSČ 75603</t>
  </si>
  <si>
    <t>Toušky, z. s.</t>
  </si>
  <si>
    <t>Holešov, Novosady 1566, PSČ 76901</t>
  </si>
  <si>
    <t>Tož tak! z. s.</t>
  </si>
  <si>
    <t>Tradice Bílých Karpat, z.s.</t>
  </si>
  <si>
    <t>Hostětín 4, PSČ 68771</t>
  </si>
  <si>
    <t>Tradiční výrobek Slovácka, z.s.</t>
  </si>
  <si>
    <t>Trail U Jericha, z.s.</t>
  </si>
  <si>
    <t>Vlčnov 870, PSČ 68761</t>
  </si>
  <si>
    <t>Trampská osada "Dakota"</t>
  </si>
  <si>
    <t>Francova Lhota, Půlčín, chata DAKOTA ev.č. 013</t>
  </si>
  <si>
    <t>Trampská osada HAWAI, zapsaný spolek</t>
  </si>
  <si>
    <t>Francova Lhota, Pulčín č. ev. 27, PSČ 75612</t>
  </si>
  <si>
    <t>Tramtárie, spolek</t>
  </si>
  <si>
    <t>Rožnov pod Radhoštěm, Chodská 1025, PSČ 75661</t>
  </si>
  <si>
    <t>Transparentní podnikatelské prostředí, z.s.</t>
  </si>
  <si>
    <t>Pozděchov 25, PSČ 75611</t>
  </si>
  <si>
    <t>Trchalíkova usedlost z.s.</t>
  </si>
  <si>
    <t>Šumice 210, PSČ 68731</t>
  </si>
  <si>
    <t>„Tree of eternity production”</t>
  </si>
  <si>
    <t>Zlín, Louky, V Olší 234, PSČ 76302</t>
  </si>
  <si>
    <t>TRI LIFE</t>
  </si>
  <si>
    <t>Lukoveček, Sýkoří 158, PSČ 76316</t>
  </si>
  <si>
    <t>TRIDENT Discgolf Holešov z.s.</t>
  </si>
  <si>
    <t>Holešov, Masarykova 1372/16, PSČ 76901</t>
  </si>
  <si>
    <t>TRIGO MÍKOVICE</t>
  </si>
  <si>
    <t>Uherské Hradiště, Míkovice, Lesní 21, PSČ 68609</t>
  </si>
  <si>
    <t>TRIGO, mládežnická organizace Horní Němčí</t>
  </si>
  <si>
    <t>Horní Němčí,</t>
  </si>
  <si>
    <t>TriMount, z.s.</t>
  </si>
  <si>
    <t>Otrokovice, Krátká 811, PSČ 76502</t>
  </si>
  <si>
    <t>TRINNNO, z.s.</t>
  </si>
  <si>
    <t>Staré Město, Mojmírova 732, PSČ 68603</t>
  </si>
  <si>
    <t>Triotus Production</t>
  </si>
  <si>
    <t>Ludkovice 168, PSČ 76341</t>
  </si>
  <si>
    <t>Trispectra z.s.</t>
  </si>
  <si>
    <t>Bojkovice, Bezručova čtvrť 726, PSČ 68771</t>
  </si>
  <si>
    <t>Trnavský kolík, občanské sdružení</t>
  </si>
  <si>
    <t>Trnava 333, PSČ 76318</t>
  </si>
  <si>
    <t>"TRNÉČKA o.s."</t>
  </si>
  <si>
    <t>Uherské Hradiště, Jarošov, Za Humny 423, PSČ 68601</t>
  </si>
  <si>
    <t>Trnkové kapky z.s.</t>
  </si>
  <si>
    <t>Boršice u Blatnice 98, PSČ 68763</t>
  </si>
  <si>
    <t>Trojkvítek, z. s.</t>
  </si>
  <si>
    <t>Hluk, Mladá 838, PSČ 68725</t>
  </si>
  <si>
    <t>Trpaslíci KM, z.s.</t>
  </si>
  <si>
    <t>Kroměříž, Talichova 3733/16, PSČ 76701</t>
  </si>
  <si>
    <t>"Třetí věk u nás"</t>
  </si>
  <si>
    <t>Bystřice pod Hostýnem, U Hřiště 1649, PSČ 76861</t>
  </si>
  <si>
    <t>Tři Kavky z. s.</t>
  </si>
  <si>
    <t>Zubří, Na Potoku 375, PSČ 75654</t>
  </si>
  <si>
    <t>TS Kotár, z. s.</t>
  </si>
  <si>
    <t>TSAMPA</t>
  </si>
  <si>
    <t>Sehradice 1, PSČ 76323</t>
  </si>
  <si>
    <t>T.T.R.</t>
  </si>
  <si>
    <t>Zlín, U Trojáku 4635, PSČ 76005</t>
  </si>
  <si>
    <t>Tučapské Koukolky, z. s.</t>
  </si>
  <si>
    <t>Tučapy 11, PSČ 68709</t>
  </si>
  <si>
    <t>Tučapští zlobři</t>
  </si>
  <si>
    <t>TUFO CykloZákladna Otrokovice z.s.</t>
  </si>
  <si>
    <t>Otrokovice, U Letiště 1857, PSČ 76502</t>
  </si>
  <si>
    <t>Tuning club IGNORE</t>
  </si>
  <si>
    <t>Valašské Klobouky, Masarykovo náměstí 107, PSČ 76601</t>
  </si>
  <si>
    <t>Tupesští BROUČCI, z.s.</t>
  </si>
  <si>
    <t>Turf Data, z.s.</t>
  </si>
  <si>
    <t>Otrokovice, Kvítkovice, Hlavní 1252, PSČ 76502</t>
  </si>
  <si>
    <t>Turisté hraběnky Kateřiny, z. s.</t>
  </si>
  <si>
    <t>Turistické Informační Centrum</t>
  </si>
  <si>
    <t>Hluk, Hradišťská 314, PSČ 68725</t>
  </si>
  <si>
    <t>TURISTICKÝ ODDÍL CBA o.s.</t>
  </si>
  <si>
    <t>Turistický oddíl Hluboček, z.s.</t>
  </si>
  <si>
    <t>Podolí 262, PSČ 68604</t>
  </si>
  <si>
    <t>Tutun Snowboard Club</t>
  </si>
  <si>
    <t>Tváře měst, z.s.</t>
  </si>
  <si>
    <t>Zlín, 2. května 7134, PSČ 76001</t>
  </si>
  <si>
    <t>Tyátr ModroDiv, z.s.</t>
  </si>
  <si>
    <t>Zlín, Příkrá 3569, PSČ 76001</t>
  </si>
  <si>
    <t>U nás doma, o.p.s.</t>
  </si>
  <si>
    <t>ÚAMK - AMK Neslyšících Valašské Meziříčí</t>
  </si>
  <si>
    <t>Bystřička 314, PSČ 75624</t>
  </si>
  <si>
    <t>ÚAMK - AMK NESLYŠÍCÍCH ZLÍN</t>
  </si>
  <si>
    <t>Otrokovice, Kvítkovice, Hlavní 1254, PSČ 76502</t>
  </si>
  <si>
    <t>ÚAMK - AutoMotoKlub Rallye Sport - Vsetín</t>
  </si>
  <si>
    <t>Ratiboř 592, PSČ 75621</t>
  </si>
  <si>
    <t>ÚAMK - SKCT MÍKOVICE</t>
  </si>
  <si>
    <t>ÚAMK - VR Vsetín</t>
  </si>
  <si>
    <t>Vsetín, Jiráskova 2057, PSČ 75501</t>
  </si>
  <si>
    <t>ÚAMK Tuning Motor Sprint</t>
  </si>
  <si>
    <t>Kroměříž, Bílany 7, PSČ 76701</t>
  </si>
  <si>
    <t>”UFNOSŤA - NADĚJE”</t>
  </si>
  <si>
    <t>UH Senior Band</t>
  </si>
  <si>
    <t>UH-ALLIN o.s.</t>
  </si>
  <si>
    <t>Uherskobrodský astronomický spolek</t>
  </si>
  <si>
    <t>Uherský Brod, Prakšická 2222, PSČ 68801</t>
  </si>
  <si>
    <t>Uherskobrodští patrioti</t>
  </si>
  <si>
    <t>Uherský Brod, Hodinářská 299, PSČ 68801</t>
  </si>
  <si>
    <t>Uhrovo dechové kvarteto</t>
  </si>
  <si>
    <t>Nivnice, Příčná 754, PSČ 68751</t>
  </si>
  <si>
    <t>UIC FUND z.s.</t>
  </si>
  <si>
    <t>Hulín, Záhlinická 506, PSČ 76824</t>
  </si>
  <si>
    <t>UK Zlín, z.s.</t>
  </si>
  <si>
    <t>Otrokovice, Krátká 9322, PSČ 76502</t>
  </si>
  <si>
    <t>UKAZOVÁTKO - spolek přátel školy</t>
  </si>
  <si>
    <t>Ukrajina ponad use z.s.</t>
  </si>
  <si>
    <t>UL klub Gryf Uherské Hradiště, z.s.</t>
  </si>
  <si>
    <t>Uherské Hradiště, Stará Tenice 1202, PSČ 68601</t>
  </si>
  <si>
    <t>Umělecká iniciativa Kroměříž z.s.</t>
  </si>
  <si>
    <t>Kroměříž, Kojetínská 1425/59, PSČ 76701</t>
  </si>
  <si>
    <t>Umělecké sdružení Ad lib Moravia</t>
  </si>
  <si>
    <t>Zlín, Malenovice, Havlíčkova 418, PSČ 76302</t>
  </si>
  <si>
    <t>Umění, rodiče a podpora ZUŠ Zdounky, z. s.</t>
  </si>
  <si>
    <t>Zdounky 23, PSČ 76802</t>
  </si>
  <si>
    <t>UnArt Provodov, p.s.</t>
  </si>
  <si>
    <t>UnArt Slavičín, p.s.</t>
  </si>
  <si>
    <t>UnArt Spytihněv, p.s.</t>
  </si>
  <si>
    <t>Spytihněv 29, PSČ 76364</t>
  </si>
  <si>
    <t>UnArt, z.s.</t>
  </si>
  <si>
    <t>Opravy výrobků pro osobní potřebu a převážně pro domácnost</t>
  </si>
  <si>
    <t>UNGUŽBUNGUDUNGU z.s.</t>
  </si>
  <si>
    <t>Zlín, Mladcová, Návesní 58, PSČ 76001</t>
  </si>
  <si>
    <t>Unie architektů Zlínského kraje, z.s.</t>
  </si>
  <si>
    <t>Unie Comenius</t>
  </si>
  <si>
    <t>Uherský Brod, Přemysla Otakara II. 37, PSČ 68801</t>
  </si>
  <si>
    <t>Unie Kompas, z.s.</t>
  </si>
  <si>
    <t>Zlín, Pod Stráněmi 2505, PSČ 76001</t>
  </si>
  <si>
    <t>Unie pracovníků mimo vyučování</t>
  </si>
  <si>
    <t>Valašské Meziříčí 454, PSČ 757 01</t>
  </si>
  <si>
    <t>"Unie pro vznik městských částí statutárního města Zlín"</t>
  </si>
  <si>
    <t>Unie rodičů při ZŠ Velké Karlovice,z.s.</t>
  </si>
  <si>
    <t>Velké Karlovice 19, PSČ 75606</t>
  </si>
  <si>
    <t>Unie rodičů Střední školy-COPt Uherský Brod z.s.</t>
  </si>
  <si>
    <t>Uherský Brod, Vlčnovská 688, PSČ 68801</t>
  </si>
  <si>
    <t>Unie ROSKA - reg. org. ROSKA KROMĚŘÍŽ, z.p.s.</t>
  </si>
  <si>
    <t>Kroměříž, Lutopecká 1410/3, PSČ 76701</t>
  </si>
  <si>
    <t>Unie ROSKA - reg. org. ROSKA VSETÍN, z.p.s.</t>
  </si>
  <si>
    <t>Unie studentů v Uherském Hradišti, z.s.</t>
  </si>
  <si>
    <t>Uherské Hradiště, Mařatice, Studentské náměstí 1535, PSČ 68601</t>
  </si>
  <si>
    <t>Úniky za přírodou, z. s.</t>
  </si>
  <si>
    <t>Uherské Hradiště, Vésky, Na Dědině 194, PSČ 68601</t>
  </si>
  <si>
    <t>Union Jiu-Jitsu Organisations - Konfederace bojových umění, spolek</t>
  </si>
  <si>
    <t>Zlín, Lomená 2278, PSČ 76001</t>
  </si>
  <si>
    <t>Union Restart, z.s.</t>
  </si>
  <si>
    <t>UNITED 3P, z. s.</t>
  </si>
  <si>
    <t>UniverSport z.s.</t>
  </si>
  <si>
    <t>Zlín, Příluky, Náhorní 443, PSČ 76001</t>
  </si>
  <si>
    <t>Univerzita vědomého života, z.s.</t>
  </si>
  <si>
    <t>UNUECO</t>
  </si>
  <si>
    <t>Úsměvy Robinkova světa, z.s.</t>
  </si>
  <si>
    <t>Slopné 212, PSČ 76323</t>
  </si>
  <si>
    <t>Ústav Bytový dům Tichá z. ú.</t>
  </si>
  <si>
    <t>Vsetín, Tichá 1830, PSČ 75501</t>
  </si>
  <si>
    <t>Ostatní ubytování j. n.</t>
  </si>
  <si>
    <t>Ústav podpory bydlení z. ú.</t>
  </si>
  <si>
    <t>Ústí.Net z.s.</t>
  </si>
  <si>
    <t>Ústí 29, PSČ 75501</t>
  </si>
  <si>
    <t>Útulek Zlín, z.s.</t>
  </si>
  <si>
    <t>Holešov, Novosady 1329, PSČ 76901</t>
  </si>
  <si>
    <t>ÚtulekJinak, z.s.</t>
  </si>
  <si>
    <t>Napajedla, Radovany 116, PSČ 76361</t>
  </si>
  <si>
    <t>Územní organizace Svazu diabetiků</t>
  </si>
  <si>
    <t>Uherský Ostroh, Mašovy 347, PSČ 68724</t>
  </si>
  <si>
    <t>Územní sdružení Českého zahrádkářského svazu Kroměříž</t>
  </si>
  <si>
    <t>Kroměříž, Riegrovo nám. 191/23</t>
  </si>
  <si>
    <t>Územní sdružení Českého zahrádkářského svazu Uherské Hradiště</t>
  </si>
  <si>
    <t>Územní sdružení Českého zahrádkářského svazu Vsetín</t>
  </si>
  <si>
    <t>Valašské Meziříčí, Krásno nad Bečvou, Zašovská 847, PSČ 75701</t>
  </si>
  <si>
    <t>Územní sdružení Českého zahrádkářského svazu Zlín</t>
  </si>
  <si>
    <t>Územní sportovní centrum EUDURO Valašské Meziříčí</t>
  </si>
  <si>
    <t>Valašské Meziříčí, Husova 360, PSČ 75701</t>
  </si>
  <si>
    <t>"V Lukovečku na kopečku, z.s."</t>
  </si>
  <si>
    <t>Lukoveček, Ráztocká 69, PSČ 76316</t>
  </si>
  <si>
    <t>V pohybu agentura jen pro děti z.s.</t>
  </si>
  <si>
    <t>Zlín, Zálešná VI 6644, PSČ 76001</t>
  </si>
  <si>
    <t>V rytmu života, z.s.</t>
  </si>
  <si>
    <t>Zlechov 216, PSČ 68710</t>
  </si>
  <si>
    <t>Vajanova z.s.</t>
  </si>
  <si>
    <t>Halenkov 520, PSČ 75603</t>
  </si>
  <si>
    <t>VALACHBAJK TEAM KAŠAVA z.s.</t>
  </si>
  <si>
    <t>Kašava 219, PSČ 76319</t>
  </si>
  <si>
    <t>Valachiarun z.s.</t>
  </si>
  <si>
    <t>Vsetín, Josefa Sousedíka 1160, PSČ 75501</t>
  </si>
  <si>
    <t>Valaši v pohybu z.s.</t>
  </si>
  <si>
    <t>Valašské Meziříčí, Krásno nad Bečvou, U Apolla 692/2, PSČ 75701</t>
  </si>
  <si>
    <t>Valaši vespolek, z. s.</t>
  </si>
  <si>
    <t>Vsetín, Turkmenská 1600, PSČ 75501</t>
  </si>
  <si>
    <t>VALAŠKA Radost o.p.s.</t>
  </si>
  <si>
    <t>Chvalčov č. ev. 233, PSČ 76872</t>
  </si>
  <si>
    <t>Valašská akademie sportu z.s.</t>
  </si>
  <si>
    <t>Vsetín, Dolní náměstí 1356, PSČ 75501</t>
  </si>
  <si>
    <t>Valašská garda z.s.</t>
  </si>
  <si>
    <t>Lužná 133, PSČ 75611</t>
  </si>
  <si>
    <t>Valašská Konopa, pobočný spolek</t>
  </si>
  <si>
    <t>Rožnov pod Radhoštěm, Bezručova 663, PSČ 75661</t>
  </si>
  <si>
    <t>VALAŠSKÁ KREV</t>
  </si>
  <si>
    <t>Vlachovice 155, PSČ 76324</t>
  </si>
  <si>
    <t>Valašská motorkářská garda, občanské sdružení</t>
  </si>
  <si>
    <t>Lešná, Jasenice 95, PSČ 75641</t>
  </si>
  <si>
    <t>Valašská nadace</t>
  </si>
  <si>
    <t>Francova Lhota 10, PSČ 75614</t>
  </si>
  <si>
    <t>Valašská rekreologická společnost, z.s.</t>
  </si>
  <si>
    <t>Vsetín, Družstevní 1646, PSČ 75501</t>
  </si>
  <si>
    <t>Valašská společnost historických kolejových vozidel, z. s.</t>
  </si>
  <si>
    <t>Krhová, Hrádky 415, PSČ 75663</t>
  </si>
  <si>
    <t>Valašské Časy z.s.</t>
  </si>
  <si>
    <t>Valašské Meziříčí, Výletní 1269, PSČ 75701</t>
  </si>
  <si>
    <t>Valašské království</t>
  </si>
  <si>
    <t>Valašské Meziříčí, J. K. Tyla 522/7, PSČ 75701</t>
  </si>
  <si>
    <t>Valašské kumštování, z.s.</t>
  </si>
  <si>
    <t>Valašské Klobouky, Koželužská 690, PSČ 76601</t>
  </si>
  <si>
    <t>VALAŠSKÉ NÁRODNÍ DIVADLO z.s.</t>
  </si>
  <si>
    <t>Karolinka, U hřiště 142, PSČ 75605</t>
  </si>
  <si>
    <t>Valašské pohybovky, z.s.</t>
  </si>
  <si>
    <t>Bystřice pod Hostýnem, Masarykovo nám. 66, PSČ 76861</t>
  </si>
  <si>
    <t>Valašské Tornádo, z.s.</t>
  </si>
  <si>
    <t>Ratiboř 143, PSČ 75621</t>
  </si>
  <si>
    <t>Valašsko, o.p.s.</t>
  </si>
  <si>
    <t>Velké Karlovice 875, PSČ 75606</t>
  </si>
  <si>
    <t>Valašskokloboucký fotbal</t>
  </si>
  <si>
    <t>VALAŠSKÝ AEROKLUB Slavičín</t>
  </si>
  <si>
    <t>Valašské Klobouky, Okružní 995, PSČ 76601</t>
  </si>
  <si>
    <t>Činnosti související se zpracováním dat a hostingem; činnosti související s webovými portály</t>
  </si>
  <si>
    <t>Valašský autoklub v ÚAMK</t>
  </si>
  <si>
    <t>Ratiboř 261, PSČ 75621</t>
  </si>
  <si>
    <t>Valašský enduro club z.s.</t>
  </si>
  <si>
    <t>Valašské Meziříčí, Kouty 1270, PSČ 75701</t>
  </si>
  <si>
    <t>Valašský golfový klub, z.s.</t>
  </si>
  <si>
    <t>Rožnov pod Radhoštěm, Horní Paseky 2664, PSČ 75661</t>
  </si>
  <si>
    <t>VALAŠSKÝ HOKEJOVÝ KLUB, z. s.</t>
  </si>
  <si>
    <t>Vsetín, Rokytnice, Na Lapači 394, PSČ 75501</t>
  </si>
  <si>
    <t>Valašský horolezecký klub, z.s.</t>
  </si>
  <si>
    <t>Velká Lhota, Malá Lhota 69, PSČ 75701</t>
  </si>
  <si>
    <t>Valašský jarmek, z.s.</t>
  </si>
  <si>
    <t>Valašské Klobouky, Brumovská 11, PSČ 76601</t>
  </si>
  <si>
    <t>Valašský klub plastikových modelářů p.s.</t>
  </si>
  <si>
    <t>Brumov-Bylnice, Brumov, Pluskalova 958, PSČ 76331</t>
  </si>
  <si>
    <t>Valašský krajkářský a řemeslný spolek</t>
  </si>
  <si>
    <t>Valašské Meziříčí, Zdeňka Fibicha 1220, PSČ 75701</t>
  </si>
  <si>
    <t>VALAŠSKÝ KRŮŽEK JAZZOVÝ, z.s.</t>
  </si>
  <si>
    <t>Valašský krúžek Malenovice</t>
  </si>
  <si>
    <t>Zlín-Malenovice</t>
  </si>
  <si>
    <t>Valašský krúžek RUSAVJAN, z.s.</t>
  </si>
  <si>
    <t>Valašský kuželkářský klub Vsetín, z.s.</t>
  </si>
  <si>
    <t>Valašský lenochod, z.s.</t>
  </si>
  <si>
    <t>Vsetín, Bratří Hlaviců 132, PSČ 75501</t>
  </si>
  <si>
    <t>Valašský letecký klub z. s.</t>
  </si>
  <si>
    <t>Valašské Meziříčí, Krásno nad Bečvou, Bratří Čapků 689/7, PSČ 75701</t>
  </si>
  <si>
    <t>Valašský MTB Team z. s.</t>
  </si>
  <si>
    <t>Jarcová 188, PSČ 75701</t>
  </si>
  <si>
    <t>Valašský muzejní a národopisný spolek v Rožnově pod Radhoštěm</t>
  </si>
  <si>
    <t>Valašský odbojový spolek z.s</t>
  </si>
  <si>
    <t>Valašský orchestr lidových nástrojů z.s.</t>
  </si>
  <si>
    <t>Vsetín, Rokytnice, Okružní 452, PSČ 75501</t>
  </si>
  <si>
    <t>Valašský pramen, z.s.</t>
  </si>
  <si>
    <t>Halenkov 109, PSČ 75603</t>
  </si>
  <si>
    <t>Valašský sbor portášský z.s.</t>
  </si>
  <si>
    <t>Valašská Bystřice 669, PSČ 75627</t>
  </si>
  <si>
    <t>Valašský soubor Kašava, z. s.</t>
  </si>
  <si>
    <t>Valašský soubor písní a tanců Beskyd z.s.</t>
  </si>
  <si>
    <t>Valašský soubor písní a tanců Rusava, z.s.</t>
  </si>
  <si>
    <t>Bystřice pod Hostýnem, Vsetínská 1445, PSČ 76861</t>
  </si>
  <si>
    <t>Valašský soubor písní a tanců VIZOVJAN</t>
  </si>
  <si>
    <t>Valašský soubor PORTÁŠ, z.s.</t>
  </si>
  <si>
    <t>Jasenná 270, PSČ 76313</t>
  </si>
  <si>
    <t>Valašský soubor Troják, z. s.</t>
  </si>
  <si>
    <t>Valašská Bystřice 478, PSČ 75627</t>
  </si>
  <si>
    <t>Valašský sportovní klub mládeže, z.s.</t>
  </si>
  <si>
    <t>Valašský sportovní klub z.s.</t>
  </si>
  <si>
    <t>Vsetín, Jasenická 1797, PSČ 75501</t>
  </si>
  <si>
    <t>Valašský šachový klub mládeže, z.s.</t>
  </si>
  <si>
    <t>Vsetín, Družstevní 1765, PSČ 75501</t>
  </si>
  <si>
    <t>Valašský veterán klub, z.s.</t>
  </si>
  <si>
    <t>Bystřice pod Hostýnem, Na Zahrádkách 624, PSČ 76861</t>
  </si>
  <si>
    <t>Valašští myslivečtí trubači</t>
  </si>
  <si>
    <t>Valašské Meziříčí, Podlesí 450</t>
  </si>
  <si>
    <t>Valašští sporťáci, z.s.</t>
  </si>
  <si>
    <t>Rožnov pod Radhoštěm, Tvarůžkova 2493, PSČ 75661</t>
  </si>
  <si>
    <t>Valaští bajkeři, spolek</t>
  </si>
  <si>
    <t>Rožnov pod Radhoštěm, Nerudova 141, PSČ 75661</t>
  </si>
  <si>
    <t>VALCEST - Klub valašských cestovatelů</t>
  </si>
  <si>
    <t>Zašová 373, PSČ 75651</t>
  </si>
  <si>
    <t>VÁLEK RACING z.s.</t>
  </si>
  <si>
    <t>Poteč 135, PSČ 76601</t>
  </si>
  <si>
    <t>Valmez Wolves Discgolf Team z.s.</t>
  </si>
  <si>
    <t>Jablůnka 597, PSČ 75623</t>
  </si>
  <si>
    <t>Valmezáci z.s.</t>
  </si>
  <si>
    <t>Valašské Meziříčí, Krásno nad Bečvou, Na Příkopě 808, PSČ 75701</t>
  </si>
  <si>
    <t>VARTA, z.s.</t>
  </si>
  <si>
    <t>Rožnov pod Radhoštěm, Hrnčířská 1981, PSČ 75661</t>
  </si>
  <si>
    <t>Vassura motorsport klub v AČR</t>
  </si>
  <si>
    <t>Zlín, Mezihoří 2677, PSČ 76001</t>
  </si>
  <si>
    <t>Váš Parlament, z. s.</t>
  </si>
  <si>
    <t>Vaše srdce Ariance, z.s.</t>
  </si>
  <si>
    <t>Otrokovice, J. Jabůrkové 1842, PSČ 76502</t>
  </si>
  <si>
    <t>Vážka ValMez</t>
  </si>
  <si>
    <t>Vážky, z.ú.</t>
  </si>
  <si>
    <t>Slušovice, Padělky 548, PSČ 76315</t>
  </si>
  <si>
    <t>VCC Zlín, z.s.</t>
  </si>
  <si>
    <t>Otrokovice, J. Jabůrkové 314, PSČ 76502</t>
  </si>
  <si>
    <t>Včelařský spolek pro Střední Moravu</t>
  </si>
  <si>
    <t>Včelí krajina o.s.</t>
  </si>
  <si>
    <t>VE JMÉNU ZDRAVÍ - NADAČNÍ FOND</t>
  </si>
  <si>
    <t>Nový Hrozenkov 466, PSČ 75604</t>
  </si>
  <si>
    <t>Ve vatičce, z. s.</t>
  </si>
  <si>
    <t>Kroměříž, Velehradská 529/45, PSČ 76701</t>
  </si>
  <si>
    <t>Vědomý rozvoj z.s.</t>
  </si>
  <si>
    <t>Kunovice, Luční 1702, PSČ 68604</t>
  </si>
  <si>
    <t>Vege-Najt, z.s.</t>
  </si>
  <si>
    <t>Uherský Brod, Havřice, Cihlářská 395, PSČ 68801</t>
  </si>
  <si>
    <t>Velkomoravané, z.s.</t>
  </si>
  <si>
    <t>VELOCIPED WALKERS, spolek</t>
  </si>
  <si>
    <t>Rožnov pod Radhoštěm, Boženy Němcové 1720, PSČ 75661</t>
  </si>
  <si>
    <t>Velute, z. s.</t>
  </si>
  <si>
    <t>Slušovice, Padělky 542, PSČ 76315</t>
  </si>
  <si>
    <t>Velvit z.s.</t>
  </si>
  <si>
    <t>Kunovice, V Zátiší 911, PSČ 68604</t>
  </si>
  <si>
    <t>VĚNEČEK z.s.</t>
  </si>
  <si>
    <t>Fryšták, Horní Ves, Hutky 59, PSČ 76316</t>
  </si>
  <si>
    <t>VENKOVART</t>
  </si>
  <si>
    <t>Velký Ořechov 171, PSČ 76307</t>
  </si>
  <si>
    <t>Verdi star z.s.</t>
  </si>
  <si>
    <t>Valašské Klobouky, Luční 898, PSČ 76601</t>
  </si>
  <si>
    <t>Veselá bída, z. s.</t>
  </si>
  <si>
    <t>Vsetín, Velký Skalník 1898, PSČ 75501</t>
  </si>
  <si>
    <t>Veselá Partyja, z.s.</t>
  </si>
  <si>
    <t>Veselejší Slovácko, z. s.</t>
  </si>
  <si>
    <t>VESLAŘSKÝ KLUB MORÁVIA UH z.s.</t>
  </si>
  <si>
    <t>VESNA - sdružení pro podporu činnosti Krizového centra a ...</t>
  </si>
  <si>
    <t>Mikulůvka 209, PSČ 75624</t>
  </si>
  <si>
    <t>Veteran Bicyklub</t>
  </si>
  <si>
    <t>Uherský Ostroh, Ostrožské Předměstí, Blatnická 172, PSČ 68724</t>
  </si>
  <si>
    <t>Veteran Car Club Beskydy v AČR</t>
  </si>
  <si>
    <t>Veteran Car Club Zlín</t>
  </si>
  <si>
    <t>Lípa 30, PSČ 76311</t>
  </si>
  <si>
    <t>VETERAN KLUB BŘEST z.s.</t>
  </si>
  <si>
    <t>Břest 50, PSČ 76823</t>
  </si>
  <si>
    <t>Veterán klub Kroměříž z.s.</t>
  </si>
  <si>
    <t>Kroměříž, Vejvanovského 374/2, PSČ 76701</t>
  </si>
  <si>
    <t>Veterán sport car klub, o.s.</t>
  </si>
  <si>
    <t>Zlín, Dlouhá 4309, PSČ 76001</t>
  </si>
  <si>
    <t>Veterán turist club Otrokovice</t>
  </si>
  <si>
    <t>Otrokovice, Vrchlického 698, PSČ 76502</t>
  </si>
  <si>
    <t>VETUS MOLENDINI CZ z.s.</t>
  </si>
  <si>
    <t>Prasklice 82, PSČ 76833</t>
  </si>
  <si>
    <t>VEVERKA, z.s.</t>
  </si>
  <si>
    <t>VF Motorsport z.s.</t>
  </si>
  <si>
    <t>Prostřední Bečva 335, PSČ 75656</t>
  </si>
  <si>
    <t>VFA - Valašská fotbalová akademie z. s.</t>
  </si>
  <si>
    <t>Zašová 849, PSČ 75651</t>
  </si>
  <si>
    <t>Via Lucis</t>
  </si>
  <si>
    <t>Buchlovice, Komenského 539, PSČ 68708</t>
  </si>
  <si>
    <t>VIA Mobility</t>
  </si>
  <si>
    <t>Kroměříž, Postoupky 102, PSČ 76701</t>
  </si>
  <si>
    <t>„Via Nemesis“</t>
  </si>
  <si>
    <t>Napajedla, Komenského 1531, PSČ 76361</t>
  </si>
  <si>
    <t>Via vitae, z.s.</t>
  </si>
  <si>
    <t>Napajedla, Komenského 733, PSČ 76361</t>
  </si>
  <si>
    <t>Vichury. z.s.</t>
  </si>
  <si>
    <t>Valašské Meziříčí, Hrachovec 67, PSČ 75701</t>
  </si>
  <si>
    <t>Videčky, z.s.</t>
  </si>
  <si>
    <t>Vsetín, Horní Jasenka 221, PSČ 75501</t>
  </si>
  <si>
    <t>Viktima</t>
  </si>
  <si>
    <t>Šafaříkova 952, 686 01 Uherské Hradiště</t>
  </si>
  <si>
    <t>VINÁR z.s.</t>
  </si>
  <si>
    <t>Vinaři Boršice, z.s.</t>
  </si>
  <si>
    <t>Boršice 704, PSČ 68709</t>
  </si>
  <si>
    <t>Vinaři Břestek, z.s.</t>
  </si>
  <si>
    <t>Vinaři Jarošov</t>
  </si>
  <si>
    <t>Vinaři Mařatice z.s.</t>
  </si>
  <si>
    <t>Uherské Hradiště, Mařatice, Vinohradská 850, PSČ 68605</t>
  </si>
  <si>
    <t>Vinaři SADY z.s.</t>
  </si>
  <si>
    <t>Uherské Hradiště, Sady, Solná cesta 309, PSČ 68601</t>
  </si>
  <si>
    <t>VINAŘSKÝ SPOLEK BBP</t>
  </si>
  <si>
    <t>Boršice č. ev. 89, PSČ 68709</t>
  </si>
  <si>
    <t>Viniční dům Slovácká búda, z. s.</t>
  </si>
  <si>
    <t>VINIDI o.s.</t>
  </si>
  <si>
    <t>Valašské Klobouky, Masarykovo náměstí 106, PSČ 76601</t>
  </si>
  <si>
    <t>VINOHRADY 98 - občanské sdružení</t>
  </si>
  <si>
    <t>Nivnice, Dr. Kachníka 55, PSČ 68751</t>
  </si>
  <si>
    <t>VIOLET o.p.s.</t>
  </si>
  <si>
    <t>Violet, o.s.</t>
  </si>
  <si>
    <t>Lechotice 137, PSČ 76852</t>
  </si>
  <si>
    <t>Vis inclusio, z.s.</t>
  </si>
  <si>
    <t>Višva Guru Díp Hindu Mandir - české hinduistické společenství</t>
  </si>
  <si>
    <t>Církve a náboženské společnosti</t>
  </si>
  <si>
    <t>Vita donum est - nadační fond</t>
  </si>
  <si>
    <t>Zlín, Pod Rozhlednou 6068, PSČ 76001</t>
  </si>
  <si>
    <t>Vital Pro z.s.</t>
  </si>
  <si>
    <t>Otrokovice, Moravní 909, PSČ 76502</t>
  </si>
  <si>
    <t>Vitrioil, z. s.</t>
  </si>
  <si>
    <t>Zdounky 301, PSČ 76802</t>
  </si>
  <si>
    <t>Viva Dance Academy, z.s.</t>
  </si>
  <si>
    <t>Zlín, Podlesí V 5506, PSČ 76005</t>
  </si>
  <si>
    <t>VIVACITAS, z.s.</t>
  </si>
  <si>
    <t>Valašské Meziříčí, Juřinka 154, PSČ 75701</t>
  </si>
  <si>
    <t>VIZE 21 Otrokovice, z.s.</t>
  </si>
  <si>
    <t>Otrokovice, Na Uličce 1360, PSČ 76502</t>
  </si>
  <si>
    <t>Vize 70 plus, z.s.</t>
  </si>
  <si>
    <t>Zlín, Mladcová, Čtvrť Frant. Bartoše 6157, PSČ 76001</t>
  </si>
  <si>
    <t>Vizovice-Těchlov</t>
  </si>
  <si>
    <t>Vizovice, Těchlovská 1088, PSČ 76312</t>
  </si>
  <si>
    <t>VIZOVICKÉ PEČIVO - občanské sdružení</t>
  </si>
  <si>
    <t>Vizovice, Pod hájem 1202, PSČ 76312</t>
  </si>
  <si>
    <t>Vizovické trnkobraní, z. s.</t>
  </si>
  <si>
    <t>Vizovice, Štěpská 950, PSČ 76312</t>
  </si>
  <si>
    <t>Vizovické vrchy, z. s.</t>
  </si>
  <si>
    <t>Vizovice, Lázeňská 1104, PSČ 76312</t>
  </si>
  <si>
    <t>Vizovjánek - soubor valašských písní a tanců, z.s.</t>
  </si>
  <si>
    <t>Vizovice, Polní 1244, PSČ 76312</t>
  </si>
  <si>
    <t>VK AUSTIN Vsetín z.s.</t>
  </si>
  <si>
    <t>Vsetín, Horní Jasenka 299, PSČ 75501</t>
  </si>
  <si>
    <t>VK dance collective, z.s.</t>
  </si>
  <si>
    <t>Horní Lideč 332, PSČ 75612</t>
  </si>
  <si>
    <t>VK Slovácko z.s.</t>
  </si>
  <si>
    <t>Uherské Hradiště, Mařatice, Sokolovská 356, PSČ 68601</t>
  </si>
  <si>
    <t>VK Trnavští jeleni z.s.</t>
  </si>
  <si>
    <t>Trnava 176, PSČ 76318</t>
  </si>
  <si>
    <t>Vlastivědný kroužek Holešov z.s.</t>
  </si>
  <si>
    <t>Vlaštovky Fryšták o.s.</t>
  </si>
  <si>
    <t>VLAŠTOVKY z.s.</t>
  </si>
  <si>
    <t>Kelč, Komárovice 9, PSČ 75643</t>
  </si>
  <si>
    <t>Vlčnovský střelecký spolek</t>
  </si>
  <si>
    <t>Vlčnov 1098, PSČ 68761</t>
  </si>
  <si>
    <t>Vlídný Vsetín, z. s.</t>
  </si>
  <si>
    <t>Voda pro les, voda pro lidi, z.s.</t>
  </si>
  <si>
    <t>Janová 194, PSČ 75501</t>
  </si>
  <si>
    <t>Vodácký klub Kroměříž, z.s.</t>
  </si>
  <si>
    <t>Kroměříž, Zámecká zahrada 352/8, PSČ 76701</t>
  </si>
  <si>
    <t>Vodácký klub Kvasice z.s.</t>
  </si>
  <si>
    <t>Kvasice, Bělovská 605, PSČ 76821</t>
  </si>
  <si>
    <t>Vodácký spolek Čolek, z.s.</t>
  </si>
  <si>
    <t>Vojenské muzeum Loučka - Pearl Harbor, z.s.</t>
  </si>
  <si>
    <t>Loučka 140, PSČ 76325</t>
  </si>
  <si>
    <t>Vojensko historický klub - Divize Bílé Karpaty</t>
  </si>
  <si>
    <t>Strání, Květná, nám. Em. Zahna 307, PSČ 68766</t>
  </si>
  <si>
    <t>Vojensko historický klub Východní fronta, z.s.</t>
  </si>
  <si>
    <t>Strání, Květná, Nová hora 1007, PSČ 68766</t>
  </si>
  <si>
    <t>Volejbal Vsetín, z.s.</t>
  </si>
  <si>
    <t>Volejbalový klub Kelč, z.s.</t>
  </si>
  <si>
    <t>Volejbalový klub MEZ Vsetín, z.s.</t>
  </si>
  <si>
    <t>Volejbalový klub Mysločovice</t>
  </si>
  <si>
    <t>VOLEJBALOVÝ KLUB NAPAJEDLA, z.s.</t>
  </si>
  <si>
    <t>Napajedla, Dvořákova 1445, PSČ 76361</t>
  </si>
  <si>
    <t>Volejbalový klub Přílepy, občanské sdružení</t>
  </si>
  <si>
    <t>Přílepy 234, PSČ 76901</t>
  </si>
  <si>
    <t>Volejbalový klub Valašské Meziříčí z.s.</t>
  </si>
  <si>
    <t>Valašské Meziříčí, Štěpánov 1066, PSČ 75701</t>
  </si>
  <si>
    <t>Volejbalový sportovní klub Staré Město, z.s.</t>
  </si>
  <si>
    <t>Volejbalový sportovní klub Zlín,z.s.</t>
  </si>
  <si>
    <t>Volleyball camp Zlín, z. s..</t>
  </si>
  <si>
    <t>Zlín, Zarámí 4083, PSČ 76001</t>
  </si>
  <si>
    <t>Volleyball Club Kroměříž, z.s.</t>
  </si>
  <si>
    <t>Volné divadlo, z. s.</t>
  </si>
  <si>
    <t>Vizovice, Chrastěšov 8, PSČ 76312</t>
  </si>
  <si>
    <t>Volné občanské sdružení Uherský Ostroh</t>
  </si>
  <si>
    <t>Uherský Ostroh, V zahradách 131, PSČ 68724</t>
  </si>
  <si>
    <t>Volné sdružení Kanálka</t>
  </si>
  <si>
    <t>Zlín, Příluky, Přílucká 4121, PSČ 76001</t>
  </si>
  <si>
    <t>Volnočasový spolek Bystřička</t>
  </si>
  <si>
    <t>Bystřička 80, PSČ 75624</t>
  </si>
  <si>
    <t>Von Macenau, z.s.</t>
  </si>
  <si>
    <t>VONICA 80 o.p.s.</t>
  </si>
  <si>
    <t>Vzdělávání v jazykových školách</t>
  </si>
  <si>
    <t>VONIČKA Zlín z. s.</t>
  </si>
  <si>
    <t>"VOSA Hrachovec, z. s."</t>
  </si>
  <si>
    <t>Valašské Meziříčí, Hrachovec 270, PSČ 75701</t>
  </si>
  <si>
    <t>VR Production klub v AČR</t>
  </si>
  <si>
    <t>Tlumačov, Dr. Ignáce Horníčka 900, PSČ 76362</t>
  </si>
  <si>
    <t>Vrchařská koruna Valašska z. s.</t>
  </si>
  <si>
    <t>Vsetín, Dolní Jasenka 750, PSČ 75501</t>
  </si>
  <si>
    <t>"Vrkoč, z.s."</t>
  </si>
  <si>
    <t>Vsetín, Jasenická 1796, PSČ 75501</t>
  </si>
  <si>
    <t>VRV pro sport z.s.</t>
  </si>
  <si>
    <t>Valašské Meziříčí, Krásno nad Bečvou, Na Šištotě 276, PSČ 75701</t>
  </si>
  <si>
    <t>VRV TEAM, z.s.</t>
  </si>
  <si>
    <t>Valašské Meziříčí, Šípková 1334, PSČ 75701</t>
  </si>
  <si>
    <t>VRZOT z. s.</t>
  </si>
  <si>
    <t>Buchlovice, Arnošta Hrabala 114, PSČ 68708</t>
  </si>
  <si>
    <t>Vsacan Art z.s.</t>
  </si>
  <si>
    <t>Jablůnka 263, PSČ 75623</t>
  </si>
  <si>
    <t>Vsacánek z. s.</t>
  </si>
  <si>
    <t>Vsetín Jokers z. s.</t>
  </si>
  <si>
    <t>Vsetín, Lázky 2085, PSČ 75501</t>
  </si>
  <si>
    <t>"Vsetínská hudební společnost", z. s.</t>
  </si>
  <si>
    <t>Vsetín, Ohrada 1865, PSČ 75501</t>
  </si>
  <si>
    <t>Vsetínské fórum, z.s.</t>
  </si>
  <si>
    <t>Vsetín, Zbrojovácká 944, PSČ 75501</t>
  </si>
  <si>
    <t>Vsetínský basket, z.s.</t>
  </si>
  <si>
    <t>Vsetín, Rokytnice, Okružní 410, PSČ 75501</t>
  </si>
  <si>
    <t>Vsetínsport o.s.</t>
  </si>
  <si>
    <t>Vsetín, 4. května 1220, PSČ 75501</t>
  </si>
  <si>
    <t>VSPT Bača, z.s.</t>
  </si>
  <si>
    <t>Valašské Meziříčí, Krásno nad Bečvou, Křižná 658/42, PSČ 75701</t>
  </si>
  <si>
    <t>Poskytování ostatních osobních služeb</t>
  </si>
  <si>
    <t>Všetuláci sobě, z.s.</t>
  </si>
  <si>
    <t>Všudybyl z.s.</t>
  </si>
  <si>
    <t>Zlín, Prštné, Hrabůvky 639, PSČ 76001</t>
  </si>
  <si>
    <t>VV Ecurie</t>
  </si>
  <si>
    <t>Lešná, Příluky 5, PSČ 75641</t>
  </si>
  <si>
    <t>Východomoravský seniorát Českobratrské církve evangelické</t>
  </si>
  <si>
    <t>Výchova a výcvik psů - Human Dog Coach, z.s.</t>
  </si>
  <si>
    <t>Bořenovice 52, PSČ 76901</t>
  </si>
  <si>
    <t>Výchovně vzdělávací a sociální centrum, z. ú.</t>
  </si>
  <si>
    <t>Zlín, Zarámí 132, PSČ 76001</t>
  </si>
  <si>
    <t>Výchovně-vzdělávací centrum STUDÁNKA</t>
  </si>
  <si>
    <t>„Vykopávky”</t>
  </si>
  <si>
    <t>Spytihněv 174, PSČ 76364</t>
  </si>
  <si>
    <t>Vysokoškolský sportovní klub UNIVERZITA Zlín, z.s.</t>
  </si>
  <si>
    <t>Výstavba kaple Slavičín-Hrádek, z s.</t>
  </si>
  <si>
    <t>Slavičín, Mladotické nábřeží 419, PSČ 76321</t>
  </si>
  <si>
    <t>Výtah, z. s.</t>
  </si>
  <si>
    <t>Zlín, Hluboká 4145, PSČ 76001</t>
  </si>
  <si>
    <t>Výtvarná polepšovna, z.s.</t>
  </si>
  <si>
    <t>Výtvarný spolek G</t>
  </si>
  <si>
    <t>Výtvarný spolek Vincúch</t>
  </si>
  <si>
    <t>Vzdělávací a komunitní centrum Integra Vsetín o.p.s.</t>
  </si>
  <si>
    <t>Vsetín, Na Rybníkách 1628, PSČ 75501</t>
  </si>
  <si>
    <t>Vzdělávací a volnočasové centrum Semínko, z. s.</t>
  </si>
  <si>
    <t>Rožnov pod Radhoštěm, 1. máje 1164, PSČ 75661</t>
  </si>
  <si>
    <t>Vzdělávací institut Kormidlo z.s.</t>
  </si>
  <si>
    <t>Rožnov pod Radhoštěm, Chodská 697, PSČ 75661</t>
  </si>
  <si>
    <t>Vzdělávací, sociální a kulturní středisko při Nadaci Jana Pivečky, o.p.s.</t>
  </si>
  <si>
    <t>Walachian Tribe o.s.</t>
  </si>
  <si>
    <t>Zlín, Okružní 4725, PSČ 76005</t>
  </si>
  <si>
    <t>WALAŠSKÝ RALLY KLUB v AČR</t>
  </si>
  <si>
    <t>Waldorfská základní škola Jasan z. s.</t>
  </si>
  <si>
    <t>Wallachia Art z.s.</t>
  </si>
  <si>
    <t>Police 64, PSČ 75644</t>
  </si>
  <si>
    <t>Wallachia z.s.</t>
  </si>
  <si>
    <t>WALLACHIAN o. s.</t>
  </si>
  <si>
    <t>Vsetín, Na Rybníkách 1312, PSČ 75501</t>
  </si>
  <si>
    <t>Wallachian Scooter rider, z.s.</t>
  </si>
  <si>
    <t>Rožnov pod Radhoštěm, Palackého 2205, PSČ 75661</t>
  </si>
  <si>
    <t>War Sports Team Slavičín z. s.</t>
  </si>
  <si>
    <t>Slavičín, Jasmínová 463, PSČ 76321</t>
  </si>
  <si>
    <t>WBC</t>
  </si>
  <si>
    <t>Přístavní 522, 765 02 Otrokovice</t>
  </si>
  <si>
    <t>W-club z.s.</t>
  </si>
  <si>
    <t>Vidče 366, PSČ 75653</t>
  </si>
  <si>
    <t>WeAreGuards, z.s.</t>
  </si>
  <si>
    <t>WESTERN HORSE CLUB, z.s.</t>
  </si>
  <si>
    <t>Poličná 577, PSČ 75701</t>
  </si>
  <si>
    <t>Western Riding club Czech republic - sekce Rožnov</t>
  </si>
  <si>
    <t>Western Riding Club České republiky Oblastní sekce Zlín</t>
  </si>
  <si>
    <t>Western Riding Club České republiky, z.s.</t>
  </si>
  <si>
    <t>Jasenná 227, PSČ 76313</t>
  </si>
  <si>
    <t>WESTERN RIDING CLUB ČR Sekce RANCH U ZTRACENÉ PODKOVY FRYŠTÁK</t>
  </si>
  <si>
    <t>Fryšták, Potoky 114, PSČ 76316</t>
  </si>
  <si>
    <t>WESTERN SPORT ŽLUTAVA z.s.</t>
  </si>
  <si>
    <t>Žlutava 389, PSČ 76361</t>
  </si>
  <si>
    <t>Westerňáci</t>
  </si>
  <si>
    <t>Wind Solar, z.s.</t>
  </si>
  <si>
    <t>č.p. 69, 757 01 Valašské Meziříčí</t>
  </si>
  <si>
    <t>WOLFHOUND KLUB, z.s.</t>
  </si>
  <si>
    <t>Zlín, Kostelec, Štípská 505, PSČ 76314</t>
  </si>
  <si>
    <t>World Association of Karate Jutsu z. s.</t>
  </si>
  <si>
    <t>Zlín, Javorová 4518, PSČ 76005</t>
  </si>
  <si>
    <t>WORLD ASSOCIATION OF TUER, z.s.</t>
  </si>
  <si>
    <t>Zlín, Kvítková 7148, PSČ 76001</t>
  </si>
  <si>
    <t>WRC RANCH VALAŠSKO</t>
  </si>
  <si>
    <t>X-Ride Team Lešná, z.s.</t>
  </si>
  <si>
    <t>Lešná 108, PSČ 75641</t>
  </si>
  <si>
    <t>YACET-MLÁDEŽ, UMĚNÍ A KREATIVITA V EVROPĚ</t>
  </si>
  <si>
    <t>Uherské Hradiště, Vodní 121, PSČ 68601</t>
  </si>
  <si>
    <t>YACHT CLUB Chrášťany z.s.</t>
  </si>
  <si>
    <t>YACHT CLUB MEZ VSETÍN, z.s.</t>
  </si>
  <si>
    <t>Vsetín, Ohrada 2051, PSČ 75501</t>
  </si>
  <si>
    <t>Stavba rekreačních a sportovních člunů</t>
  </si>
  <si>
    <t>Yacht Club Yachta´s z.s.</t>
  </si>
  <si>
    <t>Zlín, Losky 3071, PSČ 76001</t>
  </si>
  <si>
    <t>Yak55 Aerobatic Team z.s.</t>
  </si>
  <si>
    <t>Rožnov pod Radhoštěm, Koryčanské Paseky 461, PSČ 75661</t>
  </si>
  <si>
    <t>YAMAMOTO Czech z.s.</t>
  </si>
  <si>
    <t>Kroměříž, U Rejdiště 3730/11, PSČ 76701</t>
  </si>
  <si>
    <t>Yellow Hills z. s.</t>
  </si>
  <si>
    <t>Žlutava 57, PSČ 76361</t>
  </si>
  <si>
    <t>„Yggdrasil”</t>
  </si>
  <si>
    <t>Kroměříž, Máchova 2493/6, PSČ 76701</t>
  </si>
  <si>
    <t>Yoga Slavičín, z.s.</t>
  </si>
  <si>
    <t>Slavičín, Dlouhá 627, PSČ 76321</t>
  </si>
  <si>
    <t>YogafestZLÍN z.s.</t>
  </si>
  <si>
    <t>YOUNG BOYS BAŤOV OTROKOVICE</t>
  </si>
  <si>
    <t>"Young Music, o.s."</t>
  </si>
  <si>
    <t>Valašské Meziříčí, Kraiczova 519/24, PSČ 75701</t>
  </si>
  <si>
    <t>YOUnited z. s.</t>
  </si>
  <si>
    <t>Youth+ z.s.</t>
  </si>
  <si>
    <t>Rožnov pod Radhoštěm, Pod strání č. ev. 226, PSČ 75661</t>
  </si>
  <si>
    <t>Z - team Zlín, z. s.</t>
  </si>
  <si>
    <t>Březnice 559, PSČ 76001</t>
  </si>
  <si>
    <t>Z JUNIOR o.s.</t>
  </si>
  <si>
    <t>Horní Jasenka 180, 755 01 Vsetín</t>
  </si>
  <si>
    <t>Z kola ven, z. s.</t>
  </si>
  <si>
    <t>Fryšták, Horní Ves, Lesní čtvrť 419, PSČ 76316</t>
  </si>
  <si>
    <t>z. s. Sokol Částkov</t>
  </si>
  <si>
    <t>Za Krásno krásnější z.s.</t>
  </si>
  <si>
    <t>Valašské Meziříčí, Krásno nad Bečvou, Zámecká 364/58, PSČ 75701</t>
  </si>
  <si>
    <t>Za Krhovou klidnější, krásnější a zdravější z.s.</t>
  </si>
  <si>
    <t>Krhová, Hlavní 139, PSČ 75663</t>
  </si>
  <si>
    <t>Za lepší život v Újezdci</t>
  </si>
  <si>
    <t>Újezdec 11, PSČ 68741</t>
  </si>
  <si>
    <t>"Za lepší životní prostředí v Otrokovicích, z.s."</t>
  </si>
  <si>
    <t>Otrokovice, tř. Spojenců 717, PSČ 76502</t>
  </si>
  <si>
    <t>„Za obec Prlov krásnější, o.s.”</t>
  </si>
  <si>
    <t>Prlov čp. 141</t>
  </si>
  <si>
    <t>ZA POZLOVICE z.s.</t>
  </si>
  <si>
    <t>Pozlovice, Pod Větrníkem 60, PSČ 76326</t>
  </si>
  <si>
    <t>"Za rozvoj Baťova kanálu"</t>
  </si>
  <si>
    <t>Spytihněv 329, PSČ 76364</t>
  </si>
  <si>
    <t>Za sklem o.s.</t>
  </si>
  <si>
    <t>Zlín, Sedmdesátá 7055, PSČ 76001</t>
  </si>
  <si>
    <t>Za události a osobnosti z.s.</t>
  </si>
  <si>
    <t>Březůvky 154, PSČ 76345</t>
  </si>
  <si>
    <t>Za udržitelnost krajinného rázu a bezpečnosti na Černém kopečku v Zašové, z.s.</t>
  </si>
  <si>
    <t>Zašová 802, PSČ 75651</t>
  </si>
  <si>
    <t>Za zachování rozmanité přírody, z.s.</t>
  </si>
  <si>
    <t>Koryčany, Petrželka 138, PSČ 76805</t>
  </si>
  <si>
    <t>Za záchranu Hřebčína Napajedla a chovu koní v něm, z.s.</t>
  </si>
  <si>
    <t>Za zdravé a krásné Holešovsko, z. s.</t>
  </si>
  <si>
    <t>Holešov, Všetuly, Míru 316, PSČ 76901</t>
  </si>
  <si>
    <t>Za zdravé Lešensko, z.s.</t>
  </si>
  <si>
    <t>Lešná 98, PSČ 75641</t>
  </si>
  <si>
    <t>Za zdravé město, z. s.</t>
  </si>
  <si>
    <t>Za zdravý Zlín</t>
  </si>
  <si>
    <t>Zlín, Hornomlýnská 848, PSČ 76001</t>
  </si>
  <si>
    <t>Za zdravý život - Fryšták Žaba, Horní Ves, z.s.</t>
  </si>
  <si>
    <t>Fryšták, Horní Ves, Lesní čtvrť 403, PSČ 76316</t>
  </si>
  <si>
    <t>Zachar - škola pro život, z.s.</t>
  </si>
  <si>
    <t>Zachraň zvíře před sekačkou Zlínsko z.s.</t>
  </si>
  <si>
    <t>Zlín, Zelinova 5587, PSČ 76005</t>
  </si>
  <si>
    <t>Zachraňme naše zdravotnictví, z. s.</t>
  </si>
  <si>
    <t>Záchranná brigáda kynologů Zlínského kraje</t>
  </si>
  <si>
    <t>Valašské Meziříčí, Podlesí 363, PSČ 75701</t>
  </si>
  <si>
    <t>Zachraňte Zádveřice</t>
  </si>
  <si>
    <t>Zádveřice-Raková, Zádveřice 441, PSČ 76312</t>
  </si>
  <si>
    <t>Zahrádkáři Bezedné - Německé, z.s.</t>
  </si>
  <si>
    <t>Otrokovice, Napajedelská 1903, PSČ 76502</t>
  </si>
  <si>
    <t>Zahrádkářský spolek Vlára</t>
  </si>
  <si>
    <t>Slavičín, K Hájenkám 341, PSČ 76321</t>
  </si>
  <si>
    <t>Zahrádkářský spolek 1 Slavičín</t>
  </si>
  <si>
    <t>Slavičín, Divnice 130, PSČ 76321</t>
  </si>
  <si>
    <t>Zahrádkářský spolek 2 Slavičín</t>
  </si>
  <si>
    <t>ZAJIŠTĚNÍ - při pobočce ŽSÚD ve Zlíně</t>
  </si>
  <si>
    <t>Zájmové a hudební soubory Všemina z. s.</t>
  </si>
  <si>
    <t>Všemina 320, PSČ 76315</t>
  </si>
  <si>
    <t>Základní článek Asociace Brontosaura - dětský oddíl</t>
  </si>
  <si>
    <t>Otrokovice, B. Němcové 1206, PSČ 76502</t>
  </si>
  <si>
    <t>Základní článek Hnutí Brontosaurus Mařatice</t>
  </si>
  <si>
    <t>Uherské Hradiště, Šafaříkova 726, PSČ 68601</t>
  </si>
  <si>
    <t>Základní článek Hnutí Brontosaurus Oldomáš</t>
  </si>
  <si>
    <t>Žítková 7, PSČ 68774</t>
  </si>
  <si>
    <t>Základní kynologická organizace</t>
  </si>
  <si>
    <t>Břestek,</t>
  </si>
  <si>
    <t>Základní organizace Českého zahrádkářského svazu Babice</t>
  </si>
  <si>
    <t>Babice 470, PSČ 68703</t>
  </si>
  <si>
    <t>Základní organizace Českého zahrádkářského svazu Bánov</t>
  </si>
  <si>
    <t>Bánov 42, PSČ 68754</t>
  </si>
  <si>
    <t>Základní organizace Českého zahrádkářského svazu Bílovice</t>
  </si>
  <si>
    <t>Bílovice 69, PSČ 68712</t>
  </si>
  <si>
    <t>Základní organizace Českého zahrádkářského svazu Bohuslavice nad Vláří</t>
  </si>
  <si>
    <t>Základní organizace Českého zahrádkářského svazu Bohuslavice u Zlína</t>
  </si>
  <si>
    <t>Zlín, Podlesí IV 4960, PSČ 76005</t>
  </si>
  <si>
    <t>Základní organizace Českého zahrádkářského svazu Brumov-Bylnice</t>
  </si>
  <si>
    <t>Brumov-Bylnice, Bylnice, Na Poříčí 405, PSČ 76331</t>
  </si>
  <si>
    <t>Základní organizace Českého zahrádkářského svazu, Březolupy</t>
  </si>
  <si>
    <t>Březolupy 501, PSČ 68713</t>
  </si>
  <si>
    <t>Základní organizace Českého zahrádkářského svazu Buchlovice</t>
  </si>
  <si>
    <t>Buchlovice, Na Lhotce 578, PSČ 68708</t>
  </si>
  <si>
    <t>Základní organizace Českého zahrádkářského svazu Centroprojekt Zlín</t>
  </si>
  <si>
    <t>Zlín, Podvesná VI 3089, PSČ 76001</t>
  </si>
  <si>
    <t>Základní organizace Českého zahrádkářského svazu Chvalčov</t>
  </si>
  <si>
    <t>Chvalčov, Na Kamenci 432, PSČ 76872</t>
  </si>
  <si>
    <t>Základní organizace Českého zahrádkářského svazu č. 1 Chropyně</t>
  </si>
  <si>
    <t>Chropyně, Dr. Emila Axmana 279, PSČ 76811</t>
  </si>
  <si>
    <t>Základní organizace Českého zahrádkářského svazu č. 1 Hulín</t>
  </si>
  <si>
    <t>Hulín, Žižkova 176, PSČ 76824</t>
  </si>
  <si>
    <t>Základní organizace Českého zahrádkářského svazu č. 1 Kroměříž</t>
  </si>
  <si>
    <t>Kroměříž, Spáčilova 3069/10, PSČ 76701</t>
  </si>
  <si>
    <t>Základní organizace Českého zahrádkářského svazu č. 1 městská Bystřice pod Hostýnem</t>
  </si>
  <si>
    <t>Bystřice pod Hostýnem, Rusavská 195, PSČ 76861</t>
  </si>
  <si>
    <t>Základní organizace Českého zahrádkářského svazu č. 10 Kroměříž</t>
  </si>
  <si>
    <t>Kroměříž, Slov. nár. povstání 3986/1, PSČ 76701</t>
  </si>
  <si>
    <t>Základní organizace Českého zahrádkářského svazu č. 2 Kroměříž</t>
  </si>
  <si>
    <t>Kroměříž, Talichova 3676/12, PSČ 76701</t>
  </si>
  <si>
    <t>Základní organizace Českého zahrádkářského svazu č. 2 Zábřeh Bystřice pod Hostýnem</t>
  </si>
  <si>
    <t>Základní organizace Českého zahrádkářského svazu č. 3 Slovan Kroměříž</t>
  </si>
  <si>
    <t>Kroměříž, Havlíčkova 1281/90, PSČ 76701</t>
  </si>
  <si>
    <t>Základní organizace Českého zahrádkářského svazu č. 4 Hulín</t>
  </si>
  <si>
    <t>Hulín, Záhlinická 475, PSČ 76824</t>
  </si>
  <si>
    <t>Základní organizace Českého zahrádkářského svazu č. 4 Kroměříž Vážany</t>
  </si>
  <si>
    <t>Kroměříž, Vážany, Osvoboditelů 232/94, PSČ 76701</t>
  </si>
  <si>
    <t>Základní organizace Českého zahrádkářského svazu č. 5 Kroměříž</t>
  </si>
  <si>
    <t>Kroměříž, 1. máje 217/6, PSČ 76701</t>
  </si>
  <si>
    <t>Základní organizace Českého zahrádkářského svazu č. 7 - U Strže Kroměříž</t>
  </si>
  <si>
    <t>Kroměříž, Nitranská 4066/4, PSČ 76701</t>
  </si>
  <si>
    <t>Základní organizace Českého zahrádkářského svazu č. 9 Kroměříž</t>
  </si>
  <si>
    <t>Kroměříž, Sládkova 2607/31, PSČ 76701</t>
  </si>
  <si>
    <t>Základní organizace Českého zahrádkářského svazu č.2 Chropyně-Podlesí</t>
  </si>
  <si>
    <t>Chropyně, Moravská 713, PSČ 76811</t>
  </si>
  <si>
    <t>Základní organizace Českého zahrádkářského svazu Dobrotice</t>
  </si>
  <si>
    <t>Holešov, Dobrotice 177, PSČ 76901</t>
  </si>
  <si>
    <t>Základní organizace Českého zahrádkářského svazu Dolní Němčí</t>
  </si>
  <si>
    <t>Dolní Němčí 15</t>
  </si>
  <si>
    <t>Základní organizace Českého zahrádkářského svazu Drnovice - Újezd</t>
  </si>
  <si>
    <t>Drnovice 1, PSČ 76325</t>
  </si>
  <si>
    <t>Základní organizace Českého zahrádkářského svazu Družba 2 Hulín</t>
  </si>
  <si>
    <t>Hulín, Žižkova 1298, PSČ 76824</t>
  </si>
  <si>
    <t>Základní organizace Českého zahrádkářského svazu Halenkov</t>
  </si>
  <si>
    <t>Halenkov 24, PSČ 75603</t>
  </si>
  <si>
    <t>Základní organizace Českého zahrádkářského svazu Halenkovice</t>
  </si>
  <si>
    <t>Halenkovice 315, PSČ 76363</t>
  </si>
  <si>
    <t>Základní organizace Českého zahrádkářského svazu Helštýn Valašské Meziříčí</t>
  </si>
  <si>
    <t>Základní organizace Českého zahrádkářského svazu Hluk</t>
  </si>
  <si>
    <t>Hluk, Vyšehradská 1167, PSČ 68725</t>
  </si>
  <si>
    <t>Základní organizace Českého zahrádkářského svazu Holešov</t>
  </si>
  <si>
    <t>Základní organizace Českého zahrádkářského svazu Horní Bečva</t>
  </si>
  <si>
    <t>Horní Bečva 1056, PSČ 75657</t>
  </si>
  <si>
    <t>Základní organizace Českého zahrádkářského svazu Hradčovice</t>
  </si>
  <si>
    <t>Základní organizace Českého zahrádkářského svazu Hradská Zlín</t>
  </si>
  <si>
    <t>Zlín, Podvesná IV 3789, PSČ 76001</t>
  </si>
  <si>
    <t>Základní organizace Českého zahrádkářského svazu Hrobice</t>
  </si>
  <si>
    <t>Hrobice 2, PSČ 76315</t>
  </si>
  <si>
    <t>Základní organizace Českého zahrádkářského svazu Hvozdná</t>
  </si>
  <si>
    <t>Hvozdná, Fojtská 395, PSČ 76310</t>
  </si>
  <si>
    <t>Základní organizace Českého zahrádkářského svazu Jalubí</t>
  </si>
  <si>
    <t>Jalubí 28, PSČ 68705</t>
  </si>
  <si>
    <t>Základní organizace Českého zahrádkářského svazu Jaroslavice  jih Zlín</t>
  </si>
  <si>
    <t>Zlín, Příluky, Pančava 91, PSČ 76001</t>
  </si>
  <si>
    <t>Základní organizace Českého zahrádkářského svazu Jiráskův sad Zlín Letná</t>
  </si>
  <si>
    <t>Zlín, Na Honech II 4907, PSČ 76005</t>
  </si>
  <si>
    <t>Základní organizace Českého zahrádkářského svazu Karolinka</t>
  </si>
  <si>
    <t>Karolinka, Raťkov 293, PSČ 75605</t>
  </si>
  <si>
    <t>Základní organizace Českého zahrádkářského svazu Kelč</t>
  </si>
  <si>
    <t>Kelč 287, PSČ 75643</t>
  </si>
  <si>
    <t>Základní organizace Českého zahrádkářského svazu Kněžpole</t>
  </si>
  <si>
    <t>Základní organizace Českého zahrádkářského svazu Kočkov Zlín 4</t>
  </si>
  <si>
    <t>Zlín, Valachův žleb 4894, PSČ 76005</t>
  </si>
  <si>
    <t>Základní organizace Českého zahrádkářského svazu Kolektivní sad Kudlov Zlín</t>
  </si>
  <si>
    <t>Zlín, Kudlov 763, PSČ 76001</t>
  </si>
  <si>
    <t>Základní organizace Českého zahrádkářského svazu Koryčany</t>
  </si>
  <si>
    <t>Koryčany, Masarykova 629, PSČ 76805</t>
  </si>
  <si>
    <t>Základní organizace Českého zahrádkářského svazu Kosov I Příluky</t>
  </si>
  <si>
    <t>Zlín, Okružní 4726, PSČ 76005</t>
  </si>
  <si>
    <t>Základní organizace Českého zahrádkářského svazu Kosov II Příluky Zlín</t>
  </si>
  <si>
    <t>Zlín, M. Knesla 4028, PSČ 76001</t>
  </si>
  <si>
    <t>Základní organizace Českého zahrádkářského svazu Kostelany</t>
  </si>
  <si>
    <t>Kroměříž, Velehradská 3004/22, PSČ 76701</t>
  </si>
  <si>
    <t>Základní organizace Českého zahrádkářského svazu Košíky</t>
  </si>
  <si>
    <t>Košíky 153, PSČ 68704</t>
  </si>
  <si>
    <t>Základní organizace Českého zahrádkářského svazu Kotlí Velehrad</t>
  </si>
  <si>
    <t>Uherské Hradiště, Svatováclavská 906, PSČ 68601</t>
  </si>
  <si>
    <t>Základní organizace Českého zahrádkářského svazu Krhová</t>
  </si>
  <si>
    <t>Krhová, Pod Jehličnou 341, PSČ 75663</t>
  </si>
  <si>
    <t>Základní organizace Českého zahrádkářského svazu Křižná</t>
  </si>
  <si>
    <t>Valašské Meziříčí, Krásno nad Bečvou, Čajkovského 623/4, PSČ 75701</t>
  </si>
  <si>
    <t>Základní organizace Českého zahrádkářského svazu Kučovaniny - západ, Zlín - Malenovice</t>
  </si>
  <si>
    <t>Zlín, Malenovice, třída 3. května 805, PSČ 76302</t>
  </si>
  <si>
    <t>Základní organizace Českého zahrádkářského svazu Kudlovice</t>
  </si>
  <si>
    <t>Kudlovice 342, PSČ 68703</t>
  </si>
  <si>
    <t>Základní organizace Českého zahrádkářského svazu Kunovice</t>
  </si>
  <si>
    <t>Základní organizace Českého zahrádkářského svazu Kvasice</t>
  </si>
  <si>
    <t>Kvasice, Kroměřížská 625, PSČ 76821</t>
  </si>
  <si>
    <t>Základní organizace Českého zahrádkářského svazu Lešná</t>
  </si>
  <si>
    <t>Vsetín, Mládí 1558, PSČ 75501</t>
  </si>
  <si>
    <t>Základní organizace Českého zahrádkářského svazu Lidečko</t>
  </si>
  <si>
    <t>Lidečko 247, PSČ 75612</t>
  </si>
  <si>
    <t>Základní organizace Českého zahrádkářského svazu Lipová</t>
  </si>
  <si>
    <t>Lipová, 99</t>
  </si>
  <si>
    <t>Základní organizace Českého zahrádkářského svazu Loukov</t>
  </si>
  <si>
    <t>Základní organizace Českého zahrádkářského svazu Ludkovice</t>
  </si>
  <si>
    <t>Základní organizace Českého zahrádkářského svazu Luhačovice</t>
  </si>
  <si>
    <t>Základní organizace Českého zahrádkářského svazu Lukoveček - Fryšták</t>
  </si>
  <si>
    <t>Lukoveček, Mlýnská 26, PSČ 76316</t>
  </si>
  <si>
    <t>Základní organizace Českého zahrádkářského svazu Machová</t>
  </si>
  <si>
    <t>Základní organizace Českého zahrádkářského svazu Malenovice  město</t>
  </si>
  <si>
    <t>Zlín, Malenovice, Mlýnská 685, PSČ 76302</t>
  </si>
  <si>
    <t>Základní organizace Českého zahrádkářského svazu Malý Skalník Vsetín</t>
  </si>
  <si>
    <t>Vsetín, Ohrada 1849, PSČ 75501</t>
  </si>
  <si>
    <t>Základní organizace Českého zahrádkářského svazu Milovice</t>
  </si>
  <si>
    <t>Soběsuky, Milovice 13, PSČ 76802</t>
  </si>
  <si>
    <t>Základní organizace Českého zahrádkářského svazu Mistřice</t>
  </si>
  <si>
    <t>Mistřice 77, PSČ 68712</t>
  </si>
  <si>
    <t>Základní organizace Českého zahrádkářského svazu Míškovice</t>
  </si>
  <si>
    <t>Míškovice 96, PSČ 76852</t>
  </si>
  <si>
    <t>Základní organizace Českého zahrádkářského svazu Mladcová Zlín</t>
  </si>
  <si>
    <t>Zlín, Mladcová, Stráně 357, PSČ 76001</t>
  </si>
  <si>
    <t>Základní organizace Českého zahrádkářského svazu MOČIDLA</t>
  </si>
  <si>
    <t>Základní organizace Českého zahrádkářského svazu Modrá</t>
  </si>
  <si>
    <t>Modrá 96</t>
  </si>
  <si>
    <t>Základní organizace Českého zahrádkářského svazu, Mokrá  Zlín</t>
  </si>
  <si>
    <t>Zlín, Klabalská III 5632, PSČ 76001</t>
  </si>
  <si>
    <t>Základní organizace Českého zahrádkářského svazu Morkovice</t>
  </si>
  <si>
    <t>Základní organizace Českého zahrádkářského svazu Mrlínek</t>
  </si>
  <si>
    <t>Mrlínek 9, PSČ 76861</t>
  </si>
  <si>
    <t>Základní organizace Českého zahrádkářského svazu Na Kálavách Zlín 4</t>
  </si>
  <si>
    <t>Zlín, Voženílkova 5562, PSČ 76005</t>
  </si>
  <si>
    <t>Základní organizace Českého zahrádkářského svazu Na stráni Lužkovice</t>
  </si>
  <si>
    <t>Zlín, Lužkovice, Horní 56, PSČ 76311</t>
  </si>
  <si>
    <t>Základní organizace Českého zahrádkářského svazu Na Stráni Zlín-Kudlov</t>
  </si>
  <si>
    <t>Zlín, Malenovice, Tyršova 890, PSČ 76302</t>
  </si>
  <si>
    <t>Základní organizace Českého zahrádkářského svazu Na Vrše Jaroslavice</t>
  </si>
  <si>
    <t>Zlín, Beckovská 2687, PSČ 76001</t>
  </si>
  <si>
    <t>Základní organizace Českého zahrádkářského svazu Nad Rivierou Zlín - Malenovice</t>
  </si>
  <si>
    <t>Zlín, Javorová 4519, PSČ 76005</t>
  </si>
  <si>
    <t>Základní organizace Českého zahrádkářského svazu Napajedla</t>
  </si>
  <si>
    <t>Napajedla, Pod zahrádkama 1570</t>
  </si>
  <si>
    <t>Základní organizace Českého zahrádkářského svazu Nedakonice</t>
  </si>
  <si>
    <t>Nedakonice 453, PSČ 68738</t>
  </si>
  <si>
    <t>Základní organizace Českého zahrádkářského svazu Nedašova Lhota</t>
  </si>
  <si>
    <t>Základní organizace Českého zahrádkářského svazu Nivky Březnice</t>
  </si>
  <si>
    <t>Zlín, Mladcová, Mokrá II 290, PSČ 76001</t>
  </si>
  <si>
    <t>Základní organizace Českého zahrádkářského svazu Nivnice</t>
  </si>
  <si>
    <t>Nivnice, Brodská 900, PSČ 68751</t>
  </si>
  <si>
    <t>Základní organizace Českého zahrádkářského svazu Ořechov</t>
  </si>
  <si>
    <t>Ořechov 21, PSČ 68737</t>
  </si>
  <si>
    <t>Základní organizace Českého zahrádkářského svazu Osada Kramolišov Rožnov pod Radhoštěm</t>
  </si>
  <si>
    <t>Rožnov pod Radhoštěm, Kramolišov 2944, PSČ 75661</t>
  </si>
  <si>
    <t>Základní organizace Českého zahrádkářského svazu Osady Slavičín</t>
  </si>
  <si>
    <t>Základní organizace Českého zahrádkářského svazu Ostrožská Lhota</t>
  </si>
  <si>
    <t>Základní organizace Českého zahrádkářského svazu, Osvětimany</t>
  </si>
  <si>
    <t>Osvětimany 30, PSČ 68742</t>
  </si>
  <si>
    <t>Základní organizace Českého zahrádkářského svazu Otrokovice - Dubová</t>
  </si>
  <si>
    <t>Otrokovice, J. Jabůrkové 1405, PSČ 76502</t>
  </si>
  <si>
    <t>Základní organizace Českého zahrádkářského svazu Otrokovice Újezdy</t>
  </si>
  <si>
    <t>Základní organizace Českého zahrádkářského svazu Panorama V</t>
  </si>
  <si>
    <t>Základní organizace Českého zahrádkářského svazu Pitín</t>
  </si>
  <si>
    <t>Pitín 89, PSČ 68771</t>
  </si>
  <si>
    <t>Základní organizace Českého zahrádkářského svazu Pod Čupem Vsetín</t>
  </si>
  <si>
    <t>Vsetín, Rokytnice, Okružní 418, PSČ 75501</t>
  </si>
  <si>
    <t>Základní organizace Českého zahrádkářského svazu Pod hradem Zlín - Malenovice</t>
  </si>
  <si>
    <t>Zlín, U Trojáku 4585, PSČ 76005</t>
  </si>
  <si>
    <t>Základní organizace Českého zahrádkářského svazu Pod Salašem Zlín</t>
  </si>
  <si>
    <t>Zlín, Malenovice, Jar. Staši 1148, PSČ 76302</t>
  </si>
  <si>
    <t>Základní organizace Českého zahrádkářského svazu Pod Skalami Lukov</t>
  </si>
  <si>
    <t>Zlín, Zálešná II 3404, PSČ 76001</t>
  </si>
  <si>
    <t>Základní organizace Českého zahrádkářského svazu Pod svahy Uherské Hradiště</t>
  </si>
  <si>
    <t>Uherské Hradiště, Mařatice, Okružní 716, PSČ 68605</t>
  </si>
  <si>
    <t>Základní organizace Českého zahrádkářského svazu Pod zelenou cestou Uherské Hradiště</t>
  </si>
  <si>
    <t>Uherské Hradiště, Dukelských hrdinů 796, PSČ 68601</t>
  </si>
  <si>
    <t>Základní organizace Českého zahrádkářského svazu Poddubová Napajedla</t>
  </si>
  <si>
    <t>Otrokovice, Smetanova 1368, PSČ 76502</t>
  </si>
  <si>
    <t>Základní organizace Českého zahrádkářského svazu Podolí</t>
  </si>
  <si>
    <t>Základní organizace Českého zahrádkářského svazu Pohořelice</t>
  </si>
  <si>
    <t>Pohořelice, Močidla 206, PSČ 76361</t>
  </si>
  <si>
    <t>Základní organizace Českého zahrádkářského svazu Polešovice</t>
  </si>
  <si>
    <t>Polešovice č. ev. 34, PSČ 68737</t>
  </si>
  <si>
    <t>Základní organizace Českého zahrádkářského svazu Poličná</t>
  </si>
  <si>
    <t>Základní organizace Českého zahrádkářského svazu Popovice</t>
  </si>
  <si>
    <t>Popovice 185, PSČ 68604</t>
  </si>
  <si>
    <t>Základní organizace Českého zahrádkářského svazu Potoky Zlín</t>
  </si>
  <si>
    <t>Zlín, Na Požáře 2928, PSČ 76001</t>
  </si>
  <si>
    <t>Základní organizace Českého zahrádkářského svazu Potůčky II Vsetín</t>
  </si>
  <si>
    <t>Základní organizace Českého zahrádkářského svazu Prostřední Bečva</t>
  </si>
  <si>
    <t>Prostřední Bečva 104, PSČ 75656</t>
  </si>
  <si>
    <t>Základní organizace Českého zahrádkářského svazu Prusinovice</t>
  </si>
  <si>
    <t>Prusinovice, Plačkov 185, PSČ 76842</t>
  </si>
  <si>
    <t>Základní organizace Českého zahrádkářského svazu Přílepy</t>
  </si>
  <si>
    <t>Přílepy 260, PSČ 76901</t>
  </si>
  <si>
    <t>Základní organizace Českého zahrádkářského svazu Radovánky Otrokovice</t>
  </si>
  <si>
    <t>Otrokovice, Kvítkovice, SNP 1174, PSČ 76502</t>
  </si>
  <si>
    <t>Základní organizace Českého zahrádkářského svazu Rataje</t>
  </si>
  <si>
    <t>Rataje 137, PSČ 76812</t>
  </si>
  <si>
    <t>Základní organizace Českého zahrádkářského svazu Rokytnice Vsetín</t>
  </si>
  <si>
    <t>Základní organizace Českého zahrádkářského svazu Růžďka</t>
  </si>
  <si>
    <t>Růžďka 125, PSČ 75625</t>
  </si>
  <si>
    <t>Základní organizace Českého zahrádkářského svazu Rybárny Uherské Hradiště</t>
  </si>
  <si>
    <t>Uherské Hradiště, Prokopa Holého 733, PSČ 68606</t>
  </si>
  <si>
    <t>Základní organizace Českého zahrádkářského svazu Rybníky I Vsetín</t>
  </si>
  <si>
    <t>Základní organizace Českého zahrádkářského svazu Sad Burešov Zlín</t>
  </si>
  <si>
    <t>Zlín, Padělky VIII 3909, PSČ 76001</t>
  </si>
  <si>
    <t>Základní organizace Českého zahrádkářského svazu sad č.4 Březnice</t>
  </si>
  <si>
    <t>Zlín, Dlouhá 4217, PSČ 76001</t>
  </si>
  <si>
    <t>Základní organizace Českého zahrádkářského svazu Sad Mezilesí - Březnice Zlín</t>
  </si>
  <si>
    <t>Zlín, Santražiny 1624, PSČ 76001</t>
  </si>
  <si>
    <t>Základní organizace Českého zahrádkářského svazu Sad Míru Otrokovice</t>
  </si>
  <si>
    <t>Otrokovice, Kvítkovice, Padělky 337, PSČ 76502</t>
  </si>
  <si>
    <t>Základní organizace Českého zahrádkářského svazu Sady Prštné Zlín</t>
  </si>
  <si>
    <t>Hostišová, Hostišová - Horňák 49, PSČ 76301</t>
  </si>
  <si>
    <t>Základní organizace Českého zahrádkářského svazu Sady- Uherské Hradiště</t>
  </si>
  <si>
    <t>Základní organizace Českého zahrádkářského svazu Seninka</t>
  </si>
  <si>
    <t>Seninka 42, PSČ 75611</t>
  </si>
  <si>
    <t>Základní organizace Českého zahrádkářského svazu Slunečná Malenovice</t>
  </si>
  <si>
    <t>Zlín, Malenovice, Chelčického 824, PSČ 76302</t>
  </si>
  <si>
    <t>Základní organizace Českého zahrádkářského svazu Slušovice</t>
  </si>
  <si>
    <t>Slušovice, Školní 632, PSČ 76315</t>
  </si>
  <si>
    <t>Základní organizace Českého zahrádkářského svazu Spytihněv</t>
  </si>
  <si>
    <t>Spytihněv 214, PSČ 76364</t>
  </si>
  <si>
    <t>Základní organizace Českého zahrádkářského svazu Staré Město</t>
  </si>
  <si>
    <t>Staré Město, Hradišťská 89, PSČ 68603</t>
  </si>
  <si>
    <t>Základní organizace Českého zahrádkářského svazu "STAVBAŘ" Zlín</t>
  </si>
  <si>
    <t>Zlín, Kúty 1959, PSČ 76001</t>
  </si>
  <si>
    <t>Základní organizace Českého zahrádkářského svazu Stonky Uherské Hradiště</t>
  </si>
  <si>
    <t>Uherské Hradiště, Štěpnická 1086, PSČ 68606</t>
  </si>
  <si>
    <t>Základní organizace Českého zahrádkářského svazu Střelná</t>
  </si>
  <si>
    <t>Střelná 13, PSČ 75612</t>
  </si>
  <si>
    <t>Základní organizace Českého zahrádkářského svazu Šardica II Napajedla</t>
  </si>
  <si>
    <t>Napajedla, Nábřeží 1345, PSČ 76361</t>
  </si>
  <si>
    <t>Základní organizace Českého zahrádkářského svazu Špitálka Uherské Hradiště</t>
  </si>
  <si>
    <t>Uherské Hradiště, Velehradská třída 798, PSČ 68601</t>
  </si>
  <si>
    <t>Základní organizace Českého zahrádkářského svazu Štěpnice Uherské Hradiště</t>
  </si>
  <si>
    <t>Uherské Hradiště, Štěpnická 1095, PSČ 68606</t>
  </si>
  <si>
    <t>Základní organizace Českého zahrádkářského svazu Štítná nad Vláří Popov</t>
  </si>
  <si>
    <t>Štítná nad Vláří-Popov, Štítná nad Vláří 409, PSČ 76333</t>
  </si>
  <si>
    <t>Základní organizace Českého zahrádkářského svazu Tlumačov</t>
  </si>
  <si>
    <t>Tlumačov, Mánesova 774, PSČ 76362</t>
  </si>
  <si>
    <t>Základní organizace Českého zahrádkářského svazu Topolná</t>
  </si>
  <si>
    <t>Topolná 205, PSČ 68711</t>
  </si>
  <si>
    <t>Základní organizace Českého zahrádkářského svazu Traplice</t>
  </si>
  <si>
    <t>Traplice, Traplice 404</t>
  </si>
  <si>
    <t>Základní organizace Českého zahrádkářského svazu Trávník</t>
  </si>
  <si>
    <t>Základní organizace Českého zahrádkářského svazu Trnava</t>
  </si>
  <si>
    <t>Trnava 356, PSČ 76318</t>
  </si>
  <si>
    <t>Základní organizace Českého zahrádkářského svazu Třešňovka Uherské Hradiště</t>
  </si>
  <si>
    <t>Uherské Hradiště, Tř. Maršála Malinovského 936, PSČ 68601</t>
  </si>
  <si>
    <t>Základní organizace Českého zahrádkářského svazu Tupesy</t>
  </si>
  <si>
    <t>Tupesy 251, PSČ 68707</t>
  </si>
  <si>
    <t>Základní organizace Českého zahrádkářského svazu U Jabloné Zlín - Příluky</t>
  </si>
  <si>
    <t>Základní organizace Českého zahrádkářského svazu U rybníku Slavičín</t>
  </si>
  <si>
    <t>Slavičín, Okružní 593, PSČ 76321</t>
  </si>
  <si>
    <t>Základní organizace Českého zahrádkářského svazu U skansenu, Rožnov pod Radhoštěm</t>
  </si>
  <si>
    <t>Rožnov pod Radhoštěm, Partyzánská 1098, PSČ 75661</t>
  </si>
  <si>
    <t>Základní organizace Českého zahrádkářského svazu U Splavu Vsetín</t>
  </si>
  <si>
    <t>Vsetín, Sušilova 1329, PSČ 75501</t>
  </si>
  <si>
    <t>Základní organizace Českého zahrádkářského svazu Uherský Brod</t>
  </si>
  <si>
    <t>Uherský Brod, Močidla 2493, PSČ 68801</t>
  </si>
  <si>
    <t>Základní organizace Českého zahrádkářského svazu Uherský Ostroh</t>
  </si>
  <si>
    <t>Uherský Ostroh, Ostrožské Předměstí, Na Zámecké 834, PSČ 68724</t>
  </si>
  <si>
    <t>Základní organizace Českého zahrádkářského svazu Valašská Bystřice</t>
  </si>
  <si>
    <t>Základní organizace Českého zahrádkářského svazu Valašské Meziříčí - II.osada</t>
  </si>
  <si>
    <t>Valašské Meziříčí, Máchova 609/19, PSČ 75701</t>
  </si>
  <si>
    <t>Základní organizace Českého zahrádkářského svazu Valašské Meziříčí- Krásno</t>
  </si>
  <si>
    <t>Valašské Meziříčí, Krásno nad Bečvou, Nádražní 636/14, PSČ 75701</t>
  </si>
  <si>
    <t>Základní organizace Českého zahrádkářského svazu Valašské Meziříčí Potůčky</t>
  </si>
  <si>
    <t>Valašské Meziříčí, Krásno nad Bečvou, Sklářská 186, PSČ 75701</t>
  </si>
  <si>
    <t>Základní organizace Českého zahrádkářského svazu Vážany</t>
  </si>
  <si>
    <t>Základní organizace Českého zahrádkářského svazu Velký Ořechov</t>
  </si>
  <si>
    <t>Velký Ořechov 85, PSČ 76307</t>
  </si>
  <si>
    <t>Základní organizace Českého zahrádkářského svazu Vesník Klečůvka</t>
  </si>
  <si>
    <t>Zlín, Česká 4763, PSČ 76005</t>
  </si>
  <si>
    <t>Základní organizace Českého zahrádkářského svazu Vinohrádky, Zlín Mladcová</t>
  </si>
  <si>
    <t>Zlín, Polní 4574, PSČ 76005</t>
  </si>
  <si>
    <t>Základní organizace Českého zahrádkářského svazu Vítonice</t>
  </si>
  <si>
    <t>Vítonice 46, PSČ 76861</t>
  </si>
  <si>
    <t>Základní organizace Českého zahrádkářského svazu Vítová Fryšták</t>
  </si>
  <si>
    <t>Zlín, Příluky, Boněcko I 300, PSČ 76001</t>
  </si>
  <si>
    <t>Základní organizace Českého zahrádkářského svazu Vlachovice</t>
  </si>
  <si>
    <t>Vlachovice 338, PSČ 76324</t>
  </si>
  <si>
    <t>Základní organizace Českého zahrádkářského svazu Vlčková</t>
  </si>
  <si>
    <t>Vlčková 161, PSČ 76319</t>
  </si>
  <si>
    <t>Základní organizace Českého zahrádkářského svazu Vsetín - Amerika</t>
  </si>
  <si>
    <t>Základní organizace Českého zahrádkářského svazu Vsetín - Hanžlov</t>
  </si>
  <si>
    <t>Vsetín, Tichá 1790, PSČ 75501</t>
  </si>
  <si>
    <t>Základní organizace Českého zahrádkářského svazu Vsetín - Janišov</t>
  </si>
  <si>
    <t>Vsetín, Na Kopečku 8, PSČ 75501</t>
  </si>
  <si>
    <t>Základní organizace Českého zahrádkářského svazu Vsetín - Jasenice</t>
  </si>
  <si>
    <t>Vsetín, Bratří Hlaviců 121, PSČ 75501</t>
  </si>
  <si>
    <t>Základní organizace Českého zahrádkářského svazu Vsetín  Zbrojovka</t>
  </si>
  <si>
    <t>Vsetín, Rokytnice, Okružní 455, PSČ 75501</t>
  </si>
  <si>
    <t>Základní organizace Českého zahrádkářského svazu Vsetín Jasenka</t>
  </si>
  <si>
    <t>Vsetín, Horní Jasenka 267, PSČ 75501</t>
  </si>
  <si>
    <t>Základní organizace Českého zahrádkářského svazu Vsetín Luh, osada údolí Dlůhé - Vsetín</t>
  </si>
  <si>
    <t>Vsetín, Družstevní 1169, PSČ 75501</t>
  </si>
  <si>
    <t>Základní organizace Českého zahrádkářského svazu Vsetín MEZ</t>
  </si>
  <si>
    <t>Vsetín, Zelená 1505, PSČ 75501</t>
  </si>
  <si>
    <t>Základní organizace Českého zahrádkářského svazu Vsetín Rybníky II</t>
  </si>
  <si>
    <t>Vsetín, Družstevní 1180, PSČ 75501</t>
  </si>
  <si>
    <t>Základní organizace Českého zahrádkářského svazu Vsetín Tataláky</t>
  </si>
  <si>
    <t>Vsetín, Štěpánská 1882, PSČ 75501</t>
  </si>
  <si>
    <t>Základní organizace Českého zahrádkářského svazu Vsetín-Hluboké</t>
  </si>
  <si>
    <t>Vsetín, MUDr. Fr. Sovy, p.D.Procházková 65</t>
  </si>
  <si>
    <t>Základní organizace Českého zahrádkářského svazu, Za Díly Vsetín</t>
  </si>
  <si>
    <t>Vsetín, Bratří Hlaviců 100, PSČ 75501</t>
  </si>
  <si>
    <t>Základní organizace Českého zahrádkářského svazu "ZA DRAHOU" Val. Meziříčí</t>
  </si>
  <si>
    <t>Valašské Meziříčí, Za Drahou II č. ev. 37, PSČ 75701</t>
  </si>
  <si>
    <t>Základní organizace Českého zahrádkářského svazu Za kotelnou Uherské Hradiště</t>
  </si>
  <si>
    <t>Uherské Hradiště, Štěpnická 1077, PSČ 68606</t>
  </si>
  <si>
    <t>Základní organizace Českého zahrádkářského svazu Zádveřice - Raková</t>
  </si>
  <si>
    <t>Zlín, Santražiny 343, PSČ 76001</t>
  </si>
  <si>
    <t>Základní organizace Českého zahrádkářského svazu Záhorovice</t>
  </si>
  <si>
    <t>Záhorovice 12, PSČ 68771</t>
  </si>
  <si>
    <t>Základní organizace Českého zahrádkářského svazu Zborovice</t>
  </si>
  <si>
    <t>Základní organizace Českého zahrádkářského svazu Zdounky</t>
  </si>
  <si>
    <t>Zborovice, Nerudova 142, PSČ 76832</t>
  </si>
  <si>
    <t>Základní organizace Českého zahrádkářského svazu Zlechov</t>
  </si>
  <si>
    <t>Zlechov 5</t>
  </si>
  <si>
    <t>Základní organizace Českého zahrádkářského svazu Zlín Příluky</t>
  </si>
  <si>
    <t>Základní organizace Českého zahrádkářského svazu Zubersko Rožnov pod Radhoštěm</t>
  </si>
  <si>
    <t>Základní organizace Českého zahrádkářského svazu Zubří</t>
  </si>
  <si>
    <t>Základní organizace Českého zahrádkářského svazu Žalkovice</t>
  </si>
  <si>
    <t>Základní organizace Českého zahrádkářského svazu ŽLUTAVA</t>
  </si>
  <si>
    <t>Žlutava 10, PSČ 76361</t>
  </si>
  <si>
    <t>Základní organizace Českého zahrádkářského svazu Žlutava Kozinec</t>
  </si>
  <si>
    <t>Otrokovice, Nádražní 1401, PSČ 76502</t>
  </si>
  <si>
    <t>Základní organizace Českého zahrádkářského svazu 3.osada Valašské Meziříčí</t>
  </si>
  <si>
    <t>Valašské Meziříčí, Zdeňka Fibicha 1208, PSČ 75701</t>
  </si>
  <si>
    <t>Základní organizace ČSOP PANTOFLÍČEK</t>
  </si>
  <si>
    <t>Slavkov 47, PSČ 68764</t>
  </si>
  <si>
    <t>Základní organizace ČSŽ - Spolek rožnovských žen</t>
  </si>
  <si>
    <t>Základní organizace ČSŽ Ludslavice</t>
  </si>
  <si>
    <t>Základní organizace ČSŽ Počenice</t>
  </si>
  <si>
    <t>Základní organizace Občanského sdružení Romů</t>
  </si>
  <si>
    <t>Zlín, Obeciny 2992, PSČ 76001</t>
  </si>
  <si>
    <t>Základní škola Sedmikráska, o.p.s.</t>
  </si>
  <si>
    <t>Sekundární vzdělávání</t>
  </si>
  <si>
    <t>Základní umělecká škola B-Art, o.p.s.</t>
  </si>
  <si>
    <t>Zašová 43, PSČ 75651</t>
  </si>
  <si>
    <t>Zálesák - středisko Buchlovice, pobočný spolek</t>
  </si>
  <si>
    <t>ZÁLESÁK - středisko Zlín, pobočný spolek</t>
  </si>
  <si>
    <t>Zaleta, z.s.</t>
  </si>
  <si>
    <t>Zlín, Zálešná IX 5824, PSČ 76001</t>
  </si>
  <si>
    <t>Zámecký park Koryčany o.p.s.</t>
  </si>
  <si>
    <t>Koryčany, Zámecká 65, PSČ 76805</t>
  </si>
  <si>
    <t>Zámecký spolek Liptál</t>
  </si>
  <si>
    <t>Zámek Nový Světlov, z.ú.</t>
  </si>
  <si>
    <t>Bojkovice, Světlov 291, PSČ 68771</t>
  </si>
  <si>
    <t>Činnosti botanických a zoologických zahrad, přírodních rezervací a národních parků</t>
  </si>
  <si>
    <t>Zámek Uhřice, z.s.</t>
  </si>
  <si>
    <t>Uhřice 18, PSČ 76833</t>
  </si>
  <si>
    <t>ZAMHL z.s.</t>
  </si>
  <si>
    <t>Otrokovice, Janáčkova 1837, PSČ 76502</t>
  </si>
  <si>
    <t>Zapsaný ústav sportu a volného času Kroměříž</t>
  </si>
  <si>
    <t>Zapsaný ústav WACOA</t>
  </si>
  <si>
    <t>Halenkov 173, PSČ 75603</t>
  </si>
  <si>
    <t>ZARÁMÍ ZLÍN z.s.</t>
  </si>
  <si>
    <t>Záraza, z. s.</t>
  </si>
  <si>
    <t>Podolí 188, PSČ 68604</t>
  </si>
  <si>
    <t>ZASTÁVKA - spolek pro kulturu a vzdělanost na Bystřičce</t>
  </si>
  <si>
    <t>Bystřička 385, PSČ 75624</t>
  </si>
  <si>
    <t>Zašovjanka, dechová hudba, z.s.</t>
  </si>
  <si>
    <t>Zašová 569, PSČ 75651</t>
  </si>
  <si>
    <t>ZAŠOVŠTÍ RYBÁŘI, z.s.</t>
  </si>
  <si>
    <t>Zašová 571, PSČ 75651</t>
  </si>
  <si>
    <t>Sladkovodní rybolov</t>
  </si>
  <si>
    <t>Zatoulané štěstí, z. s.</t>
  </si>
  <si>
    <t>Kroměříž, Kojetínská 1175/42, PSČ 76701</t>
  </si>
  <si>
    <t>Zažít Valmez Jinak z. s.</t>
  </si>
  <si>
    <t>Zdounečanka, z. s.</t>
  </si>
  <si>
    <t>Zdravá Bečva z. s.</t>
  </si>
  <si>
    <t>Vsetín, Sušilova 1331, PSČ 75501</t>
  </si>
  <si>
    <t>Zdravá iniciativa z.s. Pravčice</t>
  </si>
  <si>
    <t>Pravčice 111, PSČ 76824</t>
  </si>
  <si>
    <t>Zdravé město</t>
  </si>
  <si>
    <t>Uherský Brod, Zahradní 1056, PSČ 68801</t>
  </si>
  <si>
    <t>Zdravé tlapky v pohybu z.s.</t>
  </si>
  <si>
    <t>Růžďka 119, PSČ 75625</t>
  </si>
  <si>
    <t>Z-dravé ženy, z.s.</t>
  </si>
  <si>
    <t>Tečovice 339, PSČ 76302</t>
  </si>
  <si>
    <t>Zdravější Vsetín a Střední Morava z.s.</t>
  </si>
  <si>
    <t>Zdravotnická škola Zlín, z.s.</t>
  </si>
  <si>
    <t>Zlín, Příluky, Broučkova 372, PSČ 76001</t>
  </si>
  <si>
    <t>"ZDRAVÝ DOMOV - vzdělávací centrum"</t>
  </si>
  <si>
    <t>Zdravý Rožnov, z.s.</t>
  </si>
  <si>
    <t>Rožnov pod Radhoštěm, Habrová 2295, PSČ 75661</t>
  </si>
  <si>
    <t>Zelená dětem, z.s.</t>
  </si>
  <si>
    <t>Bezměrov 20, PSČ 76701</t>
  </si>
  <si>
    <t>"Zelená Morava, o.s."</t>
  </si>
  <si>
    <t>Zlín, Práce 2512</t>
  </si>
  <si>
    <t>Zelená pro občany z.s.</t>
  </si>
  <si>
    <t>Zelené bydlení, z.s.</t>
  </si>
  <si>
    <t>Zlín, Chlum 41, PSČ 76302</t>
  </si>
  <si>
    <t>Země Pampaedie</t>
  </si>
  <si>
    <t>pošta Medlovice, Hostějov 3</t>
  </si>
  <si>
    <t>Zemětoč, z.s.</t>
  </si>
  <si>
    <t>Uherský Brod, Komenského 118, PSČ 68801</t>
  </si>
  <si>
    <t>ZHorDol z. s.</t>
  </si>
  <si>
    <t>Dolní Bečva 686, PSČ 75655</t>
  </si>
  <si>
    <t>ziSki race z.s.</t>
  </si>
  <si>
    <t>Uherské Hradiště, Mařatice, Příčná I. 761, PSČ 68605</t>
  </si>
  <si>
    <t>ZK Development Agency, o.s.</t>
  </si>
  <si>
    <t>Uherský Brod, Na Láně 1968, PSČ 68801</t>
  </si>
  <si>
    <t>ZKK-centrum Růžďka, z.s.</t>
  </si>
  <si>
    <t>ZKOLA-CZ, z. s.</t>
  </si>
  <si>
    <t>ZL CYCLING, z. s.</t>
  </si>
  <si>
    <t>Vizovice, 3. května 1281, PSČ 76312</t>
  </si>
  <si>
    <t>Zlámaňan, z.s.</t>
  </si>
  <si>
    <t>Zlatý standard, o.s.</t>
  </si>
  <si>
    <t>Valašské Klobouky, Cyrilometodějská 212, PSČ 76601</t>
  </si>
  <si>
    <t>Zlín letecko modelářský klub 1 p.s.</t>
  </si>
  <si>
    <t>Zlín, Příluky, Měsíční 579, PSČ 76001</t>
  </si>
  <si>
    <t>Zlín motorsport</t>
  </si>
  <si>
    <t>Zlín, 246</t>
  </si>
  <si>
    <t>Zlin tennis academy z.s.</t>
  </si>
  <si>
    <t>Zlín, U Trojáku 4604, PSČ 76005</t>
  </si>
  <si>
    <t>Zlín.AI z.s.</t>
  </si>
  <si>
    <t>Luhačovice, Hrazanská 769, PSČ 76326</t>
  </si>
  <si>
    <t>Zlinmed - sdružení pro zdravotníky</t>
  </si>
  <si>
    <t>Zlínská astronomická společnost, z.s.</t>
  </si>
  <si>
    <t>Zlín, Lesní čtvrť III 5443, PSČ 76001</t>
  </si>
  <si>
    <t>Zlínská krajská asociace Sport pro všechny</t>
  </si>
  <si>
    <t>Holešov, Národních bojovníků 1016/12, PSČ 76901</t>
  </si>
  <si>
    <t>ZLÍNSKÁ KRAJSKÁ ORGANIZACE ČUS</t>
  </si>
  <si>
    <t>Zlínská křižovatka, z. s.</t>
  </si>
  <si>
    <t>Zlín, Podlesí II 5609, PSČ 76005</t>
  </si>
  <si>
    <t>Zlínská liga železných hasičů z.s.</t>
  </si>
  <si>
    <t>Zlínská literární tržnice, z.s.</t>
  </si>
  <si>
    <t>Zlínská soukromá vyšší odborná škola umění, o.p.s.</t>
  </si>
  <si>
    <t>Zlín, Dřevnická 1788, PSČ 76001</t>
  </si>
  <si>
    <t>Terciární vzdělávání</t>
  </si>
  <si>
    <t>Zlínská sportovní akademie karate, z.s.</t>
  </si>
  <si>
    <t>Kroměříž, Spáčilova 3544/56, PSČ 76701</t>
  </si>
  <si>
    <t>Zlínská šermířská společnost, z.s.</t>
  </si>
  <si>
    <t>Zlín, Štefánikova 2193, PSČ 76001</t>
  </si>
  <si>
    <t>Zlínské aplikované sporty z. s.</t>
  </si>
  <si>
    <t>Zlín, M. Knesla 4056, PSČ 76001</t>
  </si>
  <si>
    <t>Zlínské genetické centrum z.s.</t>
  </si>
  <si>
    <t>Zlínské podhoubí z.s.</t>
  </si>
  <si>
    <t>"Zlínský klub pohybových aktivit, o. s."</t>
  </si>
  <si>
    <t>Zlín, Tyršovo nábřeží 192, PSČ 76001</t>
  </si>
  <si>
    <t>Zlínský krajský atletický svaz</t>
  </si>
  <si>
    <t>Zlínský krajský fotbalový svaz</t>
  </si>
  <si>
    <t>Zlínský krajský kuželkářský svaz ČKBF</t>
  </si>
  <si>
    <t>Zlínský krajský svaz ČAK, z.s.</t>
  </si>
  <si>
    <t>Zlínský krajský svaz ČSOS</t>
  </si>
  <si>
    <t>Zlínský krajský svaz futsalu</t>
  </si>
  <si>
    <t>Lhota u Vsetína 36, PSČ 75501</t>
  </si>
  <si>
    <t>Zlínský krajský svaz stolního tenisu, z.s.</t>
  </si>
  <si>
    <t>Zlínský krajský svaz vzpírání z.s.</t>
  </si>
  <si>
    <t>Kurovice 86, PSČ 76852</t>
  </si>
  <si>
    <t>Zlínský krajský štáb sálového fotbalu</t>
  </si>
  <si>
    <t>Zlín, Sokolská 3925, PSČ 76001</t>
  </si>
  <si>
    <t>Zlínský kreativní klastr, z.s.</t>
  </si>
  <si>
    <t>Zlín, Univerzitní 2431, PSČ 76001</t>
  </si>
  <si>
    <t>Zlínský plavecký klub, z.s.</t>
  </si>
  <si>
    <t>Zlín, Štípa, Zámecká 333, PSČ 76314</t>
  </si>
  <si>
    <t>Zlínský rybářský spolek</t>
  </si>
  <si>
    <t>„Zlínský spolek přátel dopravy, o.s.”</t>
  </si>
  <si>
    <t>Zlínský spolek přátel trolejbusové dopravy, o.s.</t>
  </si>
  <si>
    <t>Otrokovice, Kvítkovice, Hlavní 1249, PSČ 76502</t>
  </si>
  <si>
    <t>Zlínský zámek o.p.s.</t>
  </si>
  <si>
    <t>Zlín, Soudní 1, PSČ 76001</t>
  </si>
  <si>
    <t>Zlínští rozhněvaní a naštvaní občané (ZRNO), o.s.</t>
  </si>
  <si>
    <t>ZLK Zlínsport, z.s.</t>
  </si>
  <si>
    <t>Lípa 151, PSČ 76311</t>
  </si>
  <si>
    <t>ZO ČSOP Buchlovice</t>
  </si>
  <si>
    <t>Buchlovice, Hradišťská 623, PSČ 68708</t>
  </si>
  <si>
    <t>ZO ČSOP DIVOKY</t>
  </si>
  <si>
    <t>Zdounky, Divoky 45, PSČ 76802</t>
  </si>
  <si>
    <t>ZO ČSOP Ekocentrum Čtyřlístek</t>
  </si>
  <si>
    <t>Zlín, Zálešná III 1147/52, PSČ 76001</t>
  </si>
  <si>
    <t>ZO ČSOP Hošťálková</t>
  </si>
  <si>
    <t>Hošťálková 10, PSČ 75622</t>
  </si>
  <si>
    <t>ZO ČSOP Jalovec</t>
  </si>
  <si>
    <t>Horní Němčí 316, PSČ 68764</t>
  </si>
  <si>
    <t>ZO ČSOP KORYČANY</t>
  </si>
  <si>
    <t>Koryčany, Náměstí 29, PSČ 76805</t>
  </si>
  <si>
    <t>ZO ČSOP KOSENKA</t>
  </si>
  <si>
    <t>ZO ČSOP Orchidea Valašsko</t>
  </si>
  <si>
    <t>Valašská Bystřice 185, PSČ 75627</t>
  </si>
  <si>
    <t>ZO ČSOP PORTÁŠ Jasenná</t>
  </si>
  <si>
    <t>Jasenná, 246</t>
  </si>
  <si>
    <t>ZO ČSOP Radhošť</t>
  </si>
  <si>
    <t>Rožnov pod Radhoštěm, Láz 2287, PSČ 75661</t>
  </si>
  <si>
    <t>ZO ČSOP Slavičín 57/04</t>
  </si>
  <si>
    <t>Slavičín, U Zahrádek 480, PSČ 76321</t>
  </si>
  <si>
    <t>ZO ČSOP SLOVÁCKÁ KRAJINA Hradčovice</t>
  </si>
  <si>
    <t>Hradčovice 257, PSČ 68733</t>
  </si>
  <si>
    <t>ZO ČSOP Uherskohradišťsko</t>
  </si>
  <si>
    <t>Drslavice 18, PSČ 68733</t>
  </si>
  <si>
    <t>ZO ČSOP VIA Hulín</t>
  </si>
  <si>
    <t>Hulín, Hviezdoslavova 640, PSČ 76824</t>
  </si>
  <si>
    <t>ZO ČSOP Zelené údolí u Doubrav</t>
  </si>
  <si>
    <t>Doubravy 41, PSČ 76345</t>
  </si>
  <si>
    <t>ZO ČSOP 63/01 Centaurea</t>
  </si>
  <si>
    <t>Uherský Brod, Okružní 1542, PSČ 68801</t>
  </si>
  <si>
    <t>ZO ČSOP 63/08 Rochůs</t>
  </si>
  <si>
    <t>ZO ČSOP 63/14 Jadernička</t>
  </si>
  <si>
    <t>Rudimov 91, PSČ 76321</t>
  </si>
  <si>
    <t>ZO ČSOP 76/04 JASENICE</t>
  </si>
  <si>
    <t>Lešná, 8E</t>
  </si>
  <si>
    <t>ZO ČSOP 76/17 JAVORNÍČEK</t>
  </si>
  <si>
    <t>Valašské Meziříčí, Podlesí 32, PSČ 75701</t>
  </si>
  <si>
    <t>ZO ČSOP 76/21 VARTOVNA LIPTÁL</t>
  </si>
  <si>
    <t>Liptál 398, PSČ 75631</t>
  </si>
  <si>
    <t>ZO ČSŽ Rudice</t>
  </si>
  <si>
    <t>Rudice 205, PSČ 68732</t>
  </si>
  <si>
    <t>ZO Sdružení technických sportů a činností Boršice u Blatnice, z.s.</t>
  </si>
  <si>
    <t>Boršice u Blatnice 383, PSČ 68763</t>
  </si>
  <si>
    <t>ZO 60/03 Planorbis ČSOP Kroměříž</t>
  </si>
  <si>
    <t>Zpívám pro dobrou věc z. s.</t>
  </si>
  <si>
    <t>Rožnov pod Radhoštěm, Dolní Paseky 978, PSČ 75661</t>
  </si>
  <si>
    <t>z.s. MORRIGAN, společnost přátel historie</t>
  </si>
  <si>
    <t>Staré Město, Bratří Mrštíků 1598, PSČ 68603</t>
  </si>
  <si>
    <t>z.s. Motokros Strání</t>
  </si>
  <si>
    <t>z.s. Paintball Klub Halenkovice</t>
  </si>
  <si>
    <t>Halenkovice 691, PSČ 76363</t>
  </si>
  <si>
    <t>z.s. Sportovní unie policie Uherské Hradiště</t>
  </si>
  <si>
    <t>ZŠ Křižná - nadační fond</t>
  </si>
  <si>
    <t>Valašské Meziříčí, Krásno nad Bečvou, Křižná 167, PSČ 75701</t>
  </si>
  <si>
    <t>ZŠ Žerotínova - nadační fond</t>
  </si>
  <si>
    <t>Zubřík, z.s.</t>
  </si>
  <si>
    <t>Zvelebovací spolek Růžďka</t>
  </si>
  <si>
    <t>Růžďka 19, PSČ 75625</t>
  </si>
  <si>
    <t>ZVONIČKA V KRHOVÉ z. s.</t>
  </si>
  <si>
    <t>Krhová, Zahájenka 129, PSČ 75663</t>
  </si>
  <si>
    <t>Zvonky Dobré zprávy z.s.</t>
  </si>
  <si>
    <t>ŽABATOUR</t>
  </si>
  <si>
    <t>Holešov, nám. Dr. Beneše 24</t>
  </si>
  <si>
    <t>Ženský pěvecký folklorní soubor LIPUŠE z.s.</t>
  </si>
  <si>
    <t>Ženský pěvecký sbor Karlovjanky, z.s.</t>
  </si>
  <si>
    <t>Velké Karlovice 999, PSČ 75606</t>
  </si>
  <si>
    <t>Ženský pěvecký sbor Nedakoňské srnky, z.s.</t>
  </si>
  <si>
    <t>Nedakonice 450, PSČ 68738</t>
  </si>
  <si>
    <t>Ženský pěvecký sbor Otrokovice, z. s.</t>
  </si>
  <si>
    <t>Otrokovice, Prostřední 423, PSČ 76502</t>
  </si>
  <si>
    <t>Ženský sbor Nedachlebjanky, spolek</t>
  </si>
  <si>
    <t>Ženský sbor z Kudlovic, z.s.</t>
  </si>
  <si>
    <t>Ženy bez puntíku z.s.</t>
  </si>
  <si>
    <t>Police 185, PSČ 75644</t>
  </si>
  <si>
    <t>"Ženy Blazice"</t>
  </si>
  <si>
    <t>Blazice 6, p. Bystřice pod Hostýnem</t>
  </si>
  <si>
    <t>Ženy Ludslavice spolek</t>
  </si>
  <si>
    <t>Ženy Rajnochovice z.s.</t>
  </si>
  <si>
    <t>Žerotínova o.s.</t>
  </si>
  <si>
    <t>Valašské Meziříčí, Žerotínova 212, PSČ 75701</t>
  </si>
  <si>
    <t>Žigulik</t>
  </si>
  <si>
    <t>Žij s úsměvem o.s.</t>
  </si>
  <si>
    <t>Živé Jalubí, z. s.</t>
  </si>
  <si>
    <t>Jalubí 626, PSČ 68705</t>
  </si>
  <si>
    <t>Živé Paseky, z.s.</t>
  </si>
  <si>
    <t>Živnostenské společenstvo autoškol Zlín</t>
  </si>
  <si>
    <t>Život na venkově, o.s.</t>
  </si>
  <si>
    <t>Rajnochovice 275, PSČ 76871</t>
  </si>
  <si>
    <t>Život pro děti</t>
  </si>
  <si>
    <t>Kunovice, Na Dolině 921, PSČ 68604</t>
  </si>
  <si>
    <t>ŽIVOTEM ZVESELA, z.s.</t>
  </si>
  <si>
    <t>Fryšták, Dolní Ves, Žabárna 247, PSČ 76316</t>
  </si>
  <si>
    <t>Životní prostředí, z. s.</t>
  </si>
  <si>
    <t>Zlín, Zálešná II 3251, PSČ 76001</t>
  </si>
  <si>
    <t>Žíznivé saně z. s.</t>
  </si>
  <si>
    <t>Žlutomodří z.s.</t>
  </si>
  <si>
    <t>1. AC Uherský Brod, z.s.</t>
  </si>
  <si>
    <t>1. Biglesova stíhací peruť z.s.</t>
  </si>
  <si>
    <t>Bystřička 176, PSČ 75624</t>
  </si>
  <si>
    <t>1. DGC Bystřice pod Hostýnem, z.s.</t>
  </si>
  <si>
    <t>1. FbC BEDEA Kroměříž</t>
  </si>
  <si>
    <t>Vejvanovského 466, Kroměříž</t>
  </si>
  <si>
    <t>1. FBK Rožnov pod Radhoštěm, z.s.</t>
  </si>
  <si>
    <t>1. FC Kychová, z.s.</t>
  </si>
  <si>
    <t>Huslenky 496, PSČ 75602</t>
  </si>
  <si>
    <t>1. FC NEUBUZ, z.s.</t>
  </si>
  <si>
    <t>1. FC POLEŠOVICE, z.s.</t>
  </si>
  <si>
    <t>Polešovice 32, PSČ 68737</t>
  </si>
  <si>
    <t>1. hokejová akademie</t>
  </si>
  <si>
    <t>Valašské Meziříčí, Zdeňka Fibicha 1206, PSČ 75701</t>
  </si>
  <si>
    <t>1. SK Metropol Podkopná Lhota, z.s.</t>
  </si>
  <si>
    <t>1. Sportovní Trnavský Spolek</t>
  </si>
  <si>
    <t>Trnava 385, PSČ 76318</t>
  </si>
  <si>
    <t>1. turistický oddíl Hrnčíře</t>
  </si>
  <si>
    <t>Jalubí 365, PSČ 68705</t>
  </si>
  <si>
    <t>1. Uherskobrodská lesní mateřská školka, z.s.</t>
  </si>
  <si>
    <t>Bánov 295, PSČ 68754</t>
  </si>
  <si>
    <t>1. ZO ČSOP Valašské Meziříčí</t>
  </si>
  <si>
    <t>1AS, z.s.</t>
  </si>
  <si>
    <t>Uherský Brod, Hradišťská 2612, PSČ 68801</t>
  </si>
  <si>
    <t>1.FC Štěpnice</t>
  </si>
  <si>
    <t>Uherské Hradiště, Rybárny, Mazůrkova 163, PSČ 68601</t>
  </si>
  <si>
    <t>1.FC Zlín o.s.</t>
  </si>
  <si>
    <t>Zlín, Benešovo nábřeží 3951, PSČ 76001</t>
  </si>
  <si>
    <t>10nis+, občanské sdružení</t>
  </si>
  <si>
    <t>Uherské Hradiště, Na Vyhlídce 1370</t>
  </si>
  <si>
    <t>10th Mountain Division, Klub vojenské historie</t>
  </si>
  <si>
    <t>Bánov 61, PSČ 68754</t>
  </si>
  <si>
    <t>13.Přední hlídka Royal Rangers v ČR</t>
  </si>
  <si>
    <t>Nivnice, náměstí Míru 144, PSČ 68751</t>
  </si>
  <si>
    <t>2M Life z.s.</t>
  </si>
  <si>
    <t>Kroměříž, Myslbekova 2430/34, PSČ 76701</t>
  </si>
  <si>
    <t>23. Přední hlídka Royal Rangers v ČR</t>
  </si>
  <si>
    <t>Zlín, Podvesná XIV 1458, PSČ 76001</t>
  </si>
  <si>
    <t>234. pěší prapor - klub vojenské historie a současnosti z. s.</t>
  </si>
  <si>
    <t>3. přední hlídka Royal Rangers Valašsko</t>
  </si>
  <si>
    <t>3&amp;M.spolek</t>
  </si>
  <si>
    <t>39. přední hlídka Royal Rangers v Kašavě</t>
  </si>
  <si>
    <t>Kašava 192, PSČ 76319</t>
  </si>
  <si>
    <t>4 Uši, z. s.</t>
  </si>
  <si>
    <t>Jablůnka 86, PSČ 75623</t>
  </si>
  <si>
    <t>4xS (Sdružení sochařského symposia ve Slavičíně)</t>
  </si>
  <si>
    <t>8. přední hlídka Royal Rangers Zlín</t>
  </si>
  <si>
    <t>„97 Racing”</t>
  </si>
  <si>
    <t>Rožnov pod Radhoštěm, Palackého 204, PSČ 75661</t>
  </si>
  <si>
    <t>Název</t>
  </si>
  <si>
    <t>Právní forma</t>
  </si>
  <si>
    <t xml:space="preserve">Okres </t>
  </si>
  <si>
    <t xml:space="preserve">Obec </t>
  </si>
  <si>
    <t>Seznam nestátních neziskových organizací se sídlem ve Zlínském kraji k  1.6.2025</t>
  </si>
  <si>
    <t>Celkový součet</t>
  </si>
  <si>
    <t xml:space="preserve">Počet </t>
  </si>
  <si>
    <t>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</si>
</sst>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NumberFormat="1" applyFill="1" applyBorder="1"/>
  </cellXfs>
  <cellStyles count="1">
    <cellStyle name="Normální" xfId="0" builtinId="0"/>
  </cellStyles>
  <dxfs count="74"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pečná Karla" refreshedDate="45828.455619791668" createdVersion="8" refreshedVersion="8" minRefreshableVersion="3" recordCount="6587" xr:uid="{B41016AD-4D71-4F43-BB33-AD494CDB772F}">
  <cacheSource type="worksheet">
    <worksheetSource ref="A3:Z6590" sheet="VŠE"/>
  </cacheSource>
  <cacheFields count="26">
    <cacheField name="IČO" numFmtId="0">
      <sharedItems containsMixedTypes="1" containsNumber="1" containsInteger="1" minValue="67006809" maxValue="67006809"/>
    </cacheField>
    <cacheField name="Název" numFmtId="0">
      <sharedItems/>
    </cacheField>
    <cacheField name="Právní forma" numFmtId="0">
      <sharedItems/>
    </cacheField>
    <cacheField name="Právní forma2" numFmtId="0">
      <sharedItems count="9">
        <s v="Pobočný spolek"/>
        <s v="Spolek"/>
        <s v="Obecně prospěšná společnost"/>
        <s v="Ústav"/>
        <s v="Organizační jednotka mezinárodní nevládní organizace"/>
        <s v="Evidované církevní právnické osoby"/>
        <s v="Nadační fond"/>
        <s v="Nadace"/>
        <s v="Církve a náboženské společnosti"/>
      </sharedItems>
    </cacheField>
    <cacheField name="Okres " numFmtId="0">
      <sharedItems count="4">
        <s v="Zlín"/>
        <s v="Vsetín"/>
        <s v="Uherské Hradiště"/>
        <s v="Kroměříž"/>
      </sharedItems>
    </cacheField>
    <cacheField name="Obec " numFmtId="0">
      <sharedItems/>
    </cacheField>
    <cacheField name="Adresa sídla" numFmtId="0">
      <sharedItems/>
    </cacheField>
    <cacheField name="Hlavní ekonomická činnost (CZ NACE) (kód)" numFmtId="0">
      <sharedItems/>
    </cacheField>
    <cacheField name="Hlavní ekonomická činnost (CZ NACE) (název)" numFmtId="0">
      <sharedItems/>
    </cacheField>
    <cacheField name="Ostatní ekonomické činnosti (CZ NACE) (název) (1)" numFmtId="0">
      <sharedItems containsBlank="1"/>
    </cacheField>
    <cacheField name="Ostatní ekonomické činnosti (CZ NACE) (název) (2)" numFmtId="0">
      <sharedItems containsBlank="1"/>
    </cacheField>
    <cacheField name="Ostatní ekonomické činnosti (CZ NACE) (název) (3)" numFmtId="0">
      <sharedItems containsBlank="1"/>
    </cacheField>
    <cacheField name="Ostatní ekonomické činnosti (CZ NACE) (název) (4)" numFmtId="0">
      <sharedItems containsBlank="1"/>
    </cacheField>
    <cacheField name="Ostatní ekonomické činnosti (CZ NACE) (název) (5)" numFmtId="0">
      <sharedItems containsBlank="1"/>
    </cacheField>
    <cacheField name="Ostatní ekonomické činnosti (CZ NACE) (název) (6)" numFmtId="0">
      <sharedItems containsBlank="1"/>
    </cacheField>
    <cacheField name="Ostatní ekonomické činnosti (CZ NACE) (název) (7)" numFmtId="0">
      <sharedItems containsBlank="1"/>
    </cacheField>
    <cacheField name="Ostatní ekonomické činnosti (CZ NACE) (název) (8)" numFmtId="0">
      <sharedItems containsBlank="1"/>
    </cacheField>
    <cacheField name="Ostatní ekonomické činnosti (CZ NACE) (název) (9)" numFmtId="0">
      <sharedItems containsBlank="1"/>
    </cacheField>
    <cacheField name="Ostatní ekonomické činnosti (CZ NACE) (název) (10)" numFmtId="0">
      <sharedItems containsBlank="1"/>
    </cacheField>
    <cacheField name="Ostatní ekonomické činnosti (CZ NACE) (název) (11)" numFmtId="0">
      <sharedItems containsBlank="1"/>
    </cacheField>
    <cacheField name="Ostatní ekonomické činnosti (CZ NACE) (název) (12)" numFmtId="0">
      <sharedItems containsBlank="1"/>
    </cacheField>
    <cacheField name="Ostatní ekonomické činnosti (CZ NACE) (název) (13)" numFmtId="0">
      <sharedItems containsBlank="1"/>
    </cacheField>
    <cacheField name="Ostatní ekonomické činnosti (CZ NACE) (kód) (14)" numFmtId="0">
      <sharedItems containsBlank="1"/>
    </cacheField>
    <cacheField name="Ostatní ekonomické činnosti (CZ NACE) (název) (14)" numFmtId="0">
      <sharedItems containsBlank="1"/>
    </cacheField>
    <cacheField name="Ostatní ekonomické činnosti (CZ NACE) (kód) (15)" numFmtId="0">
      <sharedItems containsBlank="1"/>
    </cacheField>
    <cacheField name="Ostatní ekonomické činnosti (CZ NACE) (název) (15)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87">
  <r>
    <n v="67006809"/>
    <s v="A P Motorsport"/>
    <s v="736"/>
    <x v="0"/>
    <x v="0"/>
    <s v="Otrokovice"/>
    <s v="Otrokovice, Moravní 661"/>
    <s v="931"/>
    <s v="Sportovní činnosti"/>
    <m/>
    <m/>
    <m/>
    <m/>
    <m/>
    <m/>
    <m/>
    <m/>
    <m/>
    <m/>
    <m/>
    <m/>
    <m/>
    <m/>
    <m/>
    <m/>
    <m/>
  </r>
  <r>
    <s v="26545977"/>
    <s v="AAA MusicLand"/>
    <s v="706"/>
    <x v="1"/>
    <x v="1"/>
    <s v="Vsetín"/>
    <s v="Vsetín 922, PSČ 755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7298"/>
    <s v="aARCHITEKTURA, spolek"/>
    <s v="706"/>
    <x v="1"/>
    <x v="0"/>
    <s v="Zlín"/>
    <s v="Zlín, Nad Ovčírnou II 129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222707"/>
    <s v="abah nature z. s."/>
    <s v="706"/>
    <x v="1"/>
    <x v="0"/>
    <s v="Lukov"/>
    <s v="Lukov, Zahradní 409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31059"/>
    <s v="ABC pro děti z.s."/>
    <s v="706"/>
    <x v="1"/>
    <x v="1"/>
    <s v="Rožnov pod Radhoštěm"/>
    <s v="Rožnov pod Radhoštěm, Beskydská 1457, PSČ 75661"/>
    <s v="8899"/>
    <s v="Ostatní ambulantní nebo terénní sociální služby j. n."/>
    <m/>
    <m/>
    <m/>
    <m/>
    <m/>
    <m/>
    <m/>
    <m/>
    <m/>
    <m/>
    <m/>
    <m/>
    <m/>
    <m/>
    <m/>
    <m/>
    <m/>
  </r>
  <r>
    <s v="22666303"/>
    <s v="ABC WOOD, o.s."/>
    <s v="706"/>
    <x v="1"/>
    <x v="0"/>
    <s v="Zlín"/>
    <s v="Zlín, Vavrečkova 5262, Technologické inovační centrum s.r.o."/>
    <s v="94120"/>
    <s v="Činnosti profesních organizací"/>
    <m/>
    <m/>
    <m/>
    <m/>
    <m/>
    <m/>
    <m/>
    <m/>
    <m/>
    <m/>
    <m/>
    <m/>
    <m/>
    <m/>
    <m/>
    <m/>
    <m/>
  </r>
  <r>
    <s v="10769871"/>
    <s v="Abethandicap z.s."/>
    <s v="706"/>
    <x v="1"/>
    <x v="1"/>
    <s v="Zubří"/>
    <s v="Zubří, Sídliště 6. května 1065, PSČ 7565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6994861"/>
    <s v="AC Racing, z.s."/>
    <s v="706"/>
    <x v="1"/>
    <x v="0"/>
    <s v="Zlín"/>
    <s v="Zlín, Okružní 4567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458723"/>
    <s v="AC Slovácká Slavia Uherské Hradiště, z.s."/>
    <s v="706"/>
    <x v="1"/>
    <x v="2"/>
    <s v="Uherské Hradiště"/>
    <s v="Uherské Hradiště, Stonky 860, PSČ 68601"/>
    <s v="93120"/>
    <s v="Činnosti sportovních klubů"/>
    <m/>
    <m/>
    <m/>
    <m/>
    <m/>
    <m/>
    <m/>
    <m/>
    <m/>
    <m/>
    <m/>
    <m/>
    <m/>
    <m/>
    <m/>
    <m/>
    <m/>
  </r>
  <r>
    <s v="07457987"/>
    <s v="AC Sportguides Rožnov pod Radhoštěm z.s."/>
    <s v="706"/>
    <x v="1"/>
    <x v="1"/>
    <s v="Rožnov pod Radhoštěm"/>
    <s v="Rožnov pod Radhoštěm, Lesní 233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679705"/>
    <s v="AC Wozmeni Zlín z.s."/>
    <s v="706"/>
    <x v="1"/>
    <x v="0"/>
    <s v="Zlín"/>
    <s v="Zlín, Mladcová, Mokrá I 313, PSČ 76001"/>
    <s v="93190"/>
    <s v="Ostatní sportovní činnosti"/>
    <m/>
    <m/>
    <m/>
    <m/>
    <m/>
    <m/>
    <m/>
    <m/>
    <m/>
    <m/>
    <m/>
    <m/>
    <m/>
    <m/>
    <m/>
    <m/>
    <m/>
  </r>
  <r>
    <s v="19409338"/>
    <s v="ACADEMIA MORAVIA, z. s."/>
    <s v="706"/>
    <x v="1"/>
    <x v="0"/>
    <s v="Zlín"/>
    <s v="Zlín, Příkrá 150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439798"/>
    <s v="Academic Pipe Club Uherské Hradiště"/>
    <s v="706"/>
    <x v="1"/>
    <x v="2"/>
    <s v="Uherské Hradiště"/>
    <s v="Uherské Hradiště, Dvořákova 121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41568"/>
    <s v="Actas Abundantia, z.s."/>
    <s v="706"/>
    <x v="1"/>
    <x v="2"/>
    <s v="Hluk"/>
    <s v="Hluk, Hlavní 66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930970"/>
    <s v="ACTIVITY VIZOVICE z.s."/>
    <s v="706"/>
    <x v="1"/>
    <x v="0"/>
    <s v="Vizovice"/>
    <s v="Vizovice, Tyršova 177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6566"/>
    <s v="ADALIA - Středisko edukačně terapeutické práce o. s."/>
    <s v="706"/>
    <x v="1"/>
    <x v="0"/>
    <s v="Otrokovice"/>
    <s v="Otrokovice, Kvítkovice, Zlínská 146, PSČ 765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907343"/>
    <s v="&quot;ADAMUS o.s.&quot;"/>
    <s v="706"/>
    <x v="1"/>
    <x v="2"/>
    <s v="Nedakonice"/>
    <s v="Nedakonice 372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1539"/>
    <s v="Adorea - dobrovolnické centrum Vsetín, z. s."/>
    <s v="706"/>
    <x v="1"/>
    <x v="1"/>
    <s v="Vsetín"/>
    <s v="Vsetín, Tyršova 127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297483"/>
    <s v="Advanced Technology Support Group, z.s."/>
    <s v="706"/>
    <x v="1"/>
    <x v="2"/>
    <s v="Uherské Hradiště"/>
    <s v="Uherské Hradiště, Mařatice, Nad Rybníkem 479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115475"/>
    <s v="Adventure Sport Team z. s."/>
    <s v="706"/>
    <x v="1"/>
    <x v="2"/>
    <s v="Bánov"/>
    <s v="Bánov 318, PSČ 6875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64763"/>
    <s v="AERO RALLY TRABI VYŠKOV aneb vše co létá,jezdí-třeba i plave s ..."/>
    <s v="706"/>
    <x v="1"/>
    <x v="3"/>
    <s v="Zahnašovice"/>
    <s v="Zahnašovice 69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311661"/>
    <s v="Aerobic team EN, z. s."/>
    <s v="706"/>
    <x v="1"/>
    <x v="0"/>
    <s v="Zádveřice-Raková"/>
    <s v="Zádveřice-Raková, Zádveřice 496, PSČ 76312"/>
    <s v="93190"/>
    <s v="Ostatní sportovní činnosti"/>
    <m/>
    <m/>
    <m/>
    <m/>
    <m/>
    <m/>
    <m/>
    <m/>
    <m/>
    <m/>
    <m/>
    <m/>
    <m/>
    <m/>
    <m/>
    <m/>
    <m/>
  </r>
  <r>
    <s v="06930476"/>
    <s v="Aerobic Team Zlín, z.s."/>
    <s v="706"/>
    <x v="1"/>
    <x v="0"/>
    <s v="Zlín"/>
    <s v="Zlín, Pod Křiby 5630, PSČ 76005"/>
    <s v="93190"/>
    <s v="Ostatní sportovní činnosti"/>
    <m/>
    <m/>
    <m/>
    <m/>
    <m/>
    <m/>
    <m/>
    <m/>
    <m/>
    <m/>
    <m/>
    <m/>
    <m/>
    <m/>
    <m/>
    <m/>
    <m/>
  </r>
  <r>
    <s v="17698448"/>
    <s v="Aerobik Veselí nad Moravou, z.s."/>
    <s v="706"/>
    <x v="1"/>
    <x v="2"/>
    <s v="Uherský Ostroh"/>
    <s v="Uherský Ostroh, Sv. Čecha 238, PSČ 68724"/>
    <s v="93190"/>
    <s v="Ostatní sportovní činnosti"/>
    <m/>
    <m/>
    <m/>
    <m/>
    <m/>
    <m/>
    <m/>
    <m/>
    <m/>
    <m/>
    <m/>
    <m/>
    <m/>
    <m/>
    <m/>
    <m/>
    <m/>
  </r>
  <r>
    <s v="18190235"/>
    <s v="Aeroklub Kroměříž z.s."/>
    <s v="706"/>
    <x v="1"/>
    <x v="3"/>
    <s v="Kroměříž"/>
    <s v="Kroměříž, Na Hrázi 1148/6, PSČ 76701"/>
    <s v="93110"/>
    <s v="Provozování sportovních zařízení"/>
    <m/>
    <m/>
    <m/>
    <m/>
    <m/>
    <m/>
    <m/>
    <m/>
    <m/>
    <m/>
    <m/>
    <m/>
    <m/>
    <m/>
    <m/>
    <m/>
    <m/>
  </r>
  <r>
    <s v="18189008"/>
    <s v="AEROKLUB LUHAČOVICE, z.s."/>
    <s v="706"/>
    <x v="1"/>
    <x v="0"/>
    <s v="Luhačovice"/>
    <s v="Luhačovice 1114, PSČ 7632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25403"/>
    <s v="Aeronauts klub motorového paraglidingu"/>
    <s v="706"/>
    <x v="1"/>
    <x v="0"/>
    <s v="Rokytnice"/>
    <s v="Rokytnice 26, PSČ 76321"/>
    <s v="93110"/>
    <s v="Provozování sportovních zařízení"/>
    <m/>
    <m/>
    <m/>
    <m/>
    <m/>
    <m/>
    <m/>
    <m/>
    <m/>
    <m/>
    <m/>
    <m/>
    <m/>
    <m/>
    <m/>
    <m/>
    <m/>
  </r>
  <r>
    <s v="01547402"/>
    <s v="AFP poradna, z.s."/>
    <s v="706"/>
    <x v="1"/>
    <x v="0"/>
    <s v="Zlín"/>
    <s v="Zlín, Osvoboditelů 136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3502"/>
    <s v="AG KLUB VZÁJEMNOSTI"/>
    <s v="706"/>
    <x v="1"/>
    <x v="0"/>
    <s v="Valašské Klobouky"/>
    <s v="Valašské Klobouky, Masarykovo náměstí 4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2438"/>
    <s v="AGARTA z. s."/>
    <s v="706"/>
    <x v="1"/>
    <x v="1"/>
    <s v="Vsetín"/>
    <s v="Vsetín, Ohrada 1879, PSČ 75501"/>
    <s v="8899"/>
    <s v="Ostatní ambulantní nebo terénní sociální služby j. n."/>
    <m/>
    <m/>
    <m/>
    <m/>
    <m/>
    <m/>
    <m/>
    <m/>
    <m/>
    <m/>
    <m/>
    <m/>
    <m/>
    <m/>
    <m/>
    <m/>
    <m/>
  </r>
  <r>
    <s v="27713911"/>
    <s v="Agentura  Impuls, obecně prospěšná společnost"/>
    <s v="141"/>
    <x v="2"/>
    <x v="2"/>
    <s v="Uherský Brod"/>
    <s v="Uherský Brod, Rybářská 2145, PSČ 68801"/>
    <s v="8559"/>
    <s v="Ostatní vzdělávání j. n."/>
    <s v="Účetnické a auditorské činnosti; daňové poradenství"/>
    <m/>
    <m/>
    <m/>
    <m/>
    <m/>
    <m/>
    <m/>
    <m/>
    <m/>
    <m/>
    <m/>
    <m/>
    <m/>
    <m/>
    <m/>
    <m/>
  </r>
  <r>
    <s v="27003493"/>
    <s v="Agentura KOMIKŮŇ"/>
    <s v="706"/>
    <x v="1"/>
    <x v="0"/>
    <s v="Zlín"/>
    <s v="Zlín, Malenovice, Švermova 91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60574"/>
    <s v="Agentura rozvoje cestovního ruchu a vzdělávání, o. s."/>
    <s v="706"/>
    <x v="1"/>
    <x v="1"/>
    <s v="Rožnov pod Radhoštěm"/>
    <s v="Rožnov pod Radhoštěm, Kulturní 1754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9425"/>
    <s v="Agility Argus Zlín z.s."/>
    <s v="706"/>
    <x v="1"/>
    <x v="0"/>
    <s v="Zlín"/>
    <s v="Zlín, Prostřední 6834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609192"/>
    <s v="Agility Klub Rožnov pod Radhoštěm, z.s."/>
    <s v="706"/>
    <x v="1"/>
    <x v="1"/>
    <s v="Zubří"/>
    <s v="Zubří, Bořkova 1038, PSČ 75654"/>
    <s v="93290"/>
    <s v="Ostatní zábavní a rekreační činnosti j. n."/>
    <m/>
    <m/>
    <m/>
    <m/>
    <m/>
    <m/>
    <m/>
    <m/>
    <m/>
    <m/>
    <m/>
    <m/>
    <m/>
    <m/>
    <m/>
    <m/>
    <m/>
  </r>
  <r>
    <s v="27059197"/>
    <s v="Agility Kroměříž, z.s."/>
    <s v="706"/>
    <x v="1"/>
    <x v="3"/>
    <s v="Kroměříž"/>
    <s v="Kroměříž, Havlíčkova 3338/82A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4037"/>
    <s v="&quot;Agility Morkovice, o.s.&quot;"/>
    <s v="706"/>
    <x v="1"/>
    <x v="3"/>
    <s v="Morkovice-Slížany"/>
    <s v="Morkovice-Slížany, Morkovice, Legionářská 90, PSČ 768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904875"/>
    <s v="Agility Olšava,o.s."/>
    <s v="706"/>
    <x v="1"/>
    <x v="2"/>
    <s v="Uherský Brod"/>
    <s v="Uherský Brod, Těšov, 1. května 195, PSČ 6873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49604"/>
    <s v="Agility Valmez o.s."/>
    <s v="706"/>
    <x v="1"/>
    <x v="1"/>
    <s v="Lešná"/>
    <s v="pošta Valašské Meziříčí, Lhotka nad Bečvou 6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697606"/>
    <s v="AGIrebels, z. s."/>
    <s v="706"/>
    <x v="1"/>
    <x v="1"/>
    <s v="Valašská Bystřice"/>
    <s v="Valašská Bystřice 677, PSČ 7562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8896"/>
    <s v="AGNESI MTB team"/>
    <s v="706"/>
    <x v="1"/>
    <x v="0"/>
    <s v="Napajedla"/>
    <s v="Napajedla, Kvítkovická 1533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06055"/>
    <s v="Agora, o.p.s."/>
    <s v="141"/>
    <x v="2"/>
    <x v="2"/>
    <s v="Modrá"/>
    <s v="Modrá 25, PSČ 68706"/>
    <s v="855"/>
    <s v="Ostatní vzdělávání"/>
    <s v="Maloobchod, kromě motorových vozidel"/>
    <s v="Poskytování ostatních osobních služeb j. n."/>
    <m/>
    <m/>
    <m/>
    <m/>
    <m/>
    <m/>
    <m/>
    <m/>
    <m/>
    <m/>
    <m/>
    <m/>
    <m/>
    <m/>
    <m/>
  </r>
  <r>
    <s v="22868470"/>
    <s v="&quot;Ahasver&quot;"/>
    <s v="706"/>
    <x v="1"/>
    <x v="3"/>
    <s v="Kroměříž"/>
    <s v="Kroměříž, Komenského náměstí 371/12, PSČ 76701"/>
    <s v="93190"/>
    <s v="Ostatní sportovní činnosti"/>
    <m/>
    <m/>
    <m/>
    <m/>
    <m/>
    <m/>
    <m/>
    <m/>
    <m/>
    <m/>
    <m/>
    <m/>
    <m/>
    <m/>
    <m/>
    <m/>
    <m/>
  </r>
  <r>
    <s v="27664333"/>
    <s v="AHC Odlehčovací centrum Vizovice z.ú."/>
    <s v="161"/>
    <x v="3"/>
    <x v="0"/>
    <s v="Vizovice"/>
    <s v="Vizovice, Pardubská 1194, PSČ 76312"/>
    <s v="88"/>
    <s v="Ambulantní nebo terénní sociální služby"/>
    <s v="Velkoobchod a maloobchod; opravy a údržba motorových vozidel"/>
    <s v="Ostatní zpracovatelský průmysl"/>
    <s v="Ubytování"/>
    <s v="Pobytové služby sociální péče"/>
    <s v="Zprostředkování velkoobchodu a velkoobchod v zastoupení"/>
    <s v="Ostatní profesní, vědecké a technické činnosti j. n."/>
    <s v="Stravování v restauracích, u stánků a v mobilních zařízeních"/>
    <s v="Pronájem a leasing ostatních výrobků pro osobní potřebu a převážně pro domácnost"/>
    <s v="Podpůrné činnosti pro scénická umění"/>
    <s v="Kadeřnické, kosmetické a podobné činnosti"/>
    <s v="Činnosti pro osobní a fyzickou pohodu"/>
    <m/>
    <m/>
    <m/>
    <m/>
    <m/>
    <m/>
  </r>
  <r>
    <s v="09542426"/>
    <s v="AHL Slovácko z.s."/>
    <s v="706"/>
    <x v="1"/>
    <x v="2"/>
    <s v="Uherské Hradiště"/>
    <s v="Uherské Hradiště, Mařatice, Na Hraničkách 1682, PSČ 68605"/>
    <s v="93110"/>
    <s v="Provozování sportovních zařízení"/>
    <m/>
    <m/>
    <m/>
    <m/>
    <m/>
    <m/>
    <m/>
    <m/>
    <m/>
    <m/>
    <m/>
    <m/>
    <m/>
    <m/>
    <m/>
    <m/>
    <m/>
  </r>
  <r>
    <s v="22364536"/>
    <s v="Ahoj v hoře, z.s."/>
    <s v="706"/>
    <x v="1"/>
    <x v="1"/>
    <s v="Lešná"/>
    <s v="Lešná, Vysoká 56, PSČ 7564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1483"/>
    <s v="AIESEC Zlín"/>
    <s v="922"/>
    <x v="4"/>
    <x v="0"/>
    <s v="Zlín"/>
    <s v="Zlín, Mostní 5139, PSČ 76001"/>
    <s v="85600"/>
    <s v="Podpůrné činnosti ve vzdělávání"/>
    <m/>
    <m/>
    <m/>
    <m/>
    <m/>
    <m/>
    <m/>
    <m/>
    <m/>
    <m/>
    <m/>
    <m/>
    <m/>
    <m/>
    <m/>
    <m/>
    <m/>
  </r>
  <r>
    <s v="22850431"/>
    <s v="„Aikido Kishintai Dojo o.s.”"/>
    <s v="706"/>
    <x v="1"/>
    <x v="3"/>
    <s v="Bystřice pod Hostýnem"/>
    <s v="Bystřice pod Hostýnem, 6. května 74, PSČ 76861"/>
    <s v="93190"/>
    <s v="Ostatní sportovní činnosti"/>
    <m/>
    <m/>
    <m/>
    <m/>
    <m/>
    <m/>
    <m/>
    <m/>
    <m/>
    <m/>
    <m/>
    <m/>
    <m/>
    <m/>
    <m/>
    <m/>
    <m/>
  </r>
  <r>
    <s v="67010792"/>
    <s v="AIKIDO klub Uherské Hradiště"/>
    <s v="706"/>
    <x v="1"/>
    <x v="2"/>
    <s v="Tupesy"/>
    <s v="Tupesy 32, PSČ 68707"/>
    <s v="93120"/>
    <s v="Činnosti sportovních klubů"/>
    <m/>
    <m/>
    <m/>
    <m/>
    <m/>
    <m/>
    <m/>
    <m/>
    <m/>
    <m/>
    <m/>
    <m/>
    <m/>
    <m/>
    <m/>
    <m/>
    <m/>
  </r>
  <r>
    <s v="47933828"/>
    <s v="AIR KLUB Kroměříž, z.s."/>
    <s v="706"/>
    <x v="1"/>
    <x v="3"/>
    <s v="Kroměříž"/>
    <s v="Kroměříž, Na Hrázi 4174/10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2211"/>
    <s v="Air Moravia z.s."/>
    <s v="706"/>
    <x v="1"/>
    <x v="3"/>
    <s v="Holešov"/>
    <s v="Holešov, Všetuly, Dukelská 423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49632"/>
    <s v="AIRSOFTOVÝ ODDÍL UHERSKÝ BROD - CBA o.s."/>
    <s v="736"/>
    <x v="0"/>
    <x v="2"/>
    <s v="Uherský Brod"/>
    <s v="Uherský Brod, Okružní 154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0982"/>
    <s v="AirStoreClub Kroměříž, z.s."/>
    <s v="706"/>
    <x v="1"/>
    <x v="3"/>
    <s v="Kroměříž"/>
    <s v="Kroměříž, Moravská 3010/57A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8472221"/>
    <s v="AK AGROTEAM v AČR"/>
    <s v="736"/>
    <x v="0"/>
    <x v="0"/>
    <s v="Trnava"/>
    <s v="Trnava 268, PSČ 7631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37368"/>
    <s v="AK JZ Motorsport v AČR"/>
    <s v="736"/>
    <x v="0"/>
    <x v="0"/>
    <s v="Zlín"/>
    <s v="Zlín, Boněcka 179"/>
    <s v="931"/>
    <s v="Sportovní činnosti"/>
    <m/>
    <m/>
    <m/>
    <m/>
    <m/>
    <m/>
    <m/>
    <m/>
    <m/>
    <m/>
    <m/>
    <m/>
    <m/>
    <m/>
    <m/>
    <m/>
    <m/>
  </r>
  <r>
    <s v="26523108"/>
    <s v="Akademie karate Valašské Meziříčí, z.s."/>
    <s v="706"/>
    <x v="1"/>
    <x v="1"/>
    <s v="Valašské Meziříčí"/>
    <s v="Valašské Meziříčí, Kutinové 155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44323"/>
    <s v="Akademie karate Zlín, z.s."/>
    <s v="706"/>
    <x v="1"/>
    <x v="0"/>
    <s v="Zlín"/>
    <s v="Zlín, Kvítková 248, PSČ 76001"/>
    <s v="93120"/>
    <s v="Činnosti sportovních klubů"/>
    <m/>
    <m/>
    <m/>
    <m/>
    <m/>
    <m/>
    <m/>
    <m/>
    <m/>
    <m/>
    <m/>
    <m/>
    <m/>
    <m/>
    <m/>
    <m/>
    <m/>
  </r>
  <r>
    <s v="22852506"/>
    <s v="Akademie rozvoje lidských zdrojů o.s."/>
    <s v="706"/>
    <x v="1"/>
    <x v="3"/>
    <s v="Rataje"/>
    <s v="Rataje, Popovice 118"/>
    <s v="94999"/>
    <s v="Činnosti ostatních organizací j. n."/>
    <m/>
    <m/>
    <m/>
    <m/>
    <m/>
    <m/>
    <m/>
    <m/>
    <m/>
    <m/>
    <m/>
    <m/>
    <m/>
    <m/>
    <m/>
    <m/>
    <m/>
  </r>
  <r>
    <s v="21067040"/>
    <s v="Akademie stolního tenisu Zlínského kraje z. 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06351778"/>
    <s v="Akademie Valašsko-Bojové sporty a sebeobrana z. s."/>
    <s v="706"/>
    <x v="1"/>
    <x v="0"/>
    <s v="Valašské Klobouky"/>
    <s v="Valašské Klobouky, Masarykovo náměstí 103, PSČ 76601"/>
    <s v="93120"/>
    <s v="Činnosti sportovních klubů"/>
    <m/>
    <m/>
    <m/>
    <m/>
    <m/>
    <m/>
    <m/>
    <m/>
    <m/>
    <m/>
    <m/>
    <m/>
    <m/>
    <m/>
    <m/>
    <m/>
    <m/>
  </r>
  <r>
    <s v="07688521"/>
    <s v="Akce Holešov z.s."/>
    <s v="706"/>
    <x v="1"/>
    <x v="3"/>
    <s v="Holešov"/>
    <s v="Holešov, Střelnice 223/17, PSČ 76901"/>
    <s v="9499"/>
    <s v="Činnosti ostatních organizací sdružujících osoby za účelem prosazování společných zájmů j. n."/>
    <s v="Stravování v restauracích, u stánků a v mobilních zařízeních"/>
    <s v="Podpůrné činnosti pro scénická umění"/>
    <s v="Ostatní sportovní činnosti"/>
    <s v="Destilace, rektifikace a míchání lihovin"/>
    <m/>
    <m/>
    <m/>
    <m/>
    <m/>
    <m/>
    <m/>
    <m/>
    <m/>
    <m/>
    <m/>
    <m/>
    <m/>
  </r>
  <r>
    <s v="21927812"/>
    <s v="Akce s Wikynem, z. s."/>
    <s v="706"/>
    <x v="1"/>
    <x v="3"/>
    <s v="Holešov"/>
    <s v="Holešov, U Letiště 1255/49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2709"/>
    <s v="AKROPOLIS, z.s."/>
    <s v="706"/>
    <x v="1"/>
    <x v="2"/>
    <s v="Uherské Hradiště"/>
    <s v="Uherské Hradiště, Stará Tenice 134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3731"/>
    <s v="Aktino o.s."/>
    <s v="706"/>
    <x v="1"/>
    <x v="0"/>
    <s v="Otrokovice"/>
    <s v="Otrokovice, Havlíčkova 1039"/>
    <s v="94999"/>
    <s v="Činnosti ostatních organizací j. n."/>
    <m/>
    <m/>
    <m/>
    <m/>
    <m/>
    <m/>
    <m/>
    <m/>
    <m/>
    <m/>
    <m/>
    <m/>
    <m/>
    <m/>
    <m/>
    <m/>
    <m/>
  </r>
  <r>
    <s v="19916736"/>
    <s v="Aktivity klub naše obec z.s."/>
    <s v="706"/>
    <x v="1"/>
    <x v="3"/>
    <s v="Míškovice"/>
    <s v="Míškovice 95, PSČ 76852"/>
    <s v="93190"/>
    <s v="Ostatní sportovní činnosti"/>
    <m/>
    <m/>
    <m/>
    <m/>
    <m/>
    <m/>
    <m/>
    <m/>
    <m/>
    <m/>
    <m/>
    <m/>
    <m/>
    <m/>
    <m/>
    <m/>
    <m/>
  </r>
  <r>
    <s v="29285020"/>
    <s v="Aktivně životem o.p.s."/>
    <s v="141"/>
    <x v="2"/>
    <x v="0"/>
    <s v="Zlín"/>
    <s v="Zlín, Tyršovo nábřeží 760, PSČ 76001"/>
    <s v="9499"/>
    <s v="Činnosti ostatních organizací sdružujících osoby za účelem prosazování společných zájmů j. n."/>
    <s v="Účetnické a auditorské činnosti; daňové poradenství"/>
    <s v="Ostatní vzdělávání j. n."/>
    <s v="Sociální služby poskytované dětem"/>
    <s v="Podpůrné činnosti pro scénická umění"/>
    <s v="Provozování kulturních zařízení"/>
    <s v="Provozování sportovních zařízení"/>
    <m/>
    <m/>
    <m/>
    <m/>
    <m/>
    <m/>
    <m/>
    <m/>
    <m/>
    <m/>
    <m/>
  </r>
  <r>
    <s v="02671816"/>
    <s v="Aktivní klub Pacetluky"/>
    <s v="706"/>
    <x v="1"/>
    <x v="3"/>
    <s v="Pacetluky"/>
    <s v="Pacetluky 46, PSČ 768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4411"/>
    <s v="Aktivní klub Rusava z.s."/>
    <s v="706"/>
    <x v="1"/>
    <x v="3"/>
    <s v="Rusava"/>
    <s v="Rusava 10, PSČ 76841"/>
    <s v="93110"/>
    <s v="Provozování sportovních zařízení"/>
    <m/>
    <m/>
    <m/>
    <m/>
    <m/>
    <m/>
    <m/>
    <m/>
    <m/>
    <m/>
    <m/>
    <m/>
    <m/>
    <m/>
    <m/>
    <m/>
    <m/>
  </r>
  <r>
    <s v="04818032"/>
    <s v="Aktivní Kostelec z.s."/>
    <s v="706"/>
    <x v="1"/>
    <x v="3"/>
    <s v="Kostelec u Holešova"/>
    <s v="Kostelec u Holešova 73, PSČ 76843"/>
    <s v="94995"/>
    <s v="Činnosti environmentálních a ekologických hnutí"/>
    <m/>
    <m/>
    <m/>
    <m/>
    <m/>
    <m/>
    <m/>
    <m/>
    <m/>
    <m/>
    <m/>
    <m/>
    <m/>
    <m/>
    <m/>
    <m/>
    <m/>
  </r>
  <r>
    <s v="22607927"/>
    <s v="Aktivní Kunovice, z.s."/>
    <s v="706"/>
    <x v="1"/>
    <x v="2"/>
    <s v="Kunovice"/>
    <s v="Kunovice, Potočná 1689, PSČ 68604"/>
    <s v="9499"/>
    <s v="Činnosti ostatních organizací sdružujících osoby za účelem prosazování společných zájmů j. n."/>
    <s v="Tisk a rozmnožování nahraných nosičů"/>
    <s v="Shromažďování, sběr a odstraňování odpadů, úprava odpadů k dalšímu využití"/>
    <s v="Ubytování"/>
    <s v="Vydavatelské činnosti"/>
    <s v="Ostatní profesní, vědecké a technické činnosti j. n."/>
    <s v="Příprava staveniště"/>
    <m/>
    <m/>
    <m/>
    <m/>
    <m/>
    <m/>
    <m/>
    <m/>
    <m/>
    <m/>
    <m/>
  </r>
  <r>
    <s v="01464329"/>
    <s v="Aktivní rozvoj o.p.s."/>
    <s v="141"/>
    <x v="2"/>
    <x v="0"/>
    <s v="Zlín"/>
    <s v="Zlín, Tyršovo nábřeží 760, PSČ 76001"/>
    <s v="8559"/>
    <s v="Ostatní vzdělávání j. n."/>
    <s v="Pobytové služby sociální péče"/>
    <s v="Činnosti organizací na podporu kulturní činnosti"/>
    <s v="Činnosti organizací na podporu rekreační a zájmové činnosti"/>
    <m/>
    <m/>
    <m/>
    <m/>
    <m/>
    <m/>
    <m/>
    <m/>
    <m/>
    <m/>
    <m/>
    <m/>
    <m/>
    <m/>
  </r>
  <r>
    <s v="22664301"/>
    <s v="AL CAPONE ROŽNOV P.R., o.s."/>
    <s v="706"/>
    <x v="1"/>
    <x v="1"/>
    <s v="Rožnov pod Radhoštěm"/>
    <s v="Rožnov pod Radhoštěm, Čechova 510, PSČ 75661"/>
    <s v="93110"/>
    <s v="Provozování sportovních zařízení"/>
    <m/>
    <m/>
    <m/>
    <m/>
    <m/>
    <m/>
    <m/>
    <m/>
    <m/>
    <m/>
    <m/>
    <m/>
    <m/>
    <m/>
    <m/>
    <m/>
    <m/>
  </r>
  <r>
    <s v="09760903"/>
    <s v="ALDAgo TEAM z.s."/>
    <s v="706"/>
    <x v="1"/>
    <x v="0"/>
    <s v="Fryšták"/>
    <s v="Fryšták, Zlínská 394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9971"/>
    <s v="Alex de Large"/>
    <s v="706"/>
    <x v="1"/>
    <x v="3"/>
    <s v="Holešov"/>
    <s v="Holešov, Školní 442/8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4665"/>
    <s v="ALFA BIKE CLUB, z.s."/>
    <s v="706"/>
    <x v="1"/>
    <x v="1"/>
    <s v="Jablůnka"/>
    <s v="Jablůnka 52, PSČ 75623"/>
    <s v="93110"/>
    <s v="Provozování sportovních zařízení"/>
    <m/>
    <m/>
    <m/>
    <m/>
    <m/>
    <m/>
    <m/>
    <m/>
    <m/>
    <m/>
    <m/>
    <m/>
    <m/>
    <m/>
    <m/>
    <m/>
    <m/>
  </r>
  <r>
    <s v="08832706"/>
    <s v="ALGA z.s."/>
    <s v="706"/>
    <x v="1"/>
    <x v="0"/>
    <s v="Zlín"/>
    <s v="Zlín, Česká 4752, PSČ 760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871566"/>
    <s v="ALGO, studentská firma"/>
    <s v="706"/>
    <x v="1"/>
    <x v="0"/>
    <s v="Zlín"/>
    <s v="Zlín, SPŠ nám. TGM 128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700216"/>
    <s v="Aliance pro regionální rozvoj, z.s."/>
    <s v="706"/>
    <x v="1"/>
    <x v="2"/>
    <s v="Uherské Hradiště"/>
    <s v="Uherské Hradiště, Mařatice, Sadová 987, PSČ 68605"/>
    <s v="9499"/>
    <s v="Činnosti ostatních organizací sdružujících osoby za účelem prosazování společných zájmů j. n."/>
    <s v="Výroba, obchod a služby neuvedené v přílohách 1 až 3 živnostenského zákona"/>
    <s v="Tisk a rozmnožování nahraných nosičů"/>
    <s v="Velkoobchod, kromě motorových vozidel"/>
    <s v="Maloobchod, kromě motorových vozidel"/>
    <s v="Vydavatelské činnosti"/>
    <s v="Činnosti v oblasti informačních technologií"/>
    <s v="Informační činnosti"/>
    <s v="Zprostředkování velkoobchodu a velkoobchod v zastoupení"/>
    <s v="Ostatní vzdělávání"/>
    <s v="Ostatní profesní, vědecké a technické činnosti j. n."/>
    <s v="Činnosti reklamních agentur"/>
    <s v="Univerzální administrativní činnosti"/>
    <s v="Podpůrné činnosti pro scénická umění"/>
    <m/>
    <m/>
    <m/>
    <m/>
  </r>
  <r>
    <s v="09224939"/>
    <s v="ALL SPORT KIDS academy, z.s."/>
    <s v="706"/>
    <x v="1"/>
    <x v="0"/>
    <s v="Otrokovice"/>
    <s v="Otrokovice, Štěrkoviště 1294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3693654"/>
    <s v="Alliance française Zlín z. s."/>
    <s v="706"/>
    <x v="1"/>
    <x v="0"/>
    <s v="Zlín"/>
    <s v="Zlín, Divadelní 133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63879"/>
    <s v="altera, nezávislá platforma, z.s."/>
    <s v="706"/>
    <x v="1"/>
    <x v="2"/>
    <s v="Uherské Hradiště"/>
    <s v="Uherské Hradiště, Mařatice, Jižní 466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419232"/>
    <s v="Amatér Komárovice, z. s."/>
    <s v="706"/>
    <x v="1"/>
    <x v="1"/>
    <s v="Kelč"/>
    <s v="Kelč, Komárovice 47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84274"/>
    <s v="AMEARE, z. s."/>
    <s v="706"/>
    <x v="1"/>
    <x v="2"/>
    <s v="Podolí"/>
    <s v="Podolí 292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50248"/>
    <s v="AMENITY-EXTREM SPORT z.s."/>
    <s v="706"/>
    <x v="1"/>
    <x v="0"/>
    <s v="Zlín"/>
    <s v="Zlín, Vodní 2985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850061"/>
    <s v="AMEZLIN z.s."/>
    <s v="706"/>
    <x v="1"/>
    <x v="0"/>
    <s v="Zlín"/>
    <s v="Zlín, nám. T. G. Masaryka 128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994"/>
    <s v="AMK Suzuki off road Zlín, z.s."/>
    <s v="706"/>
    <x v="1"/>
    <x v="0"/>
    <s v="Držková"/>
    <s v="Držková 24, PSČ 7631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70110"/>
    <s v="Anděl racing, z.ú."/>
    <s v="161"/>
    <x v="3"/>
    <x v="3"/>
    <s v="Věžky"/>
    <s v="Věžky 86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934702"/>
    <s v="&quot;Anděl&quot;, z.s."/>
    <s v="706"/>
    <x v="1"/>
    <x v="1"/>
    <s v="Kelč"/>
    <s v="Kelč, Němetice 11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44508"/>
    <s v="Andělé Stromu života z. s."/>
    <s v="706"/>
    <x v="1"/>
    <x v="1"/>
    <s v="Rožnov pod Radhoštěm"/>
    <s v="Rožnov pod Radhoštěm, Letenská 1183, PSČ 7566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683810"/>
    <s v="Aneri - taneční škola, z.s."/>
    <s v="706"/>
    <x v="1"/>
    <x v="1"/>
    <s v="Valašské Meziříčí"/>
    <s v="Valašské Meziříčí, Krásno nad Bečvou, Bratří Čapků 685/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611238"/>
    <s v="Anima Sana - cesta ke zdraví, z. s."/>
    <s v="706"/>
    <x v="1"/>
    <x v="1"/>
    <s v="Rožnov pod Radhoštěm"/>
    <s v="Rožnov pod Radhoštěm, 5. května 1340, PSČ 75661"/>
    <s v="855"/>
    <s v="Ostatní vzdělávání"/>
    <s v="Činnosti ostatních organizací sdružujících osoby za účelem prosazování společných zájmů j. n."/>
    <s v="Podpůrné činnosti pro scénická umění"/>
    <s v="Ostatní sportovní činnosti"/>
    <m/>
    <m/>
    <m/>
    <m/>
    <m/>
    <m/>
    <m/>
    <m/>
    <m/>
    <m/>
    <m/>
    <m/>
    <m/>
    <m/>
  </r>
  <r>
    <s v="22760784"/>
    <s v="ANIMATO, o. s."/>
    <s v="706"/>
    <x v="1"/>
    <x v="0"/>
    <s v="Štítná nad Vláří-Popov"/>
    <s v="Popov, Štítná nad Vláří 497, PSČ 763 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597366"/>
    <s v="ANKRON, z. s."/>
    <s v="706"/>
    <x v="1"/>
    <x v="0"/>
    <s v="Zlín"/>
    <s v="Zlín, Malá 56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9118"/>
    <s v="AnteArt z.s."/>
    <s v="706"/>
    <x v="1"/>
    <x v="1"/>
    <s v="Valašské Meziříčí"/>
    <s v="Valašské Meziříčí, Příční 518/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143283"/>
    <s v="AOP RACING KLUB v AČR"/>
    <s v="736"/>
    <x v="0"/>
    <x v="0"/>
    <s v="Hrobice"/>
    <s v="Hrobice 119, PSČ 76315"/>
    <s v="93120"/>
    <s v="Činnosti sportovních klubů"/>
    <m/>
    <m/>
    <m/>
    <m/>
    <m/>
    <m/>
    <m/>
    <m/>
    <m/>
    <m/>
    <m/>
    <m/>
    <m/>
    <m/>
    <m/>
    <m/>
    <m/>
  </r>
  <r>
    <s v="68687516"/>
    <s v="AOS ČR Polfin Ploština"/>
    <s v="736"/>
    <x v="0"/>
    <x v="0"/>
    <s v="Loučka"/>
    <s v="Loučka 123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331472"/>
    <s v="AP school z. s."/>
    <s v="706"/>
    <x v="1"/>
    <x v="0"/>
    <s v="Luhačovice"/>
    <s v="Luhačovice, Lužné 1011, PSČ 76326"/>
    <s v="8891"/>
    <s v="Sociální služby poskytované dětem"/>
    <m/>
    <m/>
    <m/>
    <m/>
    <m/>
    <m/>
    <m/>
    <m/>
    <m/>
    <m/>
    <m/>
    <m/>
    <m/>
    <m/>
    <m/>
    <m/>
    <m/>
  </r>
  <r>
    <s v="04571908"/>
    <s v="Aplikovaný výzkum ekonomické diplomacie, z. ú."/>
    <s v="161"/>
    <x v="3"/>
    <x v="1"/>
    <s v="Vsetín"/>
    <s v="Vsetín, Jiráskova 1127, PSČ 75501"/>
    <s v="72"/>
    <s v="Výzkum a vývoj"/>
    <s v="Zprostředkování velkoobchodu a velkoobchod v zastoupení"/>
    <s v="Ostatní vzdělávání"/>
    <s v="Ostatní profesní, vědecké a technické činnosti j. n."/>
    <s v="Podpůrné činnosti pro scénická umění"/>
    <s v="Ostatní technické zkoušky a analýzy"/>
    <m/>
    <m/>
    <m/>
    <m/>
    <m/>
    <m/>
    <m/>
    <m/>
    <m/>
    <m/>
    <m/>
    <m/>
  </r>
  <r>
    <s v="06723331"/>
    <s v="Apoštolská církev, sbor Bystřice pod Hostýnem"/>
    <s v="722"/>
    <x v="5"/>
    <x v="3"/>
    <s v="Bystřice pod Hostýnem"/>
    <s v="Bystřice pod Hostýnem, 6. května 74, PSČ 76861"/>
    <s v="94910"/>
    <s v="Činnosti náboženských organizací"/>
    <m/>
    <m/>
    <m/>
    <m/>
    <m/>
    <m/>
    <m/>
    <m/>
    <m/>
    <m/>
    <m/>
    <m/>
    <m/>
    <m/>
    <m/>
    <m/>
    <m/>
  </r>
  <r>
    <s v="73633658"/>
    <s v="Apoštolská církev, sbor Kroměříž"/>
    <s v="722"/>
    <x v="5"/>
    <x v="3"/>
    <s v="Kroměříž"/>
    <s v="Kroměříž, Gen. Svobody 1221/14, PSČ 76701"/>
    <s v="94910"/>
    <s v="Činnosti náboženských organizací"/>
    <m/>
    <m/>
    <m/>
    <m/>
    <m/>
    <m/>
    <m/>
    <m/>
    <m/>
    <m/>
    <m/>
    <m/>
    <m/>
    <m/>
    <m/>
    <m/>
    <m/>
  </r>
  <r>
    <s v="03353168"/>
    <s v="Apoštolská církev, sbor Rožnov pod Radhoštěm"/>
    <s v="722"/>
    <x v="5"/>
    <x v="1"/>
    <s v="Rožnov pod Radhoštěm"/>
    <s v="Rožnov pod Radhoštěm, Hradišťko 290, PSČ 75661"/>
    <s v="94910"/>
    <s v="Činnosti náboženských organizací"/>
    <m/>
    <m/>
    <m/>
    <m/>
    <m/>
    <m/>
    <m/>
    <m/>
    <m/>
    <m/>
    <m/>
    <m/>
    <m/>
    <m/>
    <m/>
    <m/>
    <m/>
  </r>
  <r>
    <s v="05066271"/>
    <s v="Apoštolská církev, sbor Uherské Hradiště"/>
    <s v="722"/>
    <x v="5"/>
    <x v="2"/>
    <s v="Uherský Brod"/>
    <s v="Uherský Brod, Újezdec, Široká 15, PSČ 68734"/>
    <s v="94910"/>
    <s v="Činnosti náboženských organizací"/>
    <m/>
    <m/>
    <m/>
    <m/>
    <m/>
    <m/>
    <m/>
    <m/>
    <m/>
    <m/>
    <m/>
    <m/>
    <m/>
    <m/>
    <m/>
    <m/>
    <m/>
  </r>
  <r>
    <s v="65325770"/>
    <s v="Apoštolská církev, sbor Uherský Brod"/>
    <s v="722"/>
    <x v="5"/>
    <x v="2"/>
    <s v="Uherský Brod"/>
    <s v="Uherský Brod, Dělnická 2830, PSČ 68801"/>
    <s v="94910"/>
    <s v="Činnosti náboženských organizací"/>
    <m/>
    <m/>
    <m/>
    <m/>
    <m/>
    <m/>
    <m/>
    <m/>
    <m/>
    <m/>
    <m/>
    <m/>
    <m/>
    <m/>
    <m/>
    <m/>
    <m/>
  </r>
  <r>
    <s v="67728359"/>
    <s v="Apoštolská církev, sbor Valašské Meziříčí"/>
    <s v="722"/>
    <x v="5"/>
    <x v="1"/>
    <s v="Valašské Meziříčí"/>
    <s v="Valašské Meziříčí, Krásno nad Bečvou, Zašovská 778, PSČ 75701"/>
    <s v="94910"/>
    <s v="Činnosti náboženských organizací"/>
    <m/>
    <m/>
    <m/>
    <m/>
    <m/>
    <m/>
    <m/>
    <m/>
    <m/>
    <m/>
    <m/>
    <m/>
    <m/>
    <m/>
    <m/>
    <m/>
    <m/>
  </r>
  <r>
    <s v="03303306"/>
    <s v="Apoštolská církev, sbor Vsetín"/>
    <s v="722"/>
    <x v="5"/>
    <x v="1"/>
    <s v="Vsetín"/>
    <s v="Vsetín, Ohrada 1866, PSČ 75501"/>
    <s v="94910"/>
    <s v="Činnosti náboženských organizací"/>
    <m/>
    <m/>
    <m/>
    <m/>
    <m/>
    <m/>
    <m/>
    <m/>
    <m/>
    <m/>
    <m/>
    <m/>
    <m/>
    <m/>
    <m/>
    <m/>
    <m/>
  </r>
  <r>
    <s v="65822439"/>
    <s v="Apoštolská církev Zlín"/>
    <s v="722"/>
    <x v="5"/>
    <x v="0"/>
    <s v="Zlín"/>
    <s v="Zlín, Podvesná XIV 5922, PSČ 76001"/>
    <s v="94910"/>
    <s v="Činnosti náboženských organizací"/>
    <m/>
    <m/>
    <m/>
    <m/>
    <m/>
    <m/>
    <m/>
    <m/>
    <m/>
    <m/>
    <m/>
    <m/>
    <m/>
    <m/>
    <m/>
    <m/>
    <m/>
  </r>
  <r>
    <s v="01758390"/>
    <s v="Aprosmoto z. s."/>
    <s v="706"/>
    <x v="1"/>
    <x v="3"/>
    <s v="Kroměříž"/>
    <s v="Kroměříž, Bílanská 2219/8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78502"/>
    <s v="„AQUA et NATURA Ostrožská Nová Ves, o.s.”"/>
    <s v="706"/>
    <x v="1"/>
    <x v="2"/>
    <s v="Ostrožská Nová Ves"/>
    <s v="Ostrožská Nová Ves, Nádražní 948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70207"/>
    <s v="ARBOR nadační fond"/>
    <s v="118"/>
    <x v="6"/>
    <x v="3"/>
    <s v="Holešov"/>
    <s v="Holešov, Sušilova 478/24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3403"/>
    <s v="Arcanus"/>
    <s v="706"/>
    <x v="1"/>
    <x v="0"/>
    <s v="Otrokovice"/>
    <s v="Otrokovice, Havlíčkova 1279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8452"/>
    <s v="Archa - sdružení pro rekreaci a pobyt v přírodě, z.s."/>
    <s v="706"/>
    <x v="1"/>
    <x v="2"/>
    <s v="Uherské Hradiště"/>
    <s v="Uherské Hradiště, Na Rybníku 96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9857"/>
    <s v="Archivářský spolek restaurační"/>
    <s v="706"/>
    <x v="1"/>
    <x v="2"/>
    <s v="Buchlovice"/>
    <s v="Buchlovice, K Buchlovu 750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5537"/>
    <s v="Areál Josefa Šperky Zlín o.s."/>
    <s v="706"/>
    <x v="1"/>
    <x v="0"/>
    <s v="Zlín"/>
    <s v="Zlín, nám. T. G. Masaryka 5144, PSČ 76001"/>
    <s v="93120"/>
    <s v="Činnosti sportovních klubů"/>
    <m/>
    <m/>
    <m/>
    <m/>
    <m/>
    <m/>
    <m/>
    <m/>
    <m/>
    <m/>
    <m/>
    <m/>
    <m/>
    <m/>
    <m/>
    <m/>
    <m/>
  </r>
  <r>
    <s v="02009960"/>
    <s v="Arena club Slavičín"/>
    <s v="706"/>
    <x v="1"/>
    <x v="0"/>
    <s v="Slavičín"/>
    <s v="Slavičín, Obchodní 654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68813"/>
    <s v="ARGO, Společnost dobré vůle Zlín, z.s."/>
    <s v="706"/>
    <x v="1"/>
    <x v="0"/>
    <s v="Zlín"/>
    <s v="Zlín, Malenovice, třída 3. května 325, PSČ 76302"/>
    <s v="88999"/>
    <s v="Jiné ambulantní nebo terénní sociální služby j. n."/>
    <s v="Činnosti organizací na ochranu a zlepšení postavení etnických, menšinových a jiných speciálních skupin"/>
    <m/>
    <m/>
    <m/>
    <m/>
    <m/>
    <m/>
    <m/>
    <m/>
    <m/>
    <m/>
    <m/>
    <m/>
    <m/>
    <m/>
    <m/>
    <m/>
  </r>
  <r>
    <s v="28552113"/>
    <s v="ARMSPORT Hluk, z.s."/>
    <s v="706"/>
    <x v="1"/>
    <x v="2"/>
    <s v="Hluk"/>
    <s v="Hluk, Hlavní 19, PSČ 68725"/>
    <s v="93110"/>
    <s v="Provozování sportovních zařízení"/>
    <m/>
    <m/>
    <m/>
    <m/>
    <m/>
    <m/>
    <m/>
    <m/>
    <m/>
    <m/>
    <m/>
    <m/>
    <m/>
    <m/>
    <m/>
    <m/>
    <m/>
  </r>
  <r>
    <s v="22879099"/>
    <s v="Armypark Slavičín, z.s."/>
    <s v="706"/>
    <x v="1"/>
    <x v="0"/>
    <s v="Slavičín"/>
    <s v="Slavičín, Divnice 123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9965"/>
    <s v="ARROW DH"/>
    <s v="706"/>
    <x v="1"/>
    <x v="2"/>
    <s v="Uherské Hradiště"/>
    <s v="Uherské Hradiště, Na Splávku 1182, PSČ 68601"/>
    <s v="93120"/>
    <s v="Činnosti sportovních klubů"/>
    <m/>
    <m/>
    <m/>
    <m/>
    <m/>
    <m/>
    <m/>
    <m/>
    <m/>
    <m/>
    <m/>
    <m/>
    <m/>
    <m/>
    <m/>
    <m/>
    <m/>
  </r>
  <r>
    <s v="26569124"/>
    <s v="Ars et scientia, z. s."/>
    <s v="706"/>
    <x v="1"/>
    <x v="2"/>
    <s v="Velehrad"/>
    <s v="Velehrad, Salašská 60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48991"/>
    <s v="Ars Iuventus z.s."/>
    <s v="706"/>
    <x v="1"/>
    <x v="3"/>
    <s v="Kroměříž"/>
    <s v="Kroměříž, Purkyňova 811/40, PSČ 76701"/>
    <s v="9499"/>
    <s v="Činnosti ostatních organizací sdružujících osoby za účelem prosazování společných zájmů j. n."/>
    <s v="Výroba, obchod a služby neuvedené v přílohách 1 až 3 živnostenského zákona"/>
    <m/>
    <m/>
    <m/>
    <m/>
    <m/>
    <m/>
    <m/>
    <m/>
    <m/>
    <m/>
    <m/>
    <m/>
    <m/>
    <m/>
    <m/>
    <m/>
  </r>
  <r>
    <s v="26630257"/>
    <s v="Art centrum DAGI z.s."/>
    <s v="706"/>
    <x v="1"/>
    <x v="1"/>
    <s v="Rožnov pod Radhoštěm"/>
    <s v="Rožnov pod Radhoštěm, 5. května 1551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2236"/>
    <s v="Art Collegium 2002 Kroměříž, z.s."/>
    <s v="706"/>
    <x v="1"/>
    <x v="3"/>
    <s v="Kroměříž"/>
    <s v="Kroměříž, Riegrovo náměstí 156/2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7651"/>
    <s v="Art Directors Club Zlín"/>
    <s v="706"/>
    <x v="1"/>
    <x v="0"/>
    <s v="Zlín"/>
    <s v="Zlín, Přílucká 360, PSČ 760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029991"/>
    <s v="Art Film Institute, z.ú."/>
    <s v="161"/>
    <x v="3"/>
    <x v="3"/>
    <s v="Kroměříž"/>
    <s v="Kroměříž, Havlíčkova 2788/135, PSČ 76701"/>
    <s v="9499"/>
    <s v="Činnosti ostatních organizací sdružujících osoby za účelem prosazování společných zájmů j. n."/>
    <s v="Ostatní vzdělávání"/>
    <s v="Činnosti reklamních agentur"/>
    <m/>
    <m/>
    <m/>
    <m/>
    <m/>
    <m/>
    <m/>
    <m/>
    <m/>
    <m/>
    <m/>
    <m/>
    <m/>
    <m/>
    <m/>
  </r>
  <r>
    <s v="04245521"/>
    <s v="Art studio motýlek z.s."/>
    <s v="706"/>
    <x v="1"/>
    <x v="1"/>
    <s v="Vsetín"/>
    <s v="Vsetín, Konečná 117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0042"/>
    <s v="ARTBEAT, z.s."/>
    <s v="706"/>
    <x v="1"/>
    <x v="0"/>
    <s v="Zlín"/>
    <s v="Zlín, Nad Vývozem 5123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06268"/>
    <s v="Artediem z.s."/>
    <s v="706"/>
    <x v="1"/>
    <x v="2"/>
    <s v="Staré Město"/>
    <s v="Staré Město, Michalská 66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04058"/>
    <s v="ARTEM UH z. s."/>
    <s v="706"/>
    <x v="1"/>
    <x v="2"/>
    <s v="Uherské Hradiště"/>
    <s v="Uherské Hradiště, Mařatice, Pod Zahrady 345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3819"/>
    <s v="Artofón"/>
    <s v="706"/>
    <x v="1"/>
    <x v="1"/>
    <s v="Rožnov pod Radhoštěm"/>
    <s v="Rožnov pod Radhoštěm, Lipová 1671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6306"/>
    <s v="ArtZlín z.s."/>
    <s v="706"/>
    <x v="1"/>
    <x v="0"/>
    <s v="Zlín"/>
    <s v="Zlín, Kúty 196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7352"/>
    <s v="ARYMAN"/>
    <s v="706"/>
    <x v="1"/>
    <x v="2"/>
    <s v="Uherské Hradiště"/>
    <s v="Uherské Hradiště, Mařatice, Sadová 1480, PSČ 68605"/>
    <s v="93120"/>
    <s v="Činnosti sportovních klubů"/>
    <m/>
    <m/>
    <m/>
    <m/>
    <m/>
    <m/>
    <m/>
    <m/>
    <m/>
    <m/>
    <m/>
    <m/>
    <m/>
    <m/>
    <m/>
    <m/>
    <m/>
  </r>
  <r>
    <s v="05838681"/>
    <s v="A&amp;S - aktivně a společně, z.s."/>
    <s v="706"/>
    <x v="1"/>
    <x v="1"/>
    <s v="Poličná"/>
    <s v="Poličná 46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3660"/>
    <s v="ASIA-GYM-SPORT z. s."/>
    <s v="706"/>
    <x v="1"/>
    <x v="1"/>
    <s v="Rožnov pod Radhoštěm"/>
    <s v="Rožnov pod Radhoštěm, Žerotínská 2652, PSČ 75661"/>
    <s v="93110"/>
    <s v="Provozování sportovních zařízení"/>
    <m/>
    <m/>
    <m/>
    <m/>
    <m/>
    <m/>
    <m/>
    <m/>
    <m/>
    <m/>
    <m/>
    <m/>
    <m/>
    <m/>
    <m/>
    <m/>
    <m/>
  </r>
  <r>
    <s v="22857737"/>
    <s v="Asociace bezpečných sportovišť"/>
    <s v="706"/>
    <x v="1"/>
    <x v="0"/>
    <s v="Zlín"/>
    <s v="Zlín, Kostelec, Fialková 692, PSČ 76314"/>
    <s v="931"/>
    <s v="Sportovní činnosti"/>
    <m/>
    <m/>
    <m/>
    <m/>
    <m/>
    <m/>
    <m/>
    <m/>
    <m/>
    <m/>
    <m/>
    <m/>
    <m/>
    <m/>
    <m/>
    <m/>
    <m/>
  </r>
  <r>
    <s v="01284894"/>
    <s v="“Asociace chytrého bydlení“"/>
    <s v="706"/>
    <x v="1"/>
    <x v="3"/>
    <s v="Holešov"/>
    <s v="Holešov, Všetuly, Palackého 493, PSČ 76901"/>
    <s v="94120"/>
    <s v="Činnosti profesních organizací"/>
    <m/>
    <m/>
    <m/>
    <m/>
    <m/>
    <m/>
    <m/>
    <m/>
    <m/>
    <m/>
    <m/>
    <m/>
    <m/>
    <m/>
    <m/>
    <m/>
    <m/>
  </r>
  <r>
    <s v="07805641"/>
    <s v="Asociace českého univerzitního hokeje z.s."/>
    <s v="706"/>
    <x v="1"/>
    <x v="0"/>
    <s v="Zlín"/>
    <s v="Zlín, Mladcová, Mokrá III 6189, PSČ 76001"/>
    <s v="93110"/>
    <s v="Provozování sportovních zařízení"/>
    <m/>
    <m/>
    <m/>
    <m/>
    <m/>
    <m/>
    <m/>
    <m/>
    <m/>
    <m/>
    <m/>
    <m/>
    <m/>
    <m/>
    <m/>
    <m/>
    <m/>
  </r>
  <r>
    <s v="61387550"/>
    <s v="Asociace českých filmových klubů, z. s."/>
    <s v="706"/>
    <x v="1"/>
    <x v="2"/>
    <s v="Uherské Hradiště"/>
    <s v="Uherské Hradiště, Stonky 86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48350"/>
    <s v="ASOCIACE DEGUSTÁTORŮ ČR, z.s."/>
    <s v="706"/>
    <x v="1"/>
    <x v="2"/>
    <s v="Uherské Hradiště"/>
    <s v="Uherské Hradiště, Masarykovo náměstí 3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647781"/>
    <s v="Asociace DICE - Development Initiatives for a Common Europe, z. s."/>
    <s v="706"/>
    <x v="1"/>
    <x v="0"/>
    <s v="Otrokovice"/>
    <s v="Otrokovice, Na Uličce 1467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6732"/>
    <s v="Asociace dlužníků"/>
    <s v="706"/>
    <x v="1"/>
    <x v="2"/>
    <s v="Popovice"/>
    <s v="Popovice 54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902994"/>
    <s v="ASOCIACE FUTSALU FIFA Zlín z.s."/>
    <s v="706"/>
    <x v="1"/>
    <x v="3"/>
    <s v="Kvasice"/>
    <s v="Kvasice, Husova 627, PSČ 76821"/>
    <s v="9311"/>
    <s v="Provozování sportovních zařízení"/>
    <m/>
    <m/>
    <m/>
    <m/>
    <m/>
    <m/>
    <m/>
    <m/>
    <m/>
    <m/>
    <m/>
    <m/>
    <m/>
    <m/>
    <m/>
    <m/>
    <m/>
  </r>
  <r>
    <s v="70971501"/>
    <s v="Asociace klinických psychologů České republiky, pobočka Zlínský kraj"/>
    <s v="736"/>
    <x v="0"/>
    <x v="0"/>
    <s v="Zlín"/>
    <s v="Zlín, Ševcovská 267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3045"/>
    <s v="Asociace Klubu KPK o.s."/>
    <s v="706"/>
    <x v="1"/>
    <x v="3"/>
    <s v="Bystřice pod Hostýnem"/>
    <s v="Bystřice pod Hostýnem, Sídliště 1513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609987"/>
    <s v="Asociace mezinárodní spolupráce, z.s."/>
    <s v="706"/>
    <x v="1"/>
    <x v="0"/>
    <s v="Zlín"/>
    <s v="Zlín, nám. T. G. Masaryka 2433, PSČ 76001"/>
    <s v="94120"/>
    <s v="Činnosti profesních organizací"/>
    <m/>
    <m/>
    <m/>
    <m/>
    <m/>
    <m/>
    <m/>
    <m/>
    <m/>
    <m/>
    <m/>
    <m/>
    <m/>
    <m/>
    <m/>
    <m/>
    <m/>
  </r>
  <r>
    <s v="75144778"/>
    <s v="ASOCIACE NESTÁTNÍCH NEZISKOVÝCH ORGANIZACÍ ZLÍNSKÉHO KRAJE z.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905511"/>
    <s v="Asociace nestátních otevřených památek, z. s."/>
    <s v="706"/>
    <x v="1"/>
    <x v="3"/>
    <s v="Kroměříž"/>
    <s v="Kroměříž, Sněmovní náměstí 1/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656115"/>
    <s v="Asociace podniků topenářské techniky, z.s."/>
    <s v="706"/>
    <x v="1"/>
    <x v="1"/>
    <s v="Valašské Meziříčí"/>
    <s v="Valašské Meziříčí, Krásno nad Bečvou, M. Alše 822, PSČ 75701"/>
    <s v="94120"/>
    <s v="Činnosti profesních organizací"/>
    <s v="Ostatní profesní, vědecké a technické činnosti"/>
    <s v="Architektonické a inženýrské činnosti a související technické poradenství"/>
    <m/>
    <m/>
    <m/>
    <m/>
    <m/>
    <m/>
    <m/>
    <m/>
    <m/>
    <m/>
    <m/>
    <m/>
    <m/>
    <m/>
    <m/>
  </r>
  <r>
    <s v="22870121"/>
    <s v="Asociace pokerového klubu BONUS o.s."/>
    <s v="706"/>
    <x v="1"/>
    <x v="3"/>
    <s v="Kroměříž"/>
    <s v="Kroměříž, Riegrovo náměstí 154/2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18905"/>
    <s v="Asociace poskytovatelů jednodenní péče na lůžku, z.s."/>
    <s v="706"/>
    <x v="1"/>
    <x v="3"/>
    <s v="Kroměříž"/>
    <s v="Kroměříž, náměstí Míru 3760/11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1372432"/>
    <s v="Asociace pro internetové zákazníky, o.s."/>
    <s v="706"/>
    <x v="1"/>
    <x v="2"/>
    <s v="Uherské Hradiště"/>
    <s v="Uherské Hradiště, Tyršovo náměstí 44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8012"/>
    <s v="ASOCIACE PROVOZOVATELŮ DĚTSKÝCH TÁBORŮ o.s."/>
    <s v="706"/>
    <x v="1"/>
    <x v="0"/>
    <s v="Otrokovice"/>
    <s v="Otrokovice, tř. Tomáše Bati 1266, PSČ 76502"/>
    <s v="94991"/>
    <s v="Činnosti organizací dětí a mládeže"/>
    <m/>
    <m/>
    <m/>
    <m/>
    <m/>
    <m/>
    <m/>
    <m/>
    <m/>
    <m/>
    <m/>
    <m/>
    <m/>
    <m/>
    <m/>
    <m/>
    <m/>
  </r>
  <r>
    <s v="26990563"/>
    <s v="Asociace přátel armády a vojenské historie S.M.C. Bystřice p.Host."/>
    <s v="706"/>
    <x v="1"/>
    <x v="3"/>
    <s v="Bystřice pod Hostýnem"/>
    <s v="Bystřice pod Hostýnem, Palackého 1177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075164"/>
    <s v="Asociace přátel GJP a SOŠ Slavičín, z.s."/>
    <s v="706"/>
    <x v="1"/>
    <x v="0"/>
    <s v="Slavičín"/>
    <s v="Slavičín, Osvobození 255, PSČ 76321"/>
    <s v="94999"/>
    <s v="Činnosti ostatních organizací j. n."/>
    <m/>
    <m/>
    <m/>
    <m/>
    <m/>
    <m/>
    <m/>
    <m/>
    <m/>
    <m/>
    <m/>
    <m/>
    <m/>
    <m/>
    <m/>
    <m/>
    <m/>
  </r>
  <r>
    <s v="22743642"/>
    <s v="Asociace regionálních a lokálních televizí - ARLT, z.s."/>
    <s v="706"/>
    <x v="1"/>
    <x v="2"/>
    <s v="Uherské Hradiště"/>
    <s v="Uherské Hradiště, Palackého náměstí 29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8749"/>
    <s v="Asociace regionálních partnerů"/>
    <s v="706"/>
    <x v="1"/>
    <x v="0"/>
    <s v="Slavičín"/>
    <s v="Slavičín, Horní náměstí 821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5939"/>
    <s v="Asociace rekreačního sportu"/>
    <s v="706"/>
    <x v="1"/>
    <x v="0"/>
    <s v="Otrokovice"/>
    <s v="Otrokovice, Čechova 456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5688"/>
    <s v="Asociace rodičů a přátel Gymnázia Jana Pivečky Slavičín, občanské sdružení"/>
    <s v="706"/>
    <x v="1"/>
    <x v="0"/>
    <s v="Slavičín"/>
    <s v="Slavičín, Školní 822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90154"/>
    <s v="Asociace rodičů a přátel zdravotně postižených dětí v ČR, z. s., Klub STONOšKA"/>
    <s v="736"/>
    <x v="0"/>
    <x v="3"/>
    <s v="Bystřice pod Hostýnem"/>
    <s v="Bystřice pod Hostýnem, Masarykovo nám. 140, PSČ 7686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44018827"/>
    <s v="Asociace rodičů a přátel zdravotně postižených dětí v ČR, z.s. Klub Uherské Hradiště"/>
    <s v="736"/>
    <x v="0"/>
    <x v="2"/>
    <s v="Kunovice"/>
    <s v="Kunovice, V Humnech 1400, PSČ 6860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857733"/>
    <s v="Asociace řidičů České republiky"/>
    <s v="706"/>
    <x v="1"/>
    <x v="0"/>
    <s v="Zlín"/>
    <s v="Zlín, Malenovice, třída Svobody 775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728018"/>
    <s v="Asociace soukromého zemědělství okresu Kroměříž, z.s."/>
    <s v="706"/>
    <x v="1"/>
    <x v="3"/>
    <s v="Prasklice"/>
    <s v="Prasklice 125, PSČ 76833"/>
    <s v="9499"/>
    <s v="Činnosti ostatních organizací sdružujících osoby za účelem prosazování společných zájmů j. n."/>
    <s v="Velkoobchod, kromě motorových vozidel"/>
    <s v="Maloobchod, kromě motorových vozidel"/>
    <s v="Stravování v restauracích, u stánků a v mobilních zařízeních"/>
    <s v="Univerzální administrativní činnosti"/>
    <s v="Destilace, rektifikace a míchání lihovin"/>
    <m/>
    <m/>
    <m/>
    <m/>
    <m/>
    <m/>
    <m/>
    <m/>
    <m/>
    <m/>
    <m/>
    <m/>
  </r>
  <r>
    <s v="22823760"/>
    <s v="Asociace soukromého zemědělství okresu Vsetín, z.s."/>
    <s v="706"/>
    <x v="1"/>
    <x v="1"/>
    <s v="Valašská Bystřice"/>
    <s v="Valašská Bystřice 483, PSČ 75627"/>
    <s v="94120"/>
    <s v="Činnosti profesních organizací"/>
    <m/>
    <m/>
    <m/>
    <m/>
    <m/>
    <m/>
    <m/>
    <m/>
    <m/>
    <m/>
    <m/>
    <m/>
    <m/>
    <m/>
    <m/>
    <m/>
    <m/>
  </r>
  <r>
    <s v="68686722"/>
    <s v="Asociace sportu pro všechny Slušovice, z.s."/>
    <s v="706"/>
    <x v="1"/>
    <x v="0"/>
    <s v="Slušovice"/>
    <s v="Slušovice, Na Stráni 601, PSČ 76315"/>
    <s v="931"/>
    <s v="Sportovní činnosti"/>
    <m/>
    <m/>
    <m/>
    <m/>
    <m/>
    <m/>
    <m/>
    <m/>
    <m/>
    <m/>
    <m/>
    <m/>
    <m/>
    <m/>
    <m/>
    <m/>
    <m/>
  </r>
  <r>
    <s v="22756124"/>
    <s v="„Asociace Tectum”"/>
    <s v="706"/>
    <x v="1"/>
    <x v="0"/>
    <s v="Zlín"/>
    <s v="Zlín, 2. května 409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7779"/>
    <s v="Asociace televizních studií"/>
    <s v="706"/>
    <x v="1"/>
    <x v="0"/>
    <s v="Zlín"/>
    <s v="Zlín, Zarámí 442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31837"/>
    <s v="Asociace TOM ČR, TOM 1401 Špendlíci"/>
    <s v="736"/>
    <x v="0"/>
    <x v="0"/>
    <s v="Zlín"/>
    <s v="Zlín, Moravská 4777, PSČ 76005"/>
    <s v="94991"/>
    <s v="Činnosti organizací dětí a mládeže"/>
    <m/>
    <m/>
    <m/>
    <m/>
    <m/>
    <m/>
    <m/>
    <m/>
    <m/>
    <m/>
    <m/>
    <m/>
    <m/>
    <m/>
    <m/>
    <m/>
    <m/>
  </r>
  <r>
    <s v="70854904"/>
    <s v="Asociace TOM ČR, TOM 1403 Azimut Napajedla"/>
    <s v="736"/>
    <x v="0"/>
    <x v="0"/>
    <s v="Napajedla"/>
    <s v="Napajedla, Lány 844, PSČ 76361"/>
    <s v="94991"/>
    <s v="Činnosti organizací dětí a mládeže"/>
    <m/>
    <m/>
    <m/>
    <m/>
    <m/>
    <m/>
    <m/>
    <m/>
    <m/>
    <m/>
    <m/>
    <m/>
    <m/>
    <m/>
    <m/>
    <m/>
    <m/>
  </r>
  <r>
    <s v="02332272"/>
    <s v="Asociace TOM ČR, TOM 1407 Tuláci"/>
    <s v="736"/>
    <x v="0"/>
    <x v="0"/>
    <s v="Zlín"/>
    <s v="Zlín, Moravská 4777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4439313"/>
    <s v="Asociace TOM ČR, TOM 1419 Otrokovice"/>
    <s v="736"/>
    <x v="0"/>
    <x v="0"/>
    <s v="Otrokovice"/>
    <s v="Otrokovice, Přístavní 5204, PSČ 76502"/>
    <s v="94991"/>
    <s v="Činnosti organizací dětí a mládeže"/>
    <m/>
    <m/>
    <m/>
    <m/>
    <m/>
    <m/>
    <m/>
    <m/>
    <m/>
    <m/>
    <m/>
    <m/>
    <m/>
    <m/>
    <m/>
    <m/>
    <m/>
  </r>
  <r>
    <s v="68726848"/>
    <s v="Asociace TOM ČR, TOM 19048 SOPTÍCI"/>
    <s v="736"/>
    <x v="0"/>
    <x v="3"/>
    <s v="Rajnochovice"/>
    <s v="Rajnochovice 190, PSČ 76871"/>
    <s v="94991"/>
    <s v="Činnosti organizací dětí a mládeže"/>
    <m/>
    <m/>
    <m/>
    <m/>
    <m/>
    <m/>
    <m/>
    <m/>
    <m/>
    <m/>
    <m/>
    <m/>
    <m/>
    <m/>
    <m/>
    <m/>
    <m/>
  </r>
  <r>
    <s v="70973181"/>
    <s v="Asociace TOM ČR, TOM 19153 OYATE WOAPE Otrokovice"/>
    <s v="736"/>
    <x v="0"/>
    <x v="0"/>
    <s v="Otrokovice"/>
    <s v="Otrokovice, Kvítkovice, SNP 1177, PSČ 76502"/>
    <s v="94991"/>
    <s v="Činnosti organizací dětí a mládeže"/>
    <m/>
    <m/>
    <m/>
    <m/>
    <m/>
    <m/>
    <m/>
    <m/>
    <m/>
    <m/>
    <m/>
    <m/>
    <m/>
    <m/>
    <m/>
    <m/>
    <m/>
  </r>
  <r>
    <s v="71190848"/>
    <s v="Asociace TOM ČR, TOM 19178 Čižici Vizovice"/>
    <s v="736"/>
    <x v="0"/>
    <x v="0"/>
    <s v="Vizovice"/>
    <s v="Vizovice, Pardubská 217, PSČ 76312"/>
    <s v="94991"/>
    <s v="Činnosti organizací dětí a mládeže"/>
    <m/>
    <m/>
    <m/>
    <m/>
    <m/>
    <m/>
    <m/>
    <m/>
    <m/>
    <m/>
    <m/>
    <m/>
    <m/>
    <m/>
    <m/>
    <m/>
    <m/>
  </r>
  <r>
    <s v="75102617"/>
    <s v="Asociace TOM ČR, TOM 21401 Kamínek Chropyně"/>
    <s v="736"/>
    <x v="0"/>
    <x v="3"/>
    <s v="Chropyně"/>
    <s v="Chropyně, Komenského 335, PSČ 76811"/>
    <s v="94991"/>
    <s v="Činnosti organizací dětí a mládeže"/>
    <m/>
    <m/>
    <m/>
    <m/>
    <m/>
    <m/>
    <m/>
    <m/>
    <m/>
    <m/>
    <m/>
    <m/>
    <m/>
    <m/>
    <m/>
    <m/>
    <m/>
  </r>
  <r>
    <s v="60383119"/>
    <s v="Asociace TOM ČR, TOM 3003 Pawnee"/>
    <s v="736"/>
    <x v="0"/>
    <x v="3"/>
    <s v="Bystřice pod Hostýnem"/>
    <s v="Bystřice pod Hostýnem, Pod Zábřehem 1503, PSČ 76861"/>
    <s v="94991"/>
    <s v="Činnosti organizací dětí a mládeže"/>
    <m/>
    <m/>
    <m/>
    <m/>
    <m/>
    <m/>
    <m/>
    <m/>
    <m/>
    <m/>
    <m/>
    <m/>
    <m/>
    <m/>
    <m/>
    <m/>
    <m/>
  </r>
  <r>
    <s v="71195351"/>
    <s v="Asociace TOM ČR, TOM 7007 Tupesy"/>
    <s v="736"/>
    <x v="0"/>
    <x v="2"/>
    <s v="Tupesy"/>
    <s v="Tupesy 112, PSČ 68707"/>
    <s v="94991"/>
    <s v="Činnosti organizací dětí a mládeže"/>
    <m/>
    <m/>
    <m/>
    <m/>
    <m/>
    <m/>
    <m/>
    <m/>
    <m/>
    <m/>
    <m/>
    <m/>
    <m/>
    <m/>
    <m/>
    <m/>
    <m/>
  </r>
  <r>
    <s v="71193545"/>
    <s v="Asociace TOM ČR, TOM 7015 Kamzík"/>
    <s v="736"/>
    <x v="0"/>
    <x v="2"/>
    <s v="Boršice"/>
    <s v="Boršice 190, PSČ 68709"/>
    <s v="94991"/>
    <s v="Činnosti organizací dětí a mládeže"/>
    <m/>
    <m/>
    <m/>
    <m/>
    <m/>
    <m/>
    <m/>
    <m/>
    <m/>
    <m/>
    <m/>
    <m/>
    <m/>
    <m/>
    <m/>
    <m/>
    <m/>
  </r>
  <r>
    <s v="02332256"/>
    <s v="Asociace TOM ČR, TOM 7016 Újezdec - Těšov"/>
    <s v="736"/>
    <x v="0"/>
    <x v="2"/>
    <s v="Uherský Brod"/>
    <s v="Uherský Brod, Újezdec, 1. května 282, PSČ 68734"/>
    <s v="94991"/>
    <s v="Činnosti organizací dětí a mládeže"/>
    <m/>
    <m/>
    <m/>
    <m/>
    <m/>
    <m/>
    <m/>
    <m/>
    <m/>
    <m/>
    <m/>
    <m/>
    <m/>
    <m/>
    <m/>
    <m/>
    <m/>
  </r>
  <r>
    <s v="71157841"/>
    <s v="Asociace TOM ČR, TOM 7308 Myšáci Kelč"/>
    <s v="736"/>
    <x v="0"/>
    <x v="1"/>
    <s v="Kelč"/>
    <s v="Kelč 214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335103"/>
    <s v="Asociace TOM ČR, TOM 7312 Zlaté šípy"/>
    <s v="736"/>
    <x v="0"/>
    <x v="1"/>
    <s v="Valašské Meziříčí"/>
    <s v="Valašské Meziříčí, Krásno nad Bečvou, Masarykova 90/6, PSČ 75701"/>
    <s v="94991"/>
    <s v="Činnosti organizací dětí a mládeže"/>
    <s v="Ostatní zpracovatelský průmysl"/>
    <s v="Výroba oděvů, kromě kožešinových výrobků"/>
    <s v="Tisk a činnosti související s tiskem"/>
    <s v="Maloobchod v nespecializovaných prodejnách"/>
    <s v="Stravování v restauracích, u stánků a v mobilních zařízeních"/>
    <s v="Pronájem a leasing výrobků pro osobní potřebu a převážně pro domácnost"/>
    <s v="Ostatní vzdělávání"/>
    <s v="Tvůrčí, umělecké a zábavní činnosti"/>
    <s v="Sportovní činnosti"/>
    <s v="Výroba ostatních dřevěných, korkových, proutěných a slaměných výrobků, kromě nábytku"/>
    <m/>
    <m/>
    <m/>
    <m/>
    <m/>
    <m/>
    <m/>
  </r>
  <r>
    <s v="75137178"/>
    <s v="Asociace TOM ČR, TOM 7322 Zbojníci Francova Lhota"/>
    <s v="736"/>
    <x v="0"/>
    <x v="1"/>
    <s v="Francova Lhota"/>
    <s v="Francova Lhota 190, PSČ 75614"/>
    <s v="94991"/>
    <s v="Činnosti organizací dětí a mládeže"/>
    <m/>
    <m/>
    <m/>
    <m/>
    <m/>
    <m/>
    <m/>
    <m/>
    <m/>
    <m/>
    <m/>
    <m/>
    <m/>
    <m/>
    <m/>
    <m/>
    <m/>
  </r>
  <r>
    <s v="71197451"/>
    <s v="Asociace TOM ČR, TOM 7331 VSETÍN"/>
    <s v="736"/>
    <x v="0"/>
    <x v="1"/>
    <s v="Vsetín"/>
    <s v="Vsetín, Ohrada 183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439372"/>
    <s v="Asociace turistických oddílů mládeže ČR, TOM 1412 Otrokovice"/>
    <s v="736"/>
    <x v="0"/>
    <x v="0"/>
    <s v="Otrokovice"/>
    <s v="Otrokovice, nám. 3. května 166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96587"/>
    <s v="Asociace turistických oddílů mládeže ČR, TOM 19058 Skorci"/>
    <s v="736"/>
    <x v="0"/>
    <x v="1"/>
    <s v="Vsetín"/>
    <s v="Vsetín, Dolní Jasenka 17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07287"/>
    <s v="Asociace turistických oddílů mládeže ČR, TOM 19132 Medvědí stopa"/>
    <s v="736"/>
    <x v="0"/>
    <x v="3"/>
    <s v="Holešov"/>
    <s v="Holešov, Tyršova 1556, PSČ 76901"/>
    <s v="94991"/>
    <s v="Činnosti organizací dětí a mládeže"/>
    <m/>
    <m/>
    <m/>
    <m/>
    <m/>
    <m/>
    <m/>
    <m/>
    <m/>
    <m/>
    <m/>
    <m/>
    <m/>
    <m/>
    <m/>
    <m/>
    <m/>
  </r>
  <r>
    <s v="75043327"/>
    <s v="Asociace turistických oddílů mládeže ČR, TOM 19187 NIVNICE"/>
    <s v="736"/>
    <x v="0"/>
    <x v="2"/>
    <s v="Nivnice"/>
    <s v="Nivnice, Komenského 101, PSČ 68751"/>
    <s v="94991"/>
    <s v="Činnosti organizací dětí a mládeže"/>
    <m/>
    <m/>
    <m/>
    <m/>
    <m/>
    <m/>
    <m/>
    <m/>
    <m/>
    <m/>
    <m/>
    <m/>
    <m/>
    <m/>
    <m/>
    <m/>
    <m/>
  </r>
  <r>
    <s v="22900381"/>
    <s v="Asociace turistických oddílů mládeže ČR, TOM 21403 Divočáci"/>
    <s v="736"/>
    <x v="0"/>
    <x v="2"/>
    <s v="Nedachlebice"/>
    <s v="Nedachlebice 69, PSČ 687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7924755"/>
    <s v="Asociace turistických oddílů mládeže ČR, 20701 Korál"/>
    <s v="736"/>
    <x v="0"/>
    <x v="3"/>
    <s v="Chvalčov"/>
    <s v="Chvalčov č. ev. 198, PSČ 76872"/>
    <s v="94991"/>
    <s v="Činnosti organizací dětí a mládeže"/>
    <m/>
    <m/>
    <m/>
    <m/>
    <m/>
    <m/>
    <m/>
    <m/>
    <m/>
    <m/>
    <m/>
    <m/>
    <m/>
    <m/>
    <m/>
    <m/>
    <m/>
  </r>
  <r>
    <s v="65792351"/>
    <s v="Asociace víceúčelových ZO technických sportů a činností ČR, pobočný spolek Napajedla"/>
    <s v="736"/>
    <x v="0"/>
    <x v="0"/>
    <s v="Napajedla"/>
    <s v="Napajedla, Zámoraví 17, PSČ 76361"/>
    <s v="93110"/>
    <s v="Provozování sportovních zařízení"/>
    <m/>
    <m/>
    <m/>
    <m/>
    <m/>
    <m/>
    <m/>
    <m/>
    <m/>
    <m/>
    <m/>
    <m/>
    <m/>
    <m/>
    <m/>
    <m/>
    <m/>
  </r>
  <r>
    <s v="70435898"/>
    <s v="Asociace víceúčelových ZO technických sportů a činností Míkovice, z.s."/>
    <s v="706"/>
    <x v="1"/>
    <x v="2"/>
    <s v="Uherské Hradiště"/>
    <s v="Uherské Hradiště, Míkovice, Lesní 180, PSČ 68609"/>
    <s v="931"/>
    <s v="Sportovní činnosti"/>
    <m/>
    <m/>
    <m/>
    <m/>
    <m/>
    <m/>
    <m/>
    <m/>
    <m/>
    <m/>
    <m/>
    <m/>
    <m/>
    <m/>
    <m/>
    <m/>
    <m/>
  </r>
  <r>
    <s v="22742158"/>
    <s v="Asociace vydavatelů obecních periodik, o.s."/>
    <s v="706"/>
    <x v="1"/>
    <x v="0"/>
    <s v="Otrokovice"/>
    <s v="Otrokovice, tř. Spojenců 727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9255"/>
    <s v="ASOCIACE ZNALCŮ KURZOVÉHO SÁZENÍ"/>
    <s v="706"/>
    <x v="1"/>
    <x v="0"/>
    <s v="Zlín"/>
    <s v="Zlín, Zarámí 442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71846"/>
    <s v="Asociace 8.historického pluku francouzské řadové pěchoty, z.s."/>
    <s v="706"/>
    <x v="1"/>
    <x v="2"/>
    <s v="Buchlovice"/>
    <s v="Buchlovice, Boženy Němcové 513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2066"/>
    <s v="ASP Bikeshop Team o.s."/>
    <s v="706"/>
    <x v="1"/>
    <x v="0"/>
    <s v="Zlín"/>
    <s v="Zlín, Na Rusavě 332, Petr Šantavý"/>
    <s v="93110"/>
    <s v="Provozování sportovních zařízení"/>
    <m/>
    <m/>
    <m/>
    <m/>
    <m/>
    <m/>
    <m/>
    <m/>
    <m/>
    <m/>
    <m/>
    <m/>
    <m/>
    <m/>
    <m/>
    <m/>
    <m/>
  </r>
  <r>
    <s v="22730796"/>
    <s v="Aspiring Trips o.s."/>
    <s v="706"/>
    <x v="1"/>
    <x v="0"/>
    <s v="Zlín"/>
    <s v="Zlín-Příluky, Průmyslová zóna 2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7635"/>
    <s v="ASPOT HULÍN, z. s."/>
    <s v="706"/>
    <x v="1"/>
    <x v="3"/>
    <s v="Hulín"/>
    <s v="Hulín, U Stavu II 1234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2853"/>
    <s v="ASPV Loukov zapsaný spolek"/>
    <s v="706"/>
    <x v="1"/>
    <x v="3"/>
    <s v="Loukov"/>
    <s v="Loukov 219, PSČ 76875"/>
    <s v="93110"/>
    <s v="Provozování sportovních zařízení"/>
    <m/>
    <m/>
    <m/>
    <m/>
    <m/>
    <m/>
    <m/>
    <m/>
    <m/>
    <m/>
    <m/>
    <m/>
    <m/>
    <m/>
    <m/>
    <m/>
    <m/>
  </r>
  <r>
    <s v="26649641"/>
    <s v="ASPV SK ZLÍN, z.s."/>
    <s v="706"/>
    <x v="1"/>
    <x v="0"/>
    <s v="Zlín"/>
    <s v="Zlín, Hradská 854, PSČ 76001"/>
    <s v="93110"/>
    <s v="Provozování sportovních zařízení"/>
    <m/>
    <m/>
    <m/>
    <m/>
    <m/>
    <m/>
    <m/>
    <m/>
    <m/>
    <m/>
    <m/>
    <m/>
    <m/>
    <m/>
    <m/>
    <m/>
    <m/>
  </r>
  <r>
    <s v="22851518"/>
    <s v="ASSOCIATION OF CZECH PROFESSIONAL FIREWORKERS, z.s."/>
    <s v="706"/>
    <x v="1"/>
    <x v="1"/>
    <s v="Zděchov"/>
    <s v="Zděchov 48, PSČ 756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4229"/>
    <s v="AsTerDog, z.s."/>
    <s v="706"/>
    <x v="1"/>
    <x v="3"/>
    <s v="Kroměříž"/>
    <s v="Kroměříž, Kotojedská 2807/22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9267609"/>
    <s v="Astras, o.p.s."/>
    <s v="141"/>
    <x v="2"/>
    <x v="3"/>
    <s v="Kroměříž"/>
    <s v="Kroměříž, Purkyňova 702/3, PSČ 76701"/>
    <s v="88"/>
    <s v="Ambulantní nebo terénní sociální služby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04733371"/>
    <s v="Atelier ALTERNA, z.s."/>
    <s v="706"/>
    <x v="1"/>
    <x v="0"/>
    <s v="Zlín"/>
    <s v="Zlín, nám. T. G. Masaryka 128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0011"/>
    <s v="Ateliér Sebevzdělávání z. s."/>
    <s v="706"/>
    <x v="1"/>
    <x v="1"/>
    <s v="Rožnov pod Radhoštěm"/>
    <s v="Rožnov pod Radhoštěm, Tvarůžkova 432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78865"/>
    <s v="ATEX team"/>
    <s v="706"/>
    <x v="1"/>
    <x v="0"/>
    <s v="Otrokovice"/>
    <s v="Otrokovice, Kvítkovice, SNP 1191, PSČ 76502"/>
    <s v="931"/>
    <s v="Sportovní činnosti"/>
    <m/>
    <m/>
    <m/>
    <m/>
    <m/>
    <m/>
    <m/>
    <m/>
    <m/>
    <m/>
    <m/>
    <m/>
    <m/>
    <m/>
    <m/>
    <m/>
    <m/>
  </r>
  <r>
    <s v="09849513"/>
    <s v="ATLETICKÁ AKADEMIE ZLÍNSKÉHO KRAJE, z.s."/>
    <s v="706"/>
    <x v="1"/>
    <x v="0"/>
    <s v="Zlín"/>
    <s v="Zlín, Hradská 854, PSČ 76001"/>
    <s v="93190"/>
    <s v="Ostatní sportovní činnosti"/>
    <m/>
    <m/>
    <m/>
    <m/>
    <m/>
    <m/>
    <m/>
    <m/>
    <m/>
    <m/>
    <m/>
    <m/>
    <m/>
    <m/>
    <m/>
    <m/>
    <m/>
  </r>
  <r>
    <s v="18189181"/>
    <s v="ATLETICKÝ KLUB KROMĚŘÍŽ z.s."/>
    <s v="706"/>
    <x v="1"/>
    <x v="3"/>
    <s v="Kroměříž"/>
    <s v="Kroměříž, Vrchlického 2899/31, PSČ 76701"/>
    <s v="93110"/>
    <s v="Provozování sportovních zařízení"/>
    <m/>
    <m/>
    <m/>
    <m/>
    <m/>
    <m/>
    <m/>
    <m/>
    <m/>
    <m/>
    <m/>
    <m/>
    <m/>
    <m/>
    <m/>
    <m/>
    <m/>
  </r>
  <r>
    <s v="00350834"/>
    <s v="Atletický klub Zlín, z.s."/>
    <s v="706"/>
    <x v="1"/>
    <x v="0"/>
    <s v="Zlín"/>
    <s v="Zlín, Hradská 854, PSČ 76001"/>
    <s v="9311"/>
    <s v="Provozování sportovních zařízení"/>
    <m/>
    <m/>
    <m/>
    <m/>
    <m/>
    <m/>
    <m/>
    <m/>
    <m/>
    <m/>
    <m/>
    <m/>
    <m/>
    <m/>
    <m/>
    <m/>
    <m/>
  </r>
  <r>
    <s v="02057042"/>
    <s v="Atletika Holešov, z.s."/>
    <s v="706"/>
    <x v="1"/>
    <x v="3"/>
    <s v="Holešov"/>
    <s v="Holešov, nám. Svobody 175/37, PSČ 76901"/>
    <s v="93190"/>
    <s v="Ostatní sportovní činnosti"/>
    <m/>
    <m/>
    <m/>
    <m/>
    <m/>
    <m/>
    <m/>
    <m/>
    <m/>
    <m/>
    <m/>
    <m/>
    <m/>
    <m/>
    <m/>
    <m/>
    <m/>
  </r>
  <r>
    <s v="22864580"/>
    <s v="ATLETIKA S RADOSTÍ, z. s."/>
    <s v="706"/>
    <x v="1"/>
    <x v="2"/>
    <s v="Uherské Hradiště"/>
    <s v="Uherské Hradiště, Mánesova 649, PSČ 68601"/>
    <s v="93120"/>
    <s v="Činnosti sportovních klubů"/>
    <m/>
    <m/>
    <m/>
    <m/>
    <m/>
    <m/>
    <m/>
    <m/>
    <m/>
    <m/>
    <m/>
    <m/>
    <m/>
    <m/>
    <m/>
    <m/>
    <m/>
  </r>
  <r>
    <s v="26623307"/>
    <s v="Atmosféra, z.s."/>
    <s v="706"/>
    <x v="1"/>
    <x v="0"/>
    <s v="Zlín"/>
    <s v="Zlín, Velíková, Vlnitá 18, PSČ 76314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01425218"/>
    <s v="ATOMY Sport-club"/>
    <s v="706"/>
    <x v="1"/>
    <x v="3"/>
    <s v="Kroměříž"/>
    <s v="Kroměříž, Velehradská 2589/26, PSČ 76701"/>
    <s v="93120"/>
    <s v="Činnosti sportovních klubů"/>
    <m/>
    <m/>
    <m/>
    <m/>
    <m/>
    <m/>
    <m/>
    <m/>
    <m/>
    <m/>
    <m/>
    <m/>
    <m/>
    <m/>
    <m/>
    <m/>
    <m/>
  </r>
  <r>
    <s v="26620057"/>
    <s v="ATOS - jezdecká stáj z.s."/>
    <s v="706"/>
    <x v="1"/>
    <x v="0"/>
    <s v="Valašské Klobouky"/>
    <s v="Valašské Klobouky, Lipina 106"/>
    <s v="93120"/>
    <s v="Činnosti sportovních klubů"/>
    <m/>
    <m/>
    <m/>
    <m/>
    <m/>
    <m/>
    <m/>
    <m/>
    <m/>
    <m/>
    <m/>
    <m/>
    <m/>
    <m/>
    <m/>
    <m/>
    <m/>
  </r>
  <r>
    <s v="04292014"/>
    <s v="AUDIOHELP z.s. Uherský Brod"/>
    <s v="736"/>
    <x v="0"/>
    <x v="2"/>
    <s v="Uherský Brod"/>
    <s v="Uherský Brod, Mariánské nám. 2187, PSČ 688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878459"/>
    <s v="Augustian Foundation, o.s."/>
    <s v="706"/>
    <x v="1"/>
    <x v="2"/>
    <s v="Uherský Brod"/>
    <s v="Uherský Brod, Naardenská 2282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4509"/>
    <s v="Austy.net"/>
    <s v="706"/>
    <x v="1"/>
    <x v="1"/>
    <s v="Ústí"/>
    <s v="Ústí 132, PSČ 755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26133"/>
    <s v="AUTO KLUB ATC RACING TEAM v AČR"/>
    <s v="736"/>
    <x v="0"/>
    <x v="0"/>
    <s v="Slušovice"/>
    <s v="Slušovice, Dostihová 472, PSČ 76315"/>
    <s v="93120"/>
    <s v="Činnosti sportovních klubů"/>
    <m/>
    <m/>
    <m/>
    <m/>
    <m/>
    <m/>
    <m/>
    <m/>
    <m/>
    <m/>
    <m/>
    <m/>
    <m/>
    <m/>
    <m/>
    <m/>
    <m/>
  </r>
  <r>
    <s v="00530417"/>
    <s v="AUTO KLUB BARUM ZLÍN v AČR"/>
    <s v="736"/>
    <x v="0"/>
    <x v="0"/>
    <s v="Zlín"/>
    <s v="Zlín, Hornomlýnská 3715/7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8689934"/>
    <s v="Auto Klub Czech - Pro Motorsport v AČR"/>
    <s v="736"/>
    <x v="0"/>
    <x v="0"/>
    <s v="Zlín"/>
    <s v="Zlín, K Pasekám 2984/45, PSČ 76001"/>
    <s v="93120"/>
    <s v="Činnosti sportovních klubů"/>
    <m/>
    <m/>
    <m/>
    <m/>
    <m/>
    <m/>
    <m/>
    <m/>
    <m/>
    <m/>
    <m/>
    <m/>
    <m/>
    <m/>
    <m/>
    <m/>
    <m/>
  </r>
  <r>
    <s v="00533742"/>
    <s v="AUTO KLUB ČR Rožnov pod Radhoštěm v AČR"/>
    <s v="736"/>
    <x v="0"/>
    <x v="1"/>
    <s v="Rožnov pod Radhoštěm"/>
    <s v="Rožnov pod Radhoštěm, Svazarmovská 865"/>
    <s v="94993"/>
    <s v="Činnosti organizací na podporu rekreační a zájmové činnosti"/>
    <s v="Opravy a údržba motorových vozidel, kromě motocyklů"/>
    <s v="Stravování v restauracích, u stánků a v mobilních zařízeních"/>
    <s v="Činnosti sportovních klubů"/>
    <m/>
    <m/>
    <m/>
    <m/>
    <m/>
    <m/>
    <m/>
    <m/>
    <m/>
    <m/>
    <m/>
    <m/>
    <m/>
    <m/>
  </r>
  <r>
    <s v="65765567"/>
    <s v="Auto klub JIP TRANS v AČR"/>
    <s v="736"/>
    <x v="0"/>
    <x v="0"/>
    <s v="Fryšták"/>
    <s v="Fryšták, Horní Ves, Osvobození 122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2898"/>
    <s v="AUTO KLUB MOBA RALLY TEAM"/>
    <s v="736"/>
    <x v="0"/>
    <x v="0"/>
    <s v="Slušovice"/>
    <s v="Slušovice, Školní 618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483"/>
    <s v="AUTO KLUB PASEKY ZLÍN V AČR"/>
    <s v="736"/>
    <x v="0"/>
    <x v="0"/>
    <s v="Zlín"/>
    <s v="Zlín, Křiby 470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15989"/>
    <s v="Auto Klub Pizzeria Pneta Zlín v AČR"/>
    <s v="736"/>
    <x v="0"/>
    <x v="0"/>
    <s v="Zlín"/>
    <s v="Zlín, Mokrá 290"/>
    <s v="93120"/>
    <s v="Činnosti sportovních klubů"/>
    <m/>
    <m/>
    <m/>
    <m/>
    <m/>
    <m/>
    <m/>
    <m/>
    <m/>
    <m/>
    <m/>
    <m/>
    <m/>
    <m/>
    <m/>
    <m/>
    <m/>
  </r>
  <r>
    <s v="65822412"/>
    <s v="AUTO KLUB RALLY PRODUCTION ZLÍN v AČR"/>
    <s v="736"/>
    <x v="0"/>
    <x v="0"/>
    <s v="Zlín"/>
    <s v="Zlín, Lorencova 9"/>
    <s v="9499"/>
    <s v="Činnosti ostatních organizací sdružujících osoby za účelem prosazování společných zájmů j. n."/>
    <s v="Zprostředkování velkoobchodu a velkoobchod v zastoupení"/>
    <s v="Vydávání knih, periodických publikací a ostatní vydavatelské činnosti"/>
    <m/>
    <m/>
    <m/>
    <m/>
    <m/>
    <m/>
    <m/>
    <m/>
    <m/>
    <m/>
    <m/>
    <m/>
    <m/>
    <m/>
    <m/>
  </r>
  <r>
    <s v="65822781"/>
    <s v="AUTO KLUB SACO MOTORSPORT, sdružení osob"/>
    <s v="736"/>
    <x v="0"/>
    <x v="0"/>
    <s v="Zlín"/>
    <s v="Zlín, Jaroslavice"/>
    <s v="9499"/>
    <s v="Činnosti ostatních organizací sdružujících osoby za účelem prosazování společných zájmů j. n."/>
    <s v="Reklamní činnosti"/>
    <m/>
    <m/>
    <m/>
    <m/>
    <m/>
    <m/>
    <m/>
    <m/>
    <m/>
    <m/>
    <m/>
    <m/>
    <m/>
    <m/>
    <m/>
    <m/>
  </r>
  <r>
    <s v="70895414"/>
    <s v="Auto Klub Star Club Zlín v AČR"/>
    <s v="736"/>
    <x v="0"/>
    <x v="0"/>
    <s v="Zlín"/>
    <s v="Zlín, Smetanova 2401"/>
    <s v="93120"/>
    <s v="Činnosti sportovních klubů"/>
    <m/>
    <m/>
    <m/>
    <m/>
    <m/>
    <m/>
    <m/>
    <m/>
    <m/>
    <m/>
    <m/>
    <m/>
    <m/>
    <m/>
    <m/>
    <m/>
    <m/>
  </r>
  <r>
    <s v="65823486"/>
    <s v="Auto klub TAOL Motorsport Zlín v AČR"/>
    <s v="736"/>
    <x v="0"/>
    <x v="0"/>
    <s v="Zlín"/>
    <s v="Zlín, Obeciny 4180"/>
    <s v="9499"/>
    <s v="Činnosti ostatních organizací sdružujících osoby za účelem prosazování společných zájmů j. n."/>
    <s v="Reklamní činnosti"/>
    <m/>
    <m/>
    <m/>
    <m/>
    <m/>
    <m/>
    <m/>
    <m/>
    <m/>
    <m/>
    <m/>
    <m/>
    <m/>
    <m/>
    <m/>
    <m/>
  </r>
  <r>
    <s v="65822846"/>
    <s v="AUTO KLUB V AČR CAIS MOTORSPORT"/>
    <s v="736"/>
    <x v="0"/>
    <x v="0"/>
    <s v="Fryšták"/>
    <s v="Fryšták, Horní Ves, Spojovací 333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055362"/>
    <s v="AUTOGARÁŽE 83. z.s."/>
    <s v="706"/>
    <x v="1"/>
    <x v="1"/>
    <s v="Vsetín"/>
    <s v="Vsetín, Těšíkov 1173, PSČ 75501"/>
    <s v="8553"/>
    <s v="Činnosti autoškol a jiných škol řízení"/>
    <m/>
    <m/>
    <m/>
    <m/>
    <m/>
    <m/>
    <m/>
    <m/>
    <m/>
    <m/>
    <m/>
    <m/>
    <m/>
    <m/>
    <m/>
    <m/>
    <m/>
  </r>
  <r>
    <s v="21633002"/>
    <s v="AUTOKLUB BOJKOVICE z.s."/>
    <s v="706"/>
    <x v="1"/>
    <x v="2"/>
    <s v="Bojkovice"/>
    <s v="Bojkovice, Luhačovická 999, PSČ 687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14783"/>
    <s v="Autoklub Bystřice pod Hostýnem v AČR"/>
    <s v="736"/>
    <x v="0"/>
    <x v="3"/>
    <s v="Bystřice pod Hostýnem"/>
    <s v="Bystřice pod Hostýnem, Čs. brigády 115, PSČ 76861"/>
    <s v="93120"/>
    <s v="Činnosti sportovních klubů"/>
    <m/>
    <m/>
    <m/>
    <m/>
    <m/>
    <m/>
    <m/>
    <m/>
    <m/>
    <m/>
    <m/>
    <m/>
    <m/>
    <m/>
    <m/>
    <m/>
    <m/>
  </r>
  <r>
    <s v="47930578"/>
    <s v="Autoklub Chropyně z.s."/>
    <s v="706"/>
    <x v="1"/>
    <x v="3"/>
    <s v="Chropyně"/>
    <s v="Chropyně, Komenského 149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91058"/>
    <s v="Autoklub České republiky Rally Motor sport klub"/>
    <s v="736"/>
    <x v="0"/>
    <x v="1"/>
    <s v="Valašské Meziříčí"/>
    <s v="Valašské Meziříčí, Podlesí 82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3383"/>
    <s v="Autoklub GATRAK RALLYE SPORT"/>
    <s v="736"/>
    <x v="0"/>
    <x v="0"/>
    <s v="Slušovice"/>
    <s v="Slušovice, Školní PO BOX 45 202"/>
    <s v="9499"/>
    <s v="Činnosti ostatních organizací sdružujících osoby za účelem prosazování společných zájmů j. n."/>
    <s v="Pronájem a správa vlastních nebo pronajatých nemovitostí"/>
    <m/>
    <m/>
    <m/>
    <m/>
    <m/>
    <m/>
    <m/>
    <m/>
    <m/>
    <m/>
    <m/>
    <m/>
    <m/>
    <m/>
    <m/>
    <m/>
  </r>
  <r>
    <s v="47934433"/>
    <s v="Autoklub Holešov v AČR"/>
    <s v="736"/>
    <x v="0"/>
    <x v="3"/>
    <s v="Holešov"/>
    <s v="Holešov, Bartošova 993/24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7934794"/>
    <s v="AUTOKLUB MORKOVICE v AČR"/>
    <s v="736"/>
    <x v="0"/>
    <x v="3"/>
    <s v="Morkovice-Slížany"/>
    <s v="Morkovice-Slížany, Slížany 31, PSČ 768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542725"/>
    <s v="AUTOKLUB Staré Město v AČR"/>
    <s v="736"/>
    <x v="0"/>
    <x v="2"/>
    <s v="Staré Město"/>
    <s v="Staré Město, náměstí Hrdinů 100, PSČ 68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1950"/>
    <s v="Autoklub v AČR Březolupy"/>
    <s v="736"/>
    <x v="0"/>
    <x v="2"/>
    <s v="Březolupy"/>
    <s v="Březolupy 475, PSČ 6871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94721"/>
    <s v="AUTOKLUB Valašské Meziříčí v AČR"/>
    <s v="736"/>
    <x v="0"/>
    <x v="1"/>
    <s v="Valašské Meziříčí"/>
    <s v="Valašské Meziříčí, Mikoláše Alš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469372"/>
    <s v="Autoklub Vsetín - město v AČR"/>
    <s v="736"/>
    <x v="0"/>
    <x v="1"/>
    <s v="Vsetín"/>
    <s v="Vsetín, Dolní Jasenka 744, PSČ 75501"/>
    <s v="94993"/>
    <s v="Činnosti organizací na podporu rekreační a zájmové činnosti"/>
    <s v="Reklamní činnosti"/>
    <s v="Ostatní sportovní činnosti"/>
    <m/>
    <m/>
    <m/>
    <m/>
    <m/>
    <m/>
    <m/>
    <m/>
    <m/>
    <m/>
    <m/>
    <m/>
    <m/>
    <m/>
    <m/>
  </r>
  <r>
    <s v="00545708"/>
    <s v="AUTOKLUB ZLÍN"/>
    <s v="736"/>
    <x v="0"/>
    <x v="0"/>
    <s v="Zlín"/>
    <s v="Zlín, Mladcová, Návesní 4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737677"/>
    <s v="AUTOMOTOKLUB JABLŮNKA v AČR"/>
    <s v="736"/>
    <x v="0"/>
    <x v="1"/>
    <s v="Jablůnka"/>
    <s v="Jablůnka 607, PSČ 756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18724"/>
    <s v="Automotoklub Nedakonice"/>
    <s v="706"/>
    <x v="1"/>
    <x v="2"/>
    <s v="Nedakonice"/>
    <s v="č.p. 80, 687 38 Nedakon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5531406"/>
    <s v="AUTOMOTOKLUB PŘI OBUVNICKÉM PRŮMYSLU SVIT, A.S."/>
    <s v="736"/>
    <x v="0"/>
    <x v="0"/>
    <s v="Zlín"/>
    <s v="Zlín, U STADIONU"/>
    <s v="93110"/>
    <s v="Provozování sportovních zařízení"/>
    <m/>
    <m/>
    <m/>
    <m/>
    <m/>
    <m/>
    <m/>
    <m/>
    <m/>
    <m/>
    <m/>
    <m/>
    <m/>
    <m/>
    <m/>
    <m/>
    <m/>
  </r>
  <r>
    <s v="46254510"/>
    <s v="AUTOMOTOKLUB ZÁHOROVICE v ÚAMK"/>
    <s v="736"/>
    <x v="0"/>
    <x v="2"/>
    <s v="Záhorovice"/>
    <s v="Záhorovice 390, PSČ 687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1551"/>
    <s v="AUTORODEO TARGET"/>
    <s v="706"/>
    <x v="1"/>
    <x v="2"/>
    <s v="Uherské Hradiště"/>
    <s v="Uherské Hradiště, Mariánské náměstí 74, PSČ 68601"/>
    <s v="931"/>
    <s v="Sportovní činnosti"/>
    <m/>
    <m/>
    <m/>
    <m/>
    <m/>
    <m/>
    <m/>
    <m/>
    <m/>
    <m/>
    <m/>
    <m/>
    <m/>
    <m/>
    <m/>
    <m/>
    <m/>
  </r>
  <r>
    <s v="00561622"/>
    <s v="AUTOSPORT Přerov-klub v AČR"/>
    <s v="736"/>
    <x v="0"/>
    <x v="3"/>
    <s v="Nová Dědina"/>
    <s v="Nová Dědina č. ev. 131, PSČ 768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083825"/>
    <s v="Auxilium o.p.s."/>
    <s v="141"/>
    <x v="2"/>
    <x v="1"/>
    <s v="Hošťálková"/>
    <s v="Hošťálková 428, PSČ 75622"/>
    <s v="8899"/>
    <s v="Ostatní ambulantní nebo terénní sociální služby j. n."/>
    <s v="Ostatní zpracovatelský průmysl"/>
    <s v="Jiné vzdělávání j. n."/>
    <m/>
    <m/>
    <m/>
    <m/>
    <m/>
    <m/>
    <m/>
    <m/>
    <m/>
    <m/>
    <m/>
    <m/>
    <m/>
    <m/>
    <m/>
  </r>
  <r>
    <s v="22748351"/>
    <s v="AUXIMA, spolek"/>
    <s v="706"/>
    <x v="1"/>
    <x v="2"/>
    <s v="Staré Město"/>
    <s v="Staré Město, Nerudova 1520, PSČ 6860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5342678"/>
    <s v="AVALON UH centrum osobního rozvoje a zdravého životního stylu, z. s."/>
    <s v="706"/>
    <x v="1"/>
    <x v="2"/>
    <s v="Uherské Hradiště"/>
    <s v="Uherské Hradiště, Na Splávku 516, PSČ 68601"/>
    <s v="9499"/>
    <s v="Činnosti ostatních organizací sdružujících osoby za účelem prosazování společných zájmů j. n."/>
    <s v="Výroba, obchod a služby neuvedené v přílohách 1 až 3 živnostenského zákona"/>
    <s v="Maloobchod v nespecializovaných prodejnách"/>
    <s v="Ostatní profesní, vědecké a technické činnosti j. n."/>
    <s v="Podpůrné činnosti pro scénická umění"/>
    <s v="Poskytování ostatních osobních služeb j. n."/>
    <m/>
    <m/>
    <m/>
    <m/>
    <m/>
    <m/>
    <m/>
    <m/>
    <m/>
    <m/>
    <m/>
    <m/>
  </r>
  <r>
    <s v="28340558"/>
    <s v="AveVia, o.p.s."/>
    <s v="141"/>
    <x v="2"/>
    <x v="0"/>
    <s v="Zlín"/>
    <s v="Zlín, Lužkovice, Na Gruntech 46, PSČ 76311"/>
    <s v="9499"/>
    <s v="Činnosti ostatních organizací sdružujících osoby za účelem prosazování společných zájmů j. n."/>
    <s v="Ostatní ambulantní nebo terénní sociální služby j. n."/>
    <s v="Činnosti související s webovými portály"/>
    <m/>
    <m/>
    <m/>
    <m/>
    <m/>
    <m/>
    <m/>
    <m/>
    <m/>
    <m/>
    <m/>
    <m/>
    <m/>
    <m/>
    <m/>
  </r>
  <r>
    <s v="22735305"/>
    <s v="AVION BIG BAND z.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97699"/>
    <s v="AVZO - TSČ - Poličná, p. s."/>
    <s v="736"/>
    <x v="0"/>
    <x v="1"/>
    <s v="Poličná"/>
    <s v="Poličná 110, PSČ 75701"/>
    <s v="93110"/>
    <s v="Provozování sportovních zařízení"/>
    <m/>
    <m/>
    <m/>
    <m/>
    <m/>
    <m/>
    <m/>
    <m/>
    <m/>
    <m/>
    <m/>
    <m/>
    <m/>
    <m/>
    <m/>
    <m/>
    <m/>
  </r>
  <r>
    <s v="46256105"/>
    <s v="AVZO ČR Buchlovice, pobočný spolek"/>
    <s v="736"/>
    <x v="0"/>
    <x v="2"/>
    <s v="Buchlovice"/>
    <s v="Buchlovice, náměstí Svobody 239, PSČ 68708"/>
    <s v="93110"/>
    <s v="Provozování sportovních zařízení"/>
    <s v="Ubytování v hotelích a podobných ubytovacích zařízeních"/>
    <m/>
    <m/>
    <m/>
    <m/>
    <m/>
    <m/>
    <m/>
    <m/>
    <m/>
    <m/>
    <m/>
    <m/>
    <m/>
    <m/>
    <m/>
    <m/>
  </r>
  <r>
    <s v="64123669"/>
    <s v="AVZO Dolní Bečva p.s."/>
    <s v="736"/>
    <x v="0"/>
    <x v="1"/>
    <s v="Dolní Bečva"/>
    <s v="Dolní Bečva 547, PSČ 75655"/>
    <s v="93120"/>
    <s v="Činnosti sportovních klubů"/>
    <m/>
    <m/>
    <m/>
    <m/>
    <m/>
    <m/>
    <m/>
    <m/>
    <m/>
    <m/>
    <m/>
    <m/>
    <m/>
    <m/>
    <m/>
    <m/>
    <m/>
  </r>
  <r>
    <s v="60370424"/>
    <s v="AVZO Kudlovice p.s."/>
    <s v="736"/>
    <x v="0"/>
    <x v="2"/>
    <s v="Kudlovice"/>
    <s v="Kudlovice 319, PSČ 68703"/>
    <s v="93110"/>
    <s v="Provozování sportovních zařízení"/>
    <m/>
    <m/>
    <m/>
    <m/>
    <m/>
    <m/>
    <m/>
    <m/>
    <m/>
    <m/>
    <m/>
    <m/>
    <m/>
    <m/>
    <m/>
    <m/>
    <m/>
  </r>
  <r>
    <s v="68898223"/>
    <s v="AVZO LIPTÁL p. s."/>
    <s v="736"/>
    <x v="0"/>
    <x v="1"/>
    <s v="Liptál"/>
    <s v="Liptál 1, PSČ 75631"/>
    <s v="931"/>
    <s v="Sportovní činnosti"/>
    <m/>
    <m/>
    <m/>
    <m/>
    <m/>
    <m/>
    <m/>
    <m/>
    <m/>
    <m/>
    <m/>
    <m/>
    <m/>
    <m/>
    <m/>
    <m/>
    <m/>
  </r>
  <r>
    <s v="75059622"/>
    <s v="AVZO TSČ ČR Krajské kolegium Zlínského kraje, p. s."/>
    <s v="736"/>
    <x v="0"/>
    <x v="0"/>
    <s v="Napajedla"/>
    <s v="Napajedla, Komenského 1158, PSČ 76361"/>
    <s v="931"/>
    <s v="Sportovní činnosti"/>
    <m/>
    <m/>
    <m/>
    <m/>
    <m/>
    <m/>
    <m/>
    <m/>
    <m/>
    <m/>
    <m/>
    <m/>
    <m/>
    <m/>
    <m/>
    <m/>
    <m/>
  </r>
  <r>
    <s v="05657032"/>
    <s v="AVZO TSČ ČR, Sportovní střelecký klub Zubří, p. s."/>
    <s v="736"/>
    <x v="0"/>
    <x v="1"/>
    <s v="Zubří"/>
    <s v="Zubří, Pod Ostrým 293, PSČ 75654"/>
    <s v="931"/>
    <s v="Sportovní činnosti"/>
    <m/>
    <m/>
    <m/>
    <m/>
    <m/>
    <m/>
    <m/>
    <m/>
    <m/>
    <m/>
    <m/>
    <m/>
    <m/>
    <m/>
    <m/>
    <m/>
    <m/>
  </r>
  <r>
    <s v="66184657"/>
    <s v="AVZO TSČ ČR, z. s. Pobočný spolek HUSLENKY"/>
    <s v="736"/>
    <x v="0"/>
    <x v="1"/>
    <s v="Huslenky"/>
    <s v="Huslenky 36, PSČ 75602"/>
    <s v="931"/>
    <s v="Sportovní činnosti"/>
    <m/>
    <m/>
    <m/>
    <m/>
    <m/>
    <m/>
    <m/>
    <m/>
    <m/>
    <m/>
    <m/>
    <m/>
    <m/>
    <m/>
    <m/>
    <m/>
    <m/>
  </r>
  <r>
    <s v="62182986"/>
    <s v="AVZO TSČ ČR, z. s. pobočný spolek Zlín - Tečovice"/>
    <s v="736"/>
    <x v="0"/>
    <x v="0"/>
    <s v="Tečovice"/>
    <s v="Tečovice 112, PSČ 76302"/>
    <s v="931"/>
    <s v="Sportovní činnosti"/>
    <m/>
    <m/>
    <m/>
    <m/>
    <m/>
    <m/>
    <m/>
    <m/>
    <m/>
    <m/>
    <m/>
    <m/>
    <m/>
    <m/>
    <m/>
    <m/>
    <m/>
  </r>
  <r>
    <s v="75150760"/>
    <s v="AVZO TSČ ČR Za Moravou p.s."/>
    <s v="736"/>
    <x v="0"/>
    <x v="0"/>
    <s v="Zlín"/>
    <s v="Zlín, třída Tomáše Bati 1287, PSČ 76001"/>
    <s v="931"/>
    <s v="Sportovní činnosti"/>
    <m/>
    <m/>
    <m/>
    <m/>
    <m/>
    <m/>
    <m/>
    <m/>
    <m/>
    <m/>
    <m/>
    <m/>
    <m/>
    <m/>
    <m/>
    <m/>
    <m/>
  </r>
  <r>
    <s v="47997800"/>
    <s v="AVZO TSČ ČR ZDĚCHOV"/>
    <s v="736"/>
    <x v="0"/>
    <x v="1"/>
    <s v="Zděchov"/>
    <s v="Zděchov 131, PSČ 75607"/>
    <s v="93110"/>
    <s v="Provozování sportovních zařízení"/>
    <m/>
    <m/>
    <m/>
    <m/>
    <m/>
    <m/>
    <m/>
    <m/>
    <m/>
    <m/>
    <m/>
    <m/>
    <m/>
    <m/>
    <m/>
    <m/>
    <m/>
  </r>
  <r>
    <s v="40995798"/>
    <s v="AVZO TSČ ČR ZO Automotoklub"/>
    <s v="736"/>
    <x v="0"/>
    <x v="0"/>
    <s v="Tlumačov"/>
    <s v="Tlumačov, Nádražní 761, PSČ 76362"/>
    <s v="931"/>
    <s v="Sportovní činnosti"/>
    <m/>
    <m/>
    <m/>
    <m/>
    <m/>
    <m/>
    <m/>
    <m/>
    <m/>
    <m/>
    <m/>
    <m/>
    <m/>
    <m/>
    <m/>
    <m/>
    <m/>
  </r>
  <r>
    <s v="22709070"/>
    <s v="AVZO TSČ ČR ZO Vizovice, p. s."/>
    <s v="736"/>
    <x v="0"/>
    <x v="0"/>
    <s v="Vizovice"/>
    <s v="Vizovice, Razov 710, PSČ 76312"/>
    <s v="931"/>
    <s v="Sportovní činnosti"/>
    <m/>
    <m/>
    <m/>
    <m/>
    <m/>
    <m/>
    <m/>
    <m/>
    <m/>
    <m/>
    <m/>
    <m/>
    <m/>
    <m/>
    <m/>
    <m/>
    <m/>
  </r>
  <r>
    <s v="44004206"/>
    <s v="AVZO TSČ Lukov, p.s."/>
    <s v="736"/>
    <x v="0"/>
    <x v="0"/>
    <s v="Lukov"/>
    <s v="Lukov, K Lůčkám 350, PSČ 76317"/>
    <s v="931"/>
    <s v="Sportovní činnosti"/>
    <m/>
    <m/>
    <m/>
    <m/>
    <m/>
    <m/>
    <m/>
    <m/>
    <m/>
    <m/>
    <m/>
    <m/>
    <m/>
    <m/>
    <m/>
    <m/>
    <m/>
  </r>
  <r>
    <s v="75044765"/>
    <s v="AVZO TSČ 80350, Valašské Klobouky, p. s."/>
    <s v="736"/>
    <x v="0"/>
    <x v="1"/>
    <s v="Lidečko"/>
    <s v="Lidečko 562, PSČ 75612"/>
    <s v="931"/>
    <s v="Sportovní činnosti"/>
    <m/>
    <m/>
    <m/>
    <m/>
    <m/>
    <m/>
    <m/>
    <m/>
    <m/>
    <m/>
    <m/>
    <m/>
    <m/>
    <m/>
    <m/>
    <m/>
    <m/>
  </r>
  <r>
    <s v="06641261"/>
    <s v="AVZO ZBROJOVKA VSETÍN, p. s."/>
    <s v="736"/>
    <x v="0"/>
    <x v="1"/>
    <s v="Vsetín"/>
    <s v="Vsetín, Jasenická 1639, PSČ 75501"/>
    <s v="931"/>
    <s v="Sportovní činnosti"/>
    <m/>
    <m/>
    <m/>
    <m/>
    <m/>
    <m/>
    <m/>
    <m/>
    <m/>
    <m/>
    <m/>
    <m/>
    <m/>
    <m/>
    <m/>
    <m/>
    <m/>
  </r>
  <r>
    <s v="26643669"/>
    <s v="AXESPORT, občanské sdružení"/>
    <s v="706"/>
    <x v="1"/>
    <x v="0"/>
    <s v="Zlín"/>
    <s v="Zlín, Slovenská 2841, PSČ 76001"/>
    <s v="93110"/>
    <s v="Provozování sportovních zařízení"/>
    <m/>
    <m/>
    <m/>
    <m/>
    <m/>
    <m/>
    <m/>
    <m/>
    <m/>
    <m/>
    <m/>
    <m/>
    <m/>
    <m/>
    <m/>
    <m/>
    <m/>
  </r>
  <r>
    <s v="06113435"/>
    <s v="AYCK z.s."/>
    <s v="706"/>
    <x v="1"/>
    <x v="3"/>
    <s v="Kroměříž"/>
    <s v="Kroměříž, Havlíčkova 2788/13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8179"/>
    <s v="AZ Všemina, o.s."/>
    <s v="706"/>
    <x v="1"/>
    <x v="0"/>
    <s v="Všemina"/>
    <s v="Všemina 300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27819"/>
    <s v="Azylová farma Jarikhanda, z.s."/>
    <s v="706"/>
    <x v="1"/>
    <x v="0"/>
    <s v="Březůvky"/>
    <s v="Březůvky 138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909614"/>
    <s v="Azylový dům pro ženy a matky s dětmi o.p.s."/>
    <s v="141"/>
    <x v="2"/>
    <x v="1"/>
    <s v="Vsetín"/>
    <s v="Vsetín, Hrbová 1561, PSČ 75501"/>
    <s v="8899"/>
    <s v="Ostatní ambulantní nebo terénní sociální služby j. n."/>
    <m/>
    <m/>
    <m/>
    <m/>
    <m/>
    <m/>
    <m/>
    <m/>
    <m/>
    <m/>
    <m/>
    <m/>
    <m/>
    <m/>
    <m/>
    <m/>
    <m/>
  </r>
  <r>
    <s v="07316178"/>
    <s v="Azylový ranč Valkýra, z. s."/>
    <s v="706"/>
    <x v="1"/>
    <x v="1"/>
    <s v="Velká Lhota"/>
    <s v="Velká Lhota 103, PSČ 7562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1310"/>
    <s v="Babčice, z. s."/>
    <s v="706"/>
    <x v="1"/>
    <x v="0"/>
    <s v="Spytihněv"/>
    <s v="Spytihněv 382, PSČ 763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5841"/>
    <s v="Badec Mástrs Vsetín o.s."/>
    <s v="706"/>
    <x v="1"/>
    <x v="1"/>
    <s v="Vsetín"/>
    <s v="Vsetín, Družby 1431, PSČ 75501"/>
    <s v="93190"/>
    <s v="Ostatní sportovní činnosti"/>
    <m/>
    <m/>
    <m/>
    <m/>
    <m/>
    <m/>
    <m/>
    <m/>
    <m/>
    <m/>
    <m/>
    <m/>
    <m/>
    <m/>
    <m/>
    <m/>
    <m/>
  </r>
  <r>
    <s v="08725179"/>
    <s v="Badminton Vigantice z.s."/>
    <s v="706"/>
    <x v="1"/>
    <x v="1"/>
    <s v="Vigantice"/>
    <s v="Vigantice 14, PSČ 75661"/>
    <s v="93190"/>
    <s v="Ostatní sportovní činnosti"/>
    <m/>
    <m/>
    <m/>
    <m/>
    <m/>
    <m/>
    <m/>
    <m/>
    <m/>
    <m/>
    <m/>
    <m/>
    <m/>
    <m/>
    <m/>
    <m/>
    <m/>
  </r>
  <r>
    <s v="22709746"/>
    <s v="Badminton Zlín, z.s."/>
    <s v="706"/>
    <x v="1"/>
    <x v="0"/>
    <s v="Zlín"/>
    <s v="Zlín, Nad Vývozem 4876, PSČ 76005"/>
    <s v="93120"/>
    <s v="Činnosti sportovních klubů"/>
    <m/>
    <m/>
    <m/>
    <m/>
    <m/>
    <m/>
    <m/>
    <m/>
    <m/>
    <m/>
    <m/>
    <m/>
    <m/>
    <m/>
    <m/>
    <m/>
    <m/>
  </r>
  <r>
    <s v="14322218"/>
    <s v="Badmintonový klub Hulín, z. s."/>
    <s v="706"/>
    <x v="1"/>
    <x v="3"/>
    <s v="Hulín"/>
    <s v="Hulín, Mezivodí 998, PSČ 76824"/>
    <s v="93120"/>
    <s v="Činnosti sportovních klubů"/>
    <m/>
    <m/>
    <m/>
    <m/>
    <m/>
    <m/>
    <m/>
    <m/>
    <m/>
    <m/>
    <m/>
    <m/>
    <m/>
    <m/>
    <m/>
    <m/>
    <m/>
  </r>
  <r>
    <s v="23252073"/>
    <s v="BajkTeč, z.s."/>
    <s v="706"/>
    <x v="1"/>
    <x v="0"/>
    <s v="Tečovice"/>
    <s v="Tečovice 413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33799"/>
    <s v="Baletní škola BALLERINE, z.s."/>
    <s v="706"/>
    <x v="1"/>
    <x v="3"/>
    <s v="Chvalčov"/>
    <s v="Chvalčov, Nová 713, PSČ 7687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62467"/>
    <s v="Ballin' Zlín, z. s."/>
    <s v="706"/>
    <x v="1"/>
    <x v="0"/>
    <s v="Zlín"/>
    <s v="Zlín, Příkrá 5354, PSČ 76001"/>
    <s v="93190"/>
    <s v="Ostatní sportovní činnosti"/>
    <m/>
    <m/>
    <m/>
    <m/>
    <m/>
    <m/>
    <m/>
    <m/>
    <m/>
    <m/>
    <m/>
    <m/>
    <m/>
    <m/>
    <m/>
    <m/>
    <m/>
  </r>
  <r>
    <s v="62830538"/>
    <s v="Balon Klub Slovácko z.s."/>
    <s v="706"/>
    <x v="1"/>
    <x v="2"/>
    <s v="Břestek"/>
    <s v="Břestek 316, PSČ 68708"/>
    <s v="93120"/>
    <s v="Činnosti sportovních klubů"/>
    <m/>
    <m/>
    <m/>
    <m/>
    <m/>
    <m/>
    <m/>
    <m/>
    <m/>
    <m/>
    <m/>
    <m/>
    <m/>
    <m/>
    <m/>
    <m/>
    <m/>
  </r>
  <r>
    <s v="26567580"/>
    <s v="&quot;BandR&quot;"/>
    <s v="706"/>
    <x v="1"/>
    <x v="2"/>
    <s v="Uherský Brod"/>
    <s v="Uherský Brod, U Fortny 215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2774"/>
    <s v="BAOBABY z.s."/>
    <s v="706"/>
    <x v="1"/>
    <x v="0"/>
    <s v="Hostišová"/>
    <s v="Hostišová, Hostišová - Horňák 102, PSČ 76301"/>
    <s v="9499"/>
    <s v="Činnosti ostatních organizací sdružujících osoby za účelem prosazování společných zájmů j. n."/>
    <s v="Velkoobchod, kromě motorových vozidel"/>
    <s v="Maloobchod, kromě motorových vozidel"/>
    <s v="Ostatní vzdělávání"/>
    <s v="Podpůrné činnosti pro scénická umění"/>
    <m/>
    <m/>
    <m/>
    <m/>
    <m/>
    <m/>
    <m/>
    <m/>
    <m/>
    <m/>
    <m/>
    <m/>
    <m/>
  </r>
  <r>
    <s v="22661603"/>
    <s v="BARBEN, o.s."/>
    <s v="706"/>
    <x v="1"/>
    <x v="0"/>
    <s v="Otrokovice"/>
    <s v="Otrokovice, tř. Tomáše Bati 94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6403"/>
    <s v="Bartošův soubor, z. 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6106"/>
    <s v="Barvy dětem"/>
    <s v="706"/>
    <x v="1"/>
    <x v="2"/>
    <s v="Uherské Hradiště"/>
    <s v="Uherské Hradiště, Na Morávce 605, PSČ 68601"/>
    <s v="94991"/>
    <s v="Činnosti organizací dětí a mládeže"/>
    <m/>
    <m/>
    <m/>
    <m/>
    <m/>
    <m/>
    <m/>
    <m/>
    <m/>
    <m/>
    <m/>
    <m/>
    <m/>
    <m/>
    <m/>
    <m/>
    <m/>
  </r>
  <r>
    <s v="26558432"/>
    <s v="BAS Myrmidon, o.s."/>
    <s v="706"/>
    <x v="1"/>
    <x v="0"/>
    <s v="Zlín"/>
    <s v="Zlín, Na Honech III 4927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73862"/>
    <s v="Baseball Club Cobblers Zlín z.s."/>
    <s v="706"/>
    <x v="1"/>
    <x v="0"/>
    <s v="Zlín"/>
    <s v="Zlín, J. A. Bati 5542, PSČ 76001"/>
    <s v="93120"/>
    <s v="Činnosti sportovních klubů"/>
    <m/>
    <m/>
    <m/>
    <m/>
    <m/>
    <m/>
    <m/>
    <m/>
    <m/>
    <m/>
    <m/>
    <m/>
    <m/>
    <m/>
    <m/>
    <m/>
    <m/>
  </r>
  <r>
    <s v="04293827"/>
    <s v="Basket Valmez, z.s."/>
    <s v="706"/>
    <x v="1"/>
    <x v="1"/>
    <s v="Valašské Meziříčí"/>
    <s v="Valašské Meziříčí, Hrachovec 30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40272"/>
    <s v="Basketbalová škola mládeže Kroměříž, o. s."/>
    <s v="706"/>
    <x v="1"/>
    <x v="3"/>
    <s v="Kroměříž"/>
    <s v="Kroměříž, Jiráskova 825/4, PSČ 76701"/>
    <s v="93190"/>
    <s v="Ostatní sportovní činnosti"/>
    <s v="Sportovní a rekreační vzdělávání"/>
    <m/>
    <m/>
    <m/>
    <m/>
    <m/>
    <m/>
    <m/>
    <m/>
    <m/>
    <m/>
    <m/>
    <m/>
    <m/>
    <m/>
    <m/>
    <m/>
  </r>
  <r>
    <s v="09751301"/>
    <s v="Baťovy dílny - Včera, dnes a zítra, z. s."/>
    <s v="706"/>
    <x v="1"/>
    <x v="0"/>
    <s v="Zlín"/>
    <s v="Zlín, Louky, třída Tomáše Bati 227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4278"/>
    <s v="BAV SE, z.s."/>
    <s v="706"/>
    <x v="1"/>
    <x v="0"/>
    <s v="Luhačovice"/>
    <s v="Luhačovice, Antonína Slavíčka 807, PSČ 76326"/>
    <s v="93190"/>
    <s v="Ostatní sportovní činnosti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01355678"/>
    <s v="BC Bruiser Kroměříž z.s."/>
    <s v="706"/>
    <x v="1"/>
    <x v="3"/>
    <s v="Kroměříž"/>
    <s v="Kroměříž, U Rejdiště 3726/3, PSČ 76701"/>
    <s v="93190"/>
    <s v="Ostatní sportovní činnosti"/>
    <m/>
    <m/>
    <m/>
    <m/>
    <m/>
    <m/>
    <m/>
    <m/>
    <m/>
    <m/>
    <m/>
    <m/>
    <m/>
    <m/>
    <m/>
    <m/>
    <m/>
  </r>
  <r>
    <s v="47935308"/>
    <s v="BC KROMĚŘÍŽ, z.s."/>
    <s v="706"/>
    <x v="1"/>
    <x v="3"/>
    <s v="Kroměříž"/>
    <s v="Kroměříž, Velehradská 625/4, PSČ 76701"/>
    <s v="93110"/>
    <s v="Provozování sportovních zařízení"/>
    <m/>
    <m/>
    <m/>
    <m/>
    <m/>
    <m/>
    <m/>
    <m/>
    <m/>
    <m/>
    <m/>
    <m/>
    <m/>
    <m/>
    <m/>
    <m/>
    <m/>
  </r>
  <r>
    <s v="06693954"/>
    <s v="BC LOKOMOTIVA KUNOVICE z.s."/>
    <s v="706"/>
    <x v="1"/>
    <x v="2"/>
    <s v="Uherské Hradiště"/>
    <s v="Uherské Hradiště, Mařatice, Sadová 979, PSČ 68605"/>
    <s v="93190"/>
    <s v="Ostatní sportovní činnosti"/>
    <m/>
    <m/>
    <m/>
    <m/>
    <m/>
    <m/>
    <m/>
    <m/>
    <m/>
    <m/>
    <m/>
    <m/>
    <m/>
    <m/>
    <m/>
    <m/>
    <m/>
  </r>
  <r>
    <s v="62832883"/>
    <s v="Beach volleybalový klub Staré Město"/>
    <s v="706"/>
    <x v="1"/>
    <x v="2"/>
    <s v="Staré Město"/>
    <s v="Staré Město, Brněnská 1249, sokolovna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37686"/>
    <s v="Beat Up Zlín, z.s."/>
    <s v="706"/>
    <x v="1"/>
    <x v="0"/>
    <s v="Zlín"/>
    <s v="Zlín, Bartošova 4393, PSČ 76001"/>
    <s v="93190"/>
    <s v="Ostatní sportovní činnosti"/>
    <m/>
    <m/>
    <m/>
    <m/>
    <m/>
    <m/>
    <m/>
    <m/>
    <m/>
    <m/>
    <m/>
    <m/>
    <m/>
    <m/>
    <m/>
    <m/>
    <m/>
  </r>
  <r>
    <s v="22818553"/>
    <s v="Bečvánek Beskydy, o. s."/>
    <s v="706"/>
    <x v="1"/>
    <x v="1"/>
    <s v="Horní Bečva"/>
    <s v="Horní Bečva 958, PSČ 75657"/>
    <s v="94991"/>
    <s v="Činnosti organizací dětí a mládeže"/>
    <m/>
    <m/>
    <m/>
    <m/>
    <m/>
    <m/>
    <m/>
    <m/>
    <m/>
    <m/>
    <m/>
    <m/>
    <m/>
    <m/>
    <m/>
    <m/>
    <m/>
  </r>
  <r>
    <s v="08246084"/>
    <s v="Bečvanské Maměnky z.s."/>
    <s v="706"/>
    <x v="1"/>
    <x v="1"/>
    <s v="Prostřední Bečva"/>
    <s v="Prostřední Bečva č. ev. 248, PSČ 756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15878"/>
    <s v="Bedrník, z.s."/>
    <s v="706"/>
    <x v="1"/>
    <x v="2"/>
    <s v="Boršice u Blatnice"/>
    <s v="Boršice u Blatnice 306, PSČ 687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997217"/>
    <s v="Běh ránem z.s."/>
    <s v="706"/>
    <x v="1"/>
    <x v="0"/>
    <s v="Štítná nad Vláří-Popov"/>
    <s v="Štítná nad Vláří-Popov, Popov 77, PSČ 76333"/>
    <s v="93190"/>
    <s v="Ostatní sportovní činnosti"/>
    <m/>
    <m/>
    <m/>
    <m/>
    <m/>
    <m/>
    <m/>
    <m/>
    <m/>
    <m/>
    <m/>
    <m/>
    <m/>
    <m/>
    <m/>
    <m/>
    <m/>
  </r>
  <r>
    <s v="03530817"/>
    <s v="Běhy Zlín, z.s."/>
    <s v="706"/>
    <x v="1"/>
    <x v="0"/>
    <s v="Fryšták"/>
    <s v="Fryšták, Dolní Ves, Vylanta 235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0369"/>
    <s v="Bělokarpatská akademie lidových umění a technologií"/>
    <s v="706"/>
    <x v="1"/>
    <x v="0"/>
    <s v="Valašské Klobouky"/>
    <s v="Valašské Klobouky, Palackého 739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2932"/>
    <s v="Benfika Rožnov, z.s."/>
    <s v="706"/>
    <x v="1"/>
    <x v="1"/>
    <s v="Rožnov pod Radhoštěm"/>
    <s v="Rožnov pod Radhoštěm, Horská 1735, PSČ 75661"/>
    <s v="93110"/>
    <s v="Provozování sportovních zařízení"/>
    <m/>
    <m/>
    <m/>
    <m/>
    <m/>
    <m/>
    <m/>
    <m/>
    <m/>
    <m/>
    <m/>
    <m/>
    <m/>
    <m/>
    <m/>
    <m/>
    <m/>
  </r>
  <r>
    <s v="22737596"/>
    <s v="Berberis, o.s."/>
    <s v="706"/>
    <x v="1"/>
    <x v="3"/>
    <s v="Holešov"/>
    <s v="Holešov, Tyršova 155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3764"/>
    <s v="BERENDAL, z.s."/>
    <s v="706"/>
    <x v="1"/>
    <x v="0"/>
    <s v="Žlutava"/>
    <s v="Žlutava 301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6557"/>
    <s v="BESEDNÍCI z.s."/>
    <s v="706"/>
    <x v="1"/>
    <x v="2"/>
    <s v="Šumice"/>
    <s v="Šumice 400, PSČ 687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023843"/>
    <s v="Besedování, z.s."/>
    <s v="706"/>
    <x v="1"/>
    <x v="0"/>
    <s v="Zlín"/>
    <s v="Zlín, Louky, třída Tomáše Bati 407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787369"/>
    <s v="BESIL, z.s."/>
    <s v="706"/>
    <x v="1"/>
    <x v="0"/>
    <s v="Zlín"/>
    <s v="Zlín, Prštné, Přímá 526, PSČ 76001"/>
    <s v="8559"/>
    <s v="Ostatní vzdělávání j. n."/>
    <m/>
    <m/>
    <m/>
    <m/>
    <m/>
    <m/>
    <m/>
    <m/>
    <m/>
    <m/>
    <m/>
    <m/>
    <m/>
    <m/>
    <m/>
    <m/>
    <m/>
  </r>
  <r>
    <s v="26649683"/>
    <s v="BESKYD BIKE, z.s."/>
    <s v="706"/>
    <x v="1"/>
    <x v="1"/>
    <s v="Vigantice"/>
    <s v="Vigantice 234, PSČ 75661"/>
    <s v="93110"/>
    <s v="Provozování sportovních zařízení"/>
    <m/>
    <m/>
    <m/>
    <m/>
    <m/>
    <m/>
    <m/>
    <m/>
    <m/>
    <m/>
    <m/>
    <m/>
    <m/>
    <m/>
    <m/>
    <m/>
    <m/>
  </r>
  <r>
    <s v="22611819"/>
    <s v="Beskydská opora, o.s."/>
    <s v="706"/>
    <x v="1"/>
    <x v="1"/>
    <s v="Zubří"/>
    <s v="Zubří, Starozuberská 1449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071178"/>
    <s v="BESKYDSKÉ KAMENY z.s."/>
    <s v="706"/>
    <x v="1"/>
    <x v="1"/>
    <s v="Rožnov pod Radhoštěm"/>
    <s v="Rožnov pod Radhoštěm, Tylovice č. ev. 315, PSČ 75661"/>
    <s v="94995"/>
    <s v="Činnosti environmentálních a ekologických hnutí"/>
    <m/>
    <m/>
    <m/>
    <m/>
    <m/>
    <m/>
    <m/>
    <m/>
    <m/>
    <m/>
    <m/>
    <m/>
    <m/>
    <m/>
    <m/>
    <m/>
    <m/>
  </r>
  <r>
    <s v="01840827"/>
    <s v="BEST 4 LIVE, z.s."/>
    <s v="706"/>
    <x v="1"/>
    <x v="2"/>
    <s v="Staré Město"/>
    <s v="Staré Město, Stojanova 978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283892"/>
    <s v="Best4Life, z. s."/>
    <s v="706"/>
    <x v="1"/>
    <x v="0"/>
    <s v="Zlín"/>
    <s v="Zlín, Kudlov, Václavská 46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0508"/>
    <s v="&quot;Betonová liga&quot;"/>
    <s v="706"/>
    <x v="1"/>
    <x v="0"/>
    <s v="Zlín"/>
    <s v="Zlín, Podlesí 5310"/>
    <s v="93110"/>
    <s v="Provozování sportovních zařízení"/>
    <m/>
    <m/>
    <m/>
    <m/>
    <m/>
    <m/>
    <m/>
    <m/>
    <m/>
    <m/>
    <m/>
    <m/>
    <m/>
    <m/>
    <m/>
    <m/>
    <m/>
  </r>
  <r>
    <s v="22685782"/>
    <s v="Bezměrovák zapsaný spolek"/>
    <s v="706"/>
    <x v="1"/>
    <x v="3"/>
    <s v="Bezměrov"/>
    <s v="Bezměrov 1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1468"/>
    <s v="Bezměrovští rybáři"/>
    <s v="706"/>
    <x v="1"/>
    <x v="3"/>
    <s v="Bezměrov"/>
    <s v="Bezměrov 20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18376"/>
    <s v="Bezobaláč, z. ú."/>
    <s v="161"/>
    <x v="3"/>
    <x v="0"/>
    <s v="Zlín"/>
    <s v="Zlín, Bratří Sousedíků 1067, PSČ 76001"/>
    <s v="94995"/>
    <s v="Činnosti environmentálních a ekologických hnutí"/>
    <m/>
    <m/>
    <m/>
    <m/>
    <m/>
    <m/>
    <m/>
    <m/>
    <m/>
    <m/>
    <m/>
    <m/>
    <m/>
    <m/>
    <m/>
    <m/>
    <m/>
  </r>
  <r>
    <s v="22719431"/>
    <s v="BEZPEČNĚ K CÍLI"/>
    <s v="706"/>
    <x v="1"/>
    <x v="1"/>
    <s v="Vsetín"/>
    <s v="Vsetín, Na Příkopě 814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81242"/>
    <s v="Běžecký areál Pustevny z.s."/>
    <s v="706"/>
    <x v="1"/>
    <x v="1"/>
    <s v="Valašské Meziříčí"/>
    <s v="Valašské Meziříčí, Podlesí 541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533454"/>
    <s v="Biblické společenství křesťanů Kroměříž, z. s."/>
    <s v="706"/>
    <x v="1"/>
    <x v="3"/>
    <s v="Kroměříž"/>
    <s v="Kroměříž, Moravcova 430/1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1991"/>
    <s v="BIG BAND ZLÍN z.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4210"/>
    <s v="Bike Club Morkovice"/>
    <s v="706"/>
    <x v="1"/>
    <x v="3"/>
    <s v="Morkovice-Slížany"/>
    <s v="Morkovice-Slížany, Morkovice, Olejna 751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6508"/>
    <s v="BIKE CLUB Valašské Klobouky"/>
    <s v="706"/>
    <x v="1"/>
    <x v="0"/>
    <s v="Valašské Klobouky"/>
    <s v="Valašské Klobouky"/>
    <s v="93120"/>
    <s v="Činnosti sportovních klubů"/>
    <m/>
    <m/>
    <m/>
    <m/>
    <m/>
    <m/>
    <m/>
    <m/>
    <m/>
    <m/>
    <m/>
    <m/>
    <m/>
    <m/>
    <m/>
    <m/>
    <m/>
  </r>
  <r>
    <s v="62182692"/>
    <s v="BIKE CLUB ZLÍN"/>
    <s v="706"/>
    <x v="1"/>
    <x v="0"/>
    <s v="Zlín"/>
    <s v="Zlín, Nad Stráněmi 4675, PSČ 76005"/>
    <s v="93120"/>
    <s v="Činnosti sportovních klubů"/>
    <m/>
    <m/>
    <m/>
    <m/>
    <m/>
    <m/>
    <m/>
    <m/>
    <m/>
    <m/>
    <m/>
    <m/>
    <m/>
    <m/>
    <m/>
    <m/>
    <m/>
  </r>
  <r>
    <s v="26546124"/>
    <s v="Bike Hate Crew Vizovice"/>
    <s v="706"/>
    <x v="1"/>
    <x v="0"/>
    <s v="Vizovice"/>
    <s v="Vizovice, 3. května 937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3443"/>
    <s v="Bike Hazard Racing Team"/>
    <s v="706"/>
    <x v="1"/>
    <x v="3"/>
    <s v="Holešov"/>
    <s v="Holešov, Všetuly, Kráčiny 281, PSČ 76901"/>
    <s v="93110"/>
    <s v="Provozování sportovních zařízení"/>
    <m/>
    <m/>
    <m/>
    <m/>
    <m/>
    <m/>
    <m/>
    <m/>
    <m/>
    <m/>
    <m/>
    <m/>
    <m/>
    <m/>
    <m/>
    <m/>
    <m/>
  </r>
  <r>
    <s v="26572133"/>
    <s v="Bike Park KM o.s."/>
    <s v="706"/>
    <x v="1"/>
    <x v="3"/>
    <s v="Kroměříž"/>
    <s v="Kroměříž, Čs. armády 4005/15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693696"/>
    <s v="BIKE PRO RACING, z.s."/>
    <s v="706"/>
    <x v="1"/>
    <x v="1"/>
    <s v="Valašské Meziříčí"/>
    <s v="Valašské Meziříčí, Krásno nad Bečvou, Hranická 92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20440"/>
    <s v="Bike Rebels Kudlovice z.s."/>
    <s v="706"/>
    <x v="1"/>
    <x v="2"/>
    <s v="Kudlovice"/>
    <s v="Kudlovice 185, PSČ 687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49264"/>
    <s v="BIKE TEAM Rožnov p.R., o.s."/>
    <s v="706"/>
    <x v="1"/>
    <x v="1"/>
    <s v="Rožnov pod Radhoštěm"/>
    <s v="Rožnov pod Radhoštěm, 5. května 1341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6302"/>
    <s v="BIKE TEAM SAZOVICE, z.s."/>
    <s v="706"/>
    <x v="1"/>
    <x v="0"/>
    <s v="Sazovice"/>
    <s v="Sazovice 245, PSČ 763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25401"/>
    <s v="BIKE TRIATLON MORKOVICE, z.s."/>
    <s v="706"/>
    <x v="1"/>
    <x v="3"/>
    <s v="Morkovice-Slížany"/>
    <s v="Morkovice-Slížany, Morkovice, 17. listopadu 137, PSČ 768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91692"/>
    <s v="BIKECORE OE z.s."/>
    <s v="706"/>
    <x v="1"/>
    <x v="0"/>
    <s v="Otrokovice"/>
    <s v="Otrokovice, Štěrkoviště 1293, PSČ 76502"/>
    <s v="93190"/>
    <s v="Ostatní sportovní činnosti"/>
    <m/>
    <m/>
    <m/>
    <m/>
    <m/>
    <m/>
    <m/>
    <m/>
    <m/>
    <m/>
    <m/>
    <m/>
    <m/>
    <m/>
    <m/>
    <m/>
    <m/>
  </r>
  <r>
    <s v="06008003"/>
    <s v="Bikepark Skála, z.s."/>
    <s v="706"/>
    <x v="1"/>
    <x v="1"/>
    <s v="Zašová"/>
    <s v="Zašová 397, PSČ 75651"/>
    <s v="93110"/>
    <s v="Provozování sportovních zařízení"/>
    <m/>
    <m/>
    <m/>
    <m/>
    <m/>
    <m/>
    <m/>
    <m/>
    <m/>
    <m/>
    <m/>
    <m/>
    <m/>
    <m/>
    <m/>
    <m/>
    <m/>
  </r>
  <r>
    <s v="07422822"/>
    <s v="Bikepark Valašské Klobouky, z. s."/>
    <s v="706"/>
    <x v="1"/>
    <x v="0"/>
    <s v="Valašské Klobouky"/>
    <s v="Valašské Klobouky, Zahradní 813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35508"/>
    <s v="Biking Medlovice z.s."/>
    <s v="706"/>
    <x v="1"/>
    <x v="2"/>
    <s v="Medlovice"/>
    <s v="Medlovice 146, PSČ 68741"/>
    <s v="93190"/>
    <s v="Ostatní sportovní činnosti"/>
    <m/>
    <m/>
    <m/>
    <m/>
    <m/>
    <m/>
    <m/>
    <m/>
    <m/>
    <m/>
    <m/>
    <m/>
    <m/>
    <m/>
    <m/>
    <m/>
    <m/>
  </r>
  <r>
    <s v="68687753"/>
    <s v="BIKROS MÍKOVICE z.s."/>
    <s v="706"/>
    <x v="1"/>
    <x v="2"/>
    <s v="Kudlovice"/>
    <s v="Kudlovice 329, PSČ 68703"/>
    <s v="931"/>
    <s v="Sportovní činnosti"/>
    <m/>
    <m/>
    <m/>
    <m/>
    <m/>
    <m/>
    <m/>
    <m/>
    <m/>
    <m/>
    <m/>
    <m/>
    <m/>
    <m/>
    <m/>
    <m/>
    <m/>
  </r>
  <r>
    <s v="17732069"/>
    <s v="Bílé cesty z.s."/>
    <s v="706"/>
    <x v="1"/>
    <x v="1"/>
    <s v="Valašské Meziříčí"/>
    <s v="Valašské Meziříčí, Krásno nad Bečvou, Zašovská 19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9425"/>
    <s v="Bílokarpatská westernová asociace"/>
    <s v="706"/>
    <x v="1"/>
    <x v="2"/>
    <s v="Strání"/>
    <s v="Strání, Květná, Mechnáčky I 841, PSČ 6876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22592"/>
    <s v="Bílý otisk, z.s."/>
    <s v="706"/>
    <x v="1"/>
    <x v="1"/>
    <s v="Vsetín"/>
    <s v="Vsetín, Josefa Sousedíka 1430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80592"/>
    <s v="Biochar Foundation, nadační fond"/>
    <s v="118"/>
    <x v="6"/>
    <x v="0"/>
    <s v="Zlín"/>
    <s v="Zlín, Zarámí 4077, PSČ 76001"/>
    <s v="94995"/>
    <s v="Činnosti environmentálních a ekologických hnutí"/>
    <m/>
    <m/>
    <m/>
    <m/>
    <m/>
    <m/>
    <m/>
    <m/>
    <m/>
    <m/>
    <m/>
    <m/>
    <m/>
    <m/>
    <m/>
    <m/>
    <m/>
  </r>
  <r>
    <s v="67011926"/>
    <s v="Biskupští manové z Kroměříže z. s."/>
    <s v="706"/>
    <x v="1"/>
    <x v="3"/>
    <s v="Kroměříž"/>
    <s v="Kroměříž, Trávník 10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921"/>
    <s v="BK Holešov, z.s."/>
    <s v="706"/>
    <x v="1"/>
    <x v="3"/>
    <s v="Prusinovice"/>
    <s v="Prusinovice, Podzahradí 397, PSČ 76842"/>
    <s v="93110"/>
    <s v="Provozování sportovních zařízení"/>
    <m/>
    <m/>
    <m/>
    <m/>
    <m/>
    <m/>
    <m/>
    <m/>
    <m/>
    <m/>
    <m/>
    <m/>
    <m/>
    <m/>
    <m/>
    <m/>
    <m/>
  </r>
  <r>
    <s v="05877032"/>
    <s v="BK JOaC Janová, z.s."/>
    <s v="706"/>
    <x v="1"/>
    <x v="1"/>
    <s v="Janová"/>
    <s v="Janová 128, PSČ 75501"/>
    <s v="93190"/>
    <s v="Ostatní sportovní činnosti"/>
    <m/>
    <m/>
    <m/>
    <m/>
    <m/>
    <m/>
    <m/>
    <m/>
    <m/>
    <m/>
    <m/>
    <m/>
    <m/>
    <m/>
    <m/>
    <m/>
    <m/>
  </r>
  <r>
    <s v="22892214"/>
    <s v="BK Zlín sk."/>
    <s v="706"/>
    <x v="1"/>
    <x v="0"/>
    <s v="Zlín"/>
    <s v="Zlín, Moravská 4782, PSČ 76005"/>
    <s v="93120"/>
    <s v="Činnosti sportovních klubů"/>
    <m/>
    <m/>
    <m/>
    <m/>
    <m/>
    <m/>
    <m/>
    <m/>
    <m/>
    <m/>
    <m/>
    <m/>
    <m/>
    <m/>
    <m/>
    <m/>
    <m/>
  </r>
  <r>
    <s v="05189292"/>
    <s v="Blabloviny, z. s."/>
    <s v="706"/>
    <x v="1"/>
    <x v="3"/>
    <s v="Břest"/>
    <s v="Břest 322, PSČ 76823"/>
    <s v="94991"/>
    <s v="Činnosti organizací dětí a mládeže"/>
    <m/>
    <m/>
    <m/>
    <m/>
    <m/>
    <m/>
    <m/>
    <m/>
    <m/>
    <m/>
    <m/>
    <m/>
    <m/>
    <m/>
    <m/>
    <m/>
    <m/>
  </r>
  <r>
    <s v="11799838"/>
    <s v="BLF TEAM, z. s."/>
    <s v="706"/>
    <x v="1"/>
    <x v="0"/>
    <s v="Zlín"/>
    <s v="Zlín, Kudlov, Pindula 87, PSČ 76001"/>
    <s v="93190"/>
    <s v="Ostatní sportovní činnosti"/>
    <m/>
    <m/>
    <m/>
    <m/>
    <m/>
    <m/>
    <m/>
    <m/>
    <m/>
    <m/>
    <m/>
    <m/>
    <m/>
    <m/>
    <m/>
    <m/>
    <m/>
  </r>
  <r>
    <s v="19959711"/>
    <s v="Blízko nás, z. ú."/>
    <s v="161"/>
    <x v="3"/>
    <x v="0"/>
    <s v="Oldřichovice"/>
    <s v="Oldřichovice 55, PSČ 7636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7021459"/>
    <s v="Blockbuster DH team"/>
    <s v="706"/>
    <x v="1"/>
    <x v="0"/>
    <s v="Zlín"/>
    <s v="Zlín, Váchova 2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7436"/>
    <s v="&quot;Blues street band - hudební seskupení&quot;"/>
    <s v="706"/>
    <x v="1"/>
    <x v="1"/>
    <s v="Valašské Meziříčí"/>
    <s v="Valašské Meziříčí, Krásno nad Bečvou, Obora I 83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4086"/>
    <s v="BMV Centrum Nivnice"/>
    <s v="706"/>
    <x v="1"/>
    <x v="2"/>
    <s v="Nivnice"/>
    <s v="Nivnice, Na Požáře 410, PSČ 68751"/>
    <s v="94991"/>
    <s v="Činnosti organizací dětí a mládeže"/>
    <m/>
    <m/>
    <m/>
    <m/>
    <m/>
    <m/>
    <m/>
    <m/>
    <m/>
    <m/>
    <m/>
    <m/>
    <m/>
    <m/>
    <m/>
    <m/>
    <m/>
  </r>
  <r>
    <s v="07731060"/>
    <s v="BMW Racing Team z.s."/>
    <s v="706"/>
    <x v="1"/>
    <x v="3"/>
    <s v="Bařice-Velké Těšany"/>
    <s v="Bařice-Velké Těšany, Velké Těšany 38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358328"/>
    <s v="„Bobovka Zlín o.s.”"/>
    <s v="706"/>
    <x v="1"/>
    <x v="0"/>
    <s v="Zlín"/>
    <s v="Zlín, nám. T. G. Masaryka 514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685621"/>
    <s v="Boca Fuego, z.s."/>
    <s v="706"/>
    <x v="1"/>
    <x v="1"/>
    <s v="Valašské Meziříčí"/>
    <s v="Valašské Meziříčí, Nerudova 655/1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658181"/>
    <s v="BODICO, z.s."/>
    <s v="706"/>
    <x v="1"/>
    <x v="2"/>
    <s v="Staré Město"/>
    <s v="Staré Město, Velehradská 1905, PSČ 68603"/>
    <s v="9499"/>
    <s v="Činnosti ostatních organizací sdružujících osoby za účelem prosazování společných zájmů j. n."/>
    <s v="Velkoobchod a maloobchod; opravy a údržba motorových vozidel"/>
    <s v="Výroba, obchod a služby neuvedené v přílohách 1 až 3 živnostenského zákona"/>
    <s v="Ostatní těžba a dobývání"/>
    <s v="Zpracování dřeva, výroba dřevěných, korkových, proutěných a slaměných výrobků, kromě nábytku"/>
    <s v="Výroba ostatních nekovových minerálních výrobků"/>
    <s v="Ostatní vzdělávání"/>
    <s v="Příprava staveniště"/>
    <s v="Ostatní úklidové činnosti"/>
    <s v="Univerzální administrativní činnosti"/>
    <s v="Podpůrné činnosti pro scénická umění"/>
    <m/>
    <m/>
    <m/>
    <m/>
    <m/>
    <m/>
    <m/>
  </r>
  <r>
    <s v="05692776"/>
    <s v="Body and Smile, z. ú."/>
    <s v="161"/>
    <x v="3"/>
    <x v="0"/>
    <s v="Zlín"/>
    <s v="Zlín, třída Tomáše Bati 3930, PSČ 76001"/>
    <s v="94991"/>
    <s v="Činnosti organizací dětí a mládeže"/>
    <s v="Výroba textilií"/>
    <s v="Ostatní zpracovatelský průmysl"/>
    <s v="Vydavatelské činnosti"/>
    <s v="Výzkum a vývoj"/>
    <s v="Výroba ostatních porcelánových a keramických výrobků"/>
    <s v="Ostatní vzdělávání"/>
    <s v="Ostatní profesní, vědecké a technické činnosti j. n."/>
    <s v="Činnosti reklamních agentur"/>
    <s v="Podpůrné činnosti pro scénická umění"/>
    <s v="Ostatní sportovní činnosti"/>
    <s v="Opravy ostatních výrobků pro osobní potřebu a převážně pro domácnost"/>
    <s v="Poskytování ostatních osobních služeb j. n."/>
    <m/>
    <m/>
    <m/>
    <m/>
    <m/>
  </r>
  <r>
    <s v="27049191"/>
    <s v="BODY CLUB z.s."/>
    <s v="706"/>
    <x v="1"/>
    <x v="0"/>
    <s v="Zlín"/>
    <s v="Zlín, Zálešná IV 2964, PSČ 76001"/>
    <s v="94991"/>
    <s v="Činnosti organizací dětí a mládeže"/>
    <m/>
    <m/>
    <m/>
    <m/>
    <m/>
    <m/>
    <m/>
    <m/>
    <m/>
    <m/>
    <m/>
    <m/>
    <m/>
    <m/>
    <m/>
    <m/>
    <m/>
  </r>
  <r>
    <s v="09508945"/>
    <s v="BODY Ski, z. s."/>
    <s v="706"/>
    <x v="1"/>
    <x v="0"/>
    <s v="Zlín"/>
    <s v="Zlín, Zálešná IV 296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9526"/>
    <s v="BOJKOVICKÁ MINIMATEŘINA, spolek"/>
    <s v="706"/>
    <x v="1"/>
    <x v="2"/>
    <s v="Bojkovice"/>
    <s v="Bojkovice, Štefánikova 830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155791"/>
    <s v="Boněcko z. s."/>
    <s v="706"/>
    <x v="1"/>
    <x v="0"/>
    <s v="Zlín"/>
    <s v="Zlín, nám. T. G. Masaryka 128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6442"/>
    <s v="Bono Enviro Zlínský kraj z.s."/>
    <s v="706"/>
    <x v="1"/>
    <x v="3"/>
    <s v="Hulín"/>
    <s v="Hulín, Družba 1190, PSČ 76824"/>
    <s v="94995"/>
    <s v="Činnosti environmentálních a ekologických hnutí"/>
    <m/>
    <m/>
    <m/>
    <m/>
    <m/>
    <m/>
    <m/>
    <m/>
    <m/>
    <m/>
    <m/>
    <m/>
    <m/>
    <m/>
    <m/>
    <m/>
    <m/>
  </r>
  <r>
    <s v="19186151"/>
    <s v="Borky a borci z. s."/>
    <s v="706"/>
    <x v="1"/>
    <x v="2"/>
    <s v="Topolná"/>
    <s v="Topolná 565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42969"/>
    <s v="Born To Ride z.s."/>
    <s v="706"/>
    <x v="1"/>
    <x v="3"/>
    <s v="Kostelec u Holešova"/>
    <s v="Kostelec u Holešova 63, PSČ 7684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20499"/>
    <s v="BORŠIČANÉ, z. s."/>
    <s v="706"/>
    <x v="1"/>
    <x v="2"/>
    <s v="Boršice u Blatnice"/>
    <s v="Boršice u Blatnice 157, PSČ 687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5998"/>
    <s v="BORŠIČANKA AK, z. s."/>
    <s v="706"/>
    <x v="1"/>
    <x v="2"/>
    <s v="Kněžpole"/>
    <s v="Kněžpole 333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45445"/>
    <s v="Boryka, z. s."/>
    <s v="706"/>
    <x v="1"/>
    <x v="2"/>
    <s v="Uherské Hradiště"/>
    <s v="Uherské Hradiště, Na Rybníku 97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293182"/>
    <s v="Bowlingový klub Zlín, z.s."/>
    <s v="706"/>
    <x v="1"/>
    <x v="0"/>
    <s v="Zlín"/>
    <s v="Zlín, Vysoká 2094, PSČ 76001"/>
    <s v="93190"/>
    <s v="Ostatní sportovní činnosti"/>
    <m/>
    <m/>
    <m/>
    <m/>
    <m/>
    <m/>
    <m/>
    <m/>
    <m/>
    <m/>
    <m/>
    <m/>
    <m/>
    <m/>
    <m/>
    <m/>
    <m/>
  </r>
  <r>
    <s v="26600366"/>
    <s v="BOX CLUB ZLÍN"/>
    <s v="706"/>
    <x v="1"/>
    <x v="0"/>
    <s v="Zlín"/>
    <s v="Zlín, Česká 4969, PSČ 76005"/>
    <s v="93110"/>
    <s v="Provozování sportovních zařízení"/>
    <m/>
    <m/>
    <m/>
    <m/>
    <m/>
    <m/>
    <m/>
    <m/>
    <m/>
    <m/>
    <m/>
    <m/>
    <m/>
    <m/>
    <m/>
    <m/>
    <m/>
  </r>
  <r>
    <s v="01642634"/>
    <s v="Box K1 Kroměříž"/>
    <s v="706"/>
    <x v="1"/>
    <x v="3"/>
    <s v="Kroměříž"/>
    <s v="Kroměříž, Gen. Svobody 1264/2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51949"/>
    <s v="Box Zlín"/>
    <s v="706"/>
    <x v="1"/>
    <x v="0"/>
    <s v="Zlín"/>
    <s v="Zlín, Malenovice, Tyršova 300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960569"/>
    <s v="Boxing Club Zubří, z.s."/>
    <s v="706"/>
    <x v="1"/>
    <x v="1"/>
    <s v="Zubří"/>
    <s v="Zubří, Starozuberská 1087, PSČ 75654"/>
    <s v="93110"/>
    <s v="Provozování sportovních zařízení"/>
    <m/>
    <m/>
    <m/>
    <m/>
    <m/>
    <m/>
    <m/>
    <m/>
    <m/>
    <m/>
    <m/>
    <m/>
    <m/>
    <m/>
    <m/>
    <m/>
    <m/>
  </r>
  <r>
    <s v="22744908"/>
    <s v="BRAK z. s."/>
    <s v="706"/>
    <x v="1"/>
    <x v="0"/>
    <s v="Zlín"/>
    <s v="Zlín, Benešovo nábřeží 371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260902"/>
    <s v="Brána, o.p.s."/>
    <s v="141"/>
    <x v="2"/>
    <x v="3"/>
    <s v="Zdounky"/>
    <s v="Zdounky, Zborovská 80, PSČ 76802"/>
    <s v="9499"/>
    <s v="Činnosti ostatních organizací sdružujících osoby za účelem prosazování společných zájmů j. n."/>
    <s v="Ostatní vzdělávání j. n."/>
    <m/>
    <m/>
    <m/>
    <m/>
    <m/>
    <m/>
    <m/>
    <m/>
    <m/>
    <m/>
    <m/>
    <m/>
    <m/>
    <m/>
    <m/>
    <m/>
  </r>
  <r>
    <s v="23379553"/>
    <s v="BRÁNA TALENTŮ, nadační fond"/>
    <s v="118"/>
    <x v="6"/>
    <x v="0"/>
    <s v="Zlín"/>
    <s v="Zlín, Mostní 138, PSČ 76001"/>
    <s v="94991"/>
    <s v="Činnosti organizací dětí a mládeže"/>
    <m/>
    <m/>
    <m/>
    <m/>
    <m/>
    <m/>
    <m/>
    <m/>
    <m/>
    <m/>
    <m/>
    <m/>
    <m/>
    <m/>
    <m/>
    <m/>
    <m/>
  </r>
  <r>
    <s v="13994948"/>
    <s v="Brankářská Akademie Zlínského kraje, pobočný spolek"/>
    <s v="736"/>
    <x v="0"/>
    <x v="0"/>
    <s v="Slavičín"/>
    <s v="Slavičín, Obchodní 584, PSČ 76321"/>
    <s v="93190"/>
    <s v="Ostatní sportovní činnosti"/>
    <m/>
    <m/>
    <m/>
    <m/>
    <m/>
    <m/>
    <m/>
    <m/>
    <m/>
    <m/>
    <m/>
    <m/>
    <m/>
    <m/>
    <m/>
    <m/>
    <m/>
  </r>
  <r>
    <s v="03672492"/>
    <s v="Branná mládež ČR z.s."/>
    <s v="706"/>
    <x v="1"/>
    <x v="2"/>
    <s v="Vlčnov"/>
    <s v="Vlčnov 254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61595"/>
    <s v="Branná mládež ČR z.s. oddíl gen. Josefa Šnajdra"/>
    <s v="736"/>
    <x v="0"/>
    <x v="0"/>
    <s v="Luhačovice"/>
    <s v="Luhačovice, Mlýnská 688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912825"/>
    <s v="Branná mládež ČR z.s., oddíl generála V.B.Luži"/>
    <s v="736"/>
    <x v="0"/>
    <x v="2"/>
    <s v="Uherský Brod"/>
    <s v="Uherský Brod, Okružní 1547, PSČ 68801"/>
    <s v="94991"/>
    <s v="Činnosti organizací dětí a mládeže"/>
    <m/>
    <m/>
    <m/>
    <m/>
    <m/>
    <m/>
    <m/>
    <m/>
    <m/>
    <m/>
    <m/>
    <m/>
    <m/>
    <m/>
    <m/>
    <m/>
    <m/>
  </r>
  <r>
    <s v="04815726"/>
    <s v="Branná mládež ČR z.s. oddíl Karla Vystrčila"/>
    <s v="736"/>
    <x v="0"/>
    <x v="0"/>
    <s v="Bohuslavice nad Vláří"/>
    <s v="Bohuslavice nad Vláří 47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35361"/>
    <s v="Branná mládež ČR z.s. oddíl pplk. Jana Hrubého"/>
    <s v="736"/>
    <x v="0"/>
    <x v="2"/>
    <s v="Bílovice"/>
    <s v="Bílovice 267, PSČ 68712"/>
    <s v="93190"/>
    <s v="Ostatní sportovní činnosti"/>
    <m/>
    <m/>
    <m/>
    <m/>
    <m/>
    <m/>
    <m/>
    <m/>
    <m/>
    <m/>
    <m/>
    <m/>
    <m/>
    <m/>
    <m/>
    <m/>
    <m/>
  </r>
  <r>
    <s v="05823307"/>
    <s v="Branné oddíly ČR z. s."/>
    <s v="706"/>
    <x v="1"/>
    <x v="2"/>
    <s v="Bojkovice"/>
    <s v="Bojkovice, Krhov 14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95957"/>
    <s v="Branné oddíly mládeže z. s."/>
    <s v="706"/>
    <x v="1"/>
    <x v="2"/>
    <s v="Bílovice"/>
    <s v="Bílovice 267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021497"/>
    <s v="BRANNÝ KLUB NEDAŠOV"/>
    <s v="736"/>
    <x v="0"/>
    <x v="0"/>
    <s v="Nedašov"/>
    <s v="Nedašov 325, PSČ 76332"/>
    <s v="93110"/>
    <s v="Provozování sportovních zařízení"/>
    <m/>
    <m/>
    <m/>
    <m/>
    <m/>
    <m/>
    <m/>
    <m/>
    <m/>
    <m/>
    <m/>
    <m/>
    <m/>
    <m/>
    <m/>
    <m/>
    <m/>
  </r>
  <r>
    <s v="72021501"/>
    <s v="BRANNÝ KLUB ZLÍN"/>
    <s v="736"/>
    <x v="0"/>
    <x v="0"/>
    <s v="Zlín"/>
    <s v="Vršava 4961, 760 01 Zlín"/>
    <s v="93110"/>
    <s v="Provozování sportovních zařízení"/>
    <m/>
    <m/>
    <m/>
    <m/>
    <m/>
    <m/>
    <m/>
    <m/>
    <m/>
    <m/>
    <m/>
    <m/>
    <m/>
    <m/>
    <m/>
    <m/>
    <m/>
  </r>
  <r>
    <s v="09427953"/>
    <s v="Bratrstvo psích tlapek z.s."/>
    <s v="706"/>
    <x v="1"/>
    <x v="0"/>
    <s v="Zlín"/>
    <s v="Zlín, K Pasekám 155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1024"/>
    <s v="Bratři františkáni v Uherském Hradišti"/>
    <s v="722"/>
    <x v="5"/>
    <x v="2"/>
    <s v="Uherské Hradiště"/>
    <s v="Uherské Hradiště, Mariánské náměstí 200, PSČ 68601"/>
    <s v="94910"/>
    <s v="Činnosti náboženských organizací"/>
    <m/>
    <m/>
    <m/>
    <m/>
    <m/>
    <m/>
    <m/>
    <m/>
    <m/>
    <m/>
    <m/>
    <m/>
    <m/>
    <m/>
    <m/>
    <m/>
    <m/>
  </r>
  <r>
    <s v="22872663"/>
    <s v="&quot;BRAVO - agency&quot;"/>
    <s v="706"/>
    <x v="1"/>
    <x v="0"/>
    <s v="Brumov-Bylnice"/>
    <s v="Brumov-Bylnice, Brumov, Na Vyhlídce 795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139541"/>
    <s v="Brick Zlín, z. s."/>
    <s v="706"/>
    <x v="1"/>
    <x v="0"/>
    <s v="Pohořelice"/>
    <s v="Pohořelice, Uličky 330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5170"/>
    <s v="Bridžový klub Uherské Hradiště, z. s."/>
    <s v="706"/>
    <x v="1"/>
    <x v="2"/>
    <s v="Uherské Hradiště"/>
    <s v="Uherské Hradiště, Jindřicha Pruchy 76, PSČ 68601"/>
    <s v="93110"/>
    <s v="Provozování sportovních zařízení"/>
    <s v="Výroba, obchod a služby neuvedené v přílohách 1 až 3 živnostenského zákona"/>
    <s v="Ostatní profesní, vědecké a technické činnosti"/>
    <s v="Ostatní vzdělávání"/>
    <s v="Podpůrné činnosti pro scénická umění"/>
    <m/>
    <m/>
    <m/>
    <m/>
    <m/>
    <m/>
    <m/>
    <m/>
    <m/>
    <m/>
    <m/>
    <m/>
    <m/>
  </r>
  <r>
    <s v="07630361"/>
    <s v="Brnem s lidmi bez domova, z.s."/>
    <s v="706"/>
    <x v="1"/>
    <x v="3"/>
    <s v="Vrbka"/>
    <s v="Vrbka 58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9692"/>
    <s v="BRNO - VĚC VEŘEJNÁ z.s."/>
    <s v="706"/>
    <x v="1"/>
    <x v="2"/>
    <s v="Bojkovice"/>
    <s v="Bojkovice, Krhov 126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51226"/>
    <s v="Brodem UB, o.p.s."/>
    <s v="141"/>
    <x v="2"/>
    <x v="2"/>
    <s v="Uherský Brod"/>
    <s v="Uherský Brod, Naardenská 142, PSČ 68801"/>
    <s v="749"/>
    <s v="Ostatní profesní, vědecké a technické činnosti j. n."/>
    <s v="Vydavatelské činnosti"/>
    <s v="Ostatní vzdělávání"/>
    <s v="Činnosti zpravodajských tiskových kanceláří a agentur"/>
    <s v="Činnosti reklamních agentur"/>
    <s v="Podpůrné činnosti pro scénická umění"/>
    <s v="Poskytování ostatních osobních služeb j. n."/>
    <m/>
    <m/>
    <m/>
    <m/>
    <m/>
    <m/>
    <m/>
    <m/>
    <m/>
    <m/>
    <m/>
  </r>
  <r>
    <s v="47934522"/>
    <s v="Brokový střelecký klub Hornet"/>
    <s v="706"/>
    <x v="1"/>
    <x v="3"/>
    <s v="Žeranovice"/>
    <s v="Žeranovice 34, PSČ 769 01"/>
    <s v="93110"/>
    <s v="Provozování sportovních zařízení"/>
    <m/>
    <m/>
    <m/>
    <m/>
    <m/>
    <m/>
    <m/>
    <m/>
    <m/>
    <m/>
    <m/>
    <m/>
    <m/>
    <m/>
    <m/>
    <m/>
    <m/>
  </r>
  <r>
    <s v="06960057"/>
    <s v="Brown horse, z.s."/>
    <s v="706"/>
    <x v="1"/>
    <x v="2"/>
    <s v="Uherské Hradiště"/>
    <s v="Uherské Hradiště, Sady, Malostranská 4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13841"/>
    <s v="Bruslařský klub Uherské Hradiště o.s."/>
    <s v="706"/>
    <x v="1"/>
    <x v="2"/>
    <s v="Uherské Hradiště"/>
    <s v="Uherské Hradiště, Na Rybníku 1057, PSČ 68601"/>
    <s v="93190"/>
    <s v="Ostatní sportovní činnosti"/>
    <m/>
    <m/>
    <m/>
    <m/>
    <m/>
    <m/>
    <m/>
    <m/>
    <m/>
    <m/>
    <m/>
    <m/>
    <m/>
    <m/>
    <m/>
    <m/>
    <m/>
  </r>
  <r>
    <s v="22736794"/>
    <s v="Bruslařský klub Uherský Brod, z.s."/>
    <s v="706"/>
    <x v="1"/>
    <x v="2"/>
    <s v="Uherský Brod"/>
    <s v="Uherský Brod, Lipová 703, PSČ 68801"/>
    <s v="93110"/>
    <s v="Provozování sportovních zařízení"/>
    <m/>
    <m/>
    <m/>
    <m/>
    <m/>
    <m/>
    <m/>
    <m/>
    <m/>
    <m/>
    <m/>
    <m/>
    <m/>
    <m/>
    <m/>
    <m/>
    <m/>
  </r>
  <r>
    <s v="21323453"/>
    <s v="Brusné žije z.s."/>
    <s v="706"/>
    <x v="1"/>
    <x v="3"/>
    <s v="Brusné"/>
    <s v="Brusné 98, PSČ 76861"/>
    <s v="9499"/>
    <s v="Činnosti ostatních organizací sdružujících osoby za účelem prosazování společných zájmů j. n."/>
    <s v="Velkoobchod a maloobchod; opravy a údržba motorových vozidel"/>
    <s v="Maloobchod s použitým zbožím v prodejnách"/>
    <s v="Pronájem a leasing ostatních výrobků pro osobní potřebu a převážně pro domácnost"/>
    <s v="Univerzální administrativní činnosti"/>
    <s v="Podpůrné činnosti pro scénická umění"/>
    <s v="Ostatní sportovní činnosti"/>
    <m/>
    <m/>
    <m/>
    <m/>
    <m/>
    <m/>
    <m/>
    <m/>
    <m/>
    <m/>
    <m/>
  </r>
  <r>
    <s v="27833968"/>
    <s v="Březiny o.p.s."/>
    <s v="141"/>
    <x v="2"/>
    <x v="1"/>
    <s v="Kateřinice"/>
    <s v="Kateřinice 251, PSČ 75621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08803293"/>
    <s v="Březová tříska z.s."/>
    <s v="706"/>
    <x v="1"/>
    <x v="2"/>
    <s v="Březolupy"/>
    <s v="Březolupy 90, PSČ 687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13642"/>
    <s v="Březůvjan - spolek pro obnovu, zachování, udržování a rozvíjení kulturních tradic a hmotných památek charakteristických pro Březůvky, Luhačovské Záleší a region Jihovýchodní Moravy, z. s."/>
    <s v="706"/>
    <x v="1"/>
    <x v="0"/>
    <s v="Březůvky"/>
    <s v="Březůvky 1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1577"/>
    <s v="BTS racing, o.s."/>
    <s v="706"/>
    <x v="1"/>
    <x v="0"/>
    <s v="Slavičín"/>
    <s v="Slavičín, Mladotická 708, PSČ 763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05488"/>
    <s v="BUBU - klub dětské kultury, Vsetín, z.s."/>
    <s v="706"/>
    <x v="1"/>
    <x v="1"/>
    <s v="Vsetín"/>
    <s v="Vsetín, Rokytnice, Janišov 306, PSČ 75501"/>
    <s v="94991"/>
    <s v="Činnosti organizací dětí a mládeže"/>
    <m/>
    <m/>
    <m/>
    <m/>
    <m/>
    <m/>
    <m/>
    <m/>
    <m/>
    <m/>
    <m/>
    <m/>
    <m/>
    <m/>
    <m/>
    <m/>
    <m/>
  </r>
  <r>
    <s v="28555007"/>
    <s v="BUCHLOVICE TV o.s."/>
    <s v="706"/>
    <x v="1"/>
    <x v="2"/>
    <s v="Buchlovice"/>
    <s v="Buchlovice, Tyršova 285, PSČ 68708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6998378"/>
    <s v="Buchlovjánek- spolek"/>
    <s v="706"/>
    <x v="1"/>
    <x v="2"/>
    <s v="Buchlovice"/>
    <s v="Buchlovice, Hradišťská 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711827"/>
    <s v="Budoucí tvůrčí skupina, z. s."/>
    <s v="706"/>
    <x v="1"/>
    <x v="0"/>
    <s v="Zlín"/>
    <s v="Zlín, Kostelec, Lešenská 245, PSČ 76314"/>
    <s v="900"/>
    <s v="Tvůrčí, umělecké a zábavní činnosti"/>
    <m/>
    <m/>
    <m/>
    <m/>
    <m/>
    <m/>
    <m/>
    <m/>
    <m/>
    <m/>
    <m/>
    <m/>
    <m/>
    <m/>
    <m/>
    <m/>
    <m/>
  </r>
  <r>
    <s v="08965021"/>
    <s v="Buffalo club, z.s."/>
    <s v="706"/>
    <x v="1"/>
    <x v="3"/>
    <s v="Němčice"/>
    <s v="Němčice 46, PSČ 768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5379"/>
    <s v="Bukovina z.s."/>
    <s v="706"/>
    <x v="1"/>
    <x v="2"/>
    <s v="Uherské Hradiště"/>
    <s v="Uherské Hradiště, Míkovice, Na Příkopě 271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27950"/>
    <s v="Buntaranta - přátelé pěstounských rodin"/>
    <s v="706"/>
    <x v="1"/>
    <x v="2"/>
    <s v="Osvětimany"/>
    <s v="Osvětimany 161, PSČ 6874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2900"/>
    <s v="Búřov Golf Club, z.s."/>
    <s v="706"/>
    <x v="1"/>
    <x v="1"/>
    <s v="Valašská Bystřice"/>
    <s v="Valašská Bystřice 203, PSČ 75627"/>
    <s v="93120"/>
    <s v="Činnosti sportovních klubů"/>
    <m/>
    <m/>
    <m/>
    <m/>
    <m/>
    <m/>
    <m/>
    <m/>
    <m/>
    <m/>
    <m/>
    <m/>
    <m/>
    <m/>
    <m/>
    <m/>
    <m/>
  </r>
  <r>
    <s v="22896325"/>
    <s v="Bydlení na Záhonech, z.s."/>
    <s v="706"/>
    <x v="1"/>
    <x v="2"/>
    <s v="Kunovice"/>
    <s v="Kunovice, U Štreky 1746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42515"/>
    <s v="Bydlet a pracovat, z.s."/>
    <s v="706"/>
    <x v="1"/>
    <x v="0"/>
    <s v="Tlumačov"/>
    <s v="Tlumačov, Nádražní 204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6697"/>
    <s v="BÝKEŘI - MORAVIAN BIKERS CLUB"/>
    <s v="706"/>
    <x v="1"/>
    <x v="3"/>
    <s v="Holešov"/>
    <s v="Holešov, Palackého 1634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5979"/>
    <s v="BYSTŘICA z.s."/>
    <s v="706"/>
    <x v="1"/>
    <x v="3"/>
    <s v="Bystřice pod Hostýnem"/>
    <s v="Bystřice pod Hostýnem, Lipnická 1149, PSČ 76861"/>
    <s v="900"/>
    <s v="Tvůrčí, umělecké a zábavní činnosti"/>
    <m/>
    <m/>
    <m/>
    <m/>
    <m/>
    <m/>
    <m/>
    <m/>
    <m/>
    <m/>
    <m/>
    <m/>
    <m/>
    <m/>
    <m/>
    <m/>
    <m/>
  </r>
  <r>
    <s v="17551897"/>
    <s v="Bystřina, z. s."/>
    <s v="706"/>
    <x v="1"/>
    <x v="1"/>
    <s v="Malá Bystřice"/>
    <s v="Malá Bystřice 95, PSČ 7562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031171"/>
    <s v="Canisterapie srdcem, z.s."/>
    <s v="706"/>
    <x v="1"/>
    <x v="0"/>
    <s v="Zlín"/>
    <s v="Zlín, Prštné, Nábřeží 14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761011"/>
    <s v="Cantiamo, z.s."/>
    <s v="706"/>
    <x v="1"/>
    <x v="0"/>
    <s v="Slušovice"/>
    <s v="Slušovice, Hřbitovní 26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76980"/>
    <s v="CANTICUM CAMERALE z.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36491"/>
    <s v="CARAVAN CLUB Strážnice v AČR"/>
    <s v="736"/>
    <x v="0"/>
    <x v="2"/>
    <s v="Staré Město"/>
    <s v="Staré Město, Bratří Mrštíků 1591, PSČ 68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57577"/>
    <s v="CARPE DIEM z.s."/>
    <s v="706"/>
    <x v="1"/>
    <x v="3"/>
    <s v="Hulín"/>
    <s v="Hulín, Chrášťany 49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209139"/>
    <s v="Cekotapress, z. s."/>
    <s v="706"/>
    <x v="1"/>
    <x v="0"/>
    <s v="Zlín"/>
    <s v="Zlín"/>
    <s v="94910"/>
    <s v="Činnosti náboženských organizací"/>
    <m/>
    <m/>
    <m/>
    <m/>
    <m/>
    <m/>
    <m/>
    <m/>
    <m/>
    <m/>
    <m/>
    <m/>
    <m/>
    <m/>
    <m/>
    <m/>
    <m/>
  </r>
  <r>
    <s v="19987633"/>
    <s v="Celoživotní učení, z.s."/>
    <s v="706"/>
    <x v="1"/>
    <x v="3"/>
    <s v="Roštín"/>
    <s v="Roštín 9, PSČ 76803"/>
    <s v="855"/>
    <s v="Ostatní vzdělávání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27744485"/>
    <s v="Centrála cestovního ruchu Východní Moravy, o.p.s."/>
    <s v="141"/>
    <x v="2"/>
    <x v="0"/>
    <s v="Zlín"/>
    <s v="Zlín, J. A. Bati 5520, PSČ 76001"/>
    <s v="74"/>
    <s v="Ostatní profesní, vědecké a technické činnosti"/>
    <s v="Činnosti v oblasti filmů, videozáznamů a televizních programů, pořizování zvukových nahrávek a hudební vydavatelské činnosti"/>
    <s v="Vydávání knih, periodických publikací a ostatní vydavatelské činnosti"/>
    <s v="Ostatní informační činnosti"/>
    <s v="Reklamní činnosti"/>
    <s v="Ostatní vzdělávání"/>
    <s v="Rozmnožování nahraných nosičů"/>
    <m/>
    <m/>
    <m/>
    <m/>
    <m/>
    <m/>
    <m/>
    <m/>
    <m/>
    <m/>
    <m/>
  </r>
  <r>
    <s v="17996406"/>
    <s v="Centrum aplikace energetických inovací, z.s."/>
    <s v="706"/>
    <x v="1"/>
    <x v="0"/>
    <s v="Machová"/>
    <s v="Machová 88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8408"/>
    <s v="Centrum Arkána o.p.s."/>
    <s v="141"/>
    <x v="2"/>
    <x v="0"/>
    <s v="Zlín"/>
    <s v="Zlín, nám. T. G. Masaryka 1281, PSČ 76001"/>
    <s v="855"/>
    <s v="Ostatní vzdělávání"/>
    <s v="Činnosti v oblasti filmů, videozáznamů a televizních programů"/>
    <s v="Ostatní vydavatelské činnosti"/>
    <s v="Činnosti organizací na podporu kulturní činnosti"/>
    <m/>
    <m/>
    <m/>
    <m/>
    <m/>
    <m/>
    <m/>
    <m/>
    <m/>
    <m/>
    <m/>
    <m/>
    <m/>
    <m/>
  </r>
  <r>
    <s v="26635381"/>
    <s v="Centrum bojového umění z.s."/>
    <s v="706"/>
    <x v="1"/>
    <x v="0"/>
    <s v="Zlín"/>
    <s v="Zlín, Nad Ovčírnou IV 344, PSČ 76001"/>
    <s v="93110"/>
    <s v="Provozování sportovních zařízení"/>
    <m/>
    <m/>
    <m/>
    <m/>
    <m/>
    <m/>
    <m/>
    <m/>
    <m/>
    <m/>
    <m/>
    <m/>
    <m/>
    <m/>
    <m/>
    <m/>
    <m/>
  </r>
  <r>
    <s v="22693173"/>
    <s v="Centrum branných aktivit z.s."/>
    <s v="706"/>
    <x v="1"/>
    <x v="2"/>
    <s v="Bojkovice"/>
    <s v="Bojkovice, Krhov 14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855568"/>
    <s v="Centrum branných sportů z. s."/>
    <s v="706"/>
    <x v="1"/>
    <x v="3"/>
    <s v="Hulín"/>
    <s v="Hulín, Záhlinice 42, PSČ 76824"/>
    <s v="93190"/>
    <s v="Ostatní sportovní činnosti"/>
    <m/>
    <m/>
    <m/>
    <m/>
    <m/>
    <m/>
    <m/>
    <m/>
    <m/>
    <m/>
    <m/>
    <m/>
    <m/>
    <m/>
    <m/>
    <m/>
    <m/>
  </r>
  <r>
    <s v="09719067"/>
    <s v="Centrum environmentálního výzkumu, z.s."/>
    <s v="706"/>
    <x v="1"/>
    <x v="2"/>
    <s v="Staré Město"/>
    <s v="Staré Město, Nerudova 2181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60306"/>
    <s v="Centrum experimentální archeologie a živé historie, o.s."/>
    <s v="706"/>
    <x v="1"/>
    <x v="2"/>
    <s v="Modrá"/>
    <s v="Modrá 54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4332"/>
    <s v="centrum Hina o.s."/>
    <s v="706"/>
    <x v="1"/>
    <x v="2"/>
    <s v="Bystřice pod Lopeníkem"/>
    <s v="Bystřice pod Lopeníkem 321, PSČ 68755"/>
    <s v="94991"/>
    <s v="Činnosti organizací dětí a mládeže"/>
    <m/>
    <m/>
    <m/>
    <m/>
    <m/>
    <m/>
    <m/>
    <m/>
    <m/>
    <m/>
    <m/>
    <m/>
    <m/>
    <m/>
    <m/>
    <m/>
    <m/>
  </r>
  <r>
    <s v="04558359"/>
    <s v="Centrum Inspirace, z.ú."/>
    <s v="161"/>
    <x v="3"/>
    <x v="0"/>
    <s v="Zlín"/>
    <s v="Zlín, Lešetín IV 707, PSČ 76001"/>
    <s v="9499"/>
    <s v="Činnosti ostatních organizací sdružujících osoby za účelem prosazování společných zájmů j. n."/>
    <s v="Výroba, obchod a služby neuvedené v přílohách 1 až 3 živnostenského zákona"/>
    <s v="Zprostředkování velkoobchodu a velkoobchod v zastoupení"/>
    <s v="Maloobchod v nespecializovaných prodejnách"/>
    <s v="Činnosti v oblasti informačních technologií"/>
    <s v="Ostatní vzdělávání"/>
    <s v="Ostatní profesní, vědecké a technické činnosti j. n."/>
    <s v="Ostatní technické zkoušky a analýzy"/>
    <s v="Činnosti reklamních agentur"/>
    <s v="Pronájem a leasing ostatních výrobků pro osobní potřebu a převážně pro domácnost"/>
    <s v="Univerzální administrativní činnosti"/>
    <s v="Podpůrné činnosti pro scénická umění"/>
    <s v="Ostatní sportovní činnosti"/>
    <s v="Poskytování ostatních osobních služeb j. n."/>
    <m/>
    <m/>
    <m/>
    <m/>
  </r>
  <r>
    <s v="02235269"/>
    <s v="Centrum Kasárna z.s."/>
    <s v="706"/>
    <x v="1"/>
    <x v="3"/>
    <s v="Kroměříž"/>
    <s v="Kroměříž, Obvodová 3789/2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9719"/>
    <s v="Centrum Kouzelný Vrch o.s."/>
    <s v="706"/>
    <x v="1"/>
    <x v="2"/>
    <s v="Ostrožská Nová Ves"/>
    <s v="Ostrožská Nová Ves, Chylice, Osvobození 164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41310"/>
    <s v="CENTRUM MEDIACE ZLÍN, z.s."/>
    <s v="706"/>
    <x v="1"/>
    <x v="0"/>
    <s v="Zlín"/>
    <s v="Zlín, třída Tomáše Bati 521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7083"/>
    <s v="Centrum podpory marketingového vzdělávání, z.s."/>
    <s v="706"/>
    <x v="1"/>
    <x v="0"/>
    <s v="Zlín"/>
    <s v="Zlín, Podvesná XVI 565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1433"/>
    <s v="Centrum pro matky s dětmi Beruška"/>
    <s v="706"/>
    <x v="1"/>
    <x v="2"/>
    <s v="Kunovice"/>
    <s v="Kunovice, Panská 24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1201"/>
    <s v="Centrum pro média a demokracii, z.s."/>
    <s v="706"/>
    <x v="1"/>
    <x v="1"/>
    <s v="Valašské Meziříčí"/>
    <s v="Valašské Meziříčí, Vsetínská 680/4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3261"/>
    <s v="CENTRUM PRO PODPORU ROZVOJE REGIONU"/>
    <s v="706"/>
    <x v="1"/>
    <x v="0"/>
    <s v="Zlín"/>
    <s v="Zlín, Malenovice, Jar. Staši 1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9908"/>
    <s v="Centrum pro rodinu BERUŠKA"/>
    <s v="706"/>
    <x v="1"/>
    <x v="2"/>
    <s v="Uherský Brod"/>
    <s v="Uherský Brod, U Plovárny 1502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6310"/>
    <s v="Centrum pro rodinu Spolu, z.s."/>
    <s v="706"/>
    <x v="1"/>
    <x v="1"/>
    <s v="Vsetín"/>
    <s v="Vsetín, Horní náměstí 13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681712"/>
    <s v="Centrum pro rodinu Studánka Kroměříž z.s."/>
    <s v="706"/>
    <x v="1"/>
    <x v="3"/>
    <s v="Kroměříž"/>
    <s v="Kroměříž, Stojanovo náměstí 4/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3477"/>
    <s v="Centrum pro rodinu Uherský Brod z.s."/>
    <s v="706"/>
    <x v="1"/>
    <x v="2"/>
    <s v="Uherský Brod"/>
    <s v="Uherský Brod, Masarykovo nám. 6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3006"/>
    <s v="Centrum pro rodinu Valašské Klobouky z.s."/>
    <s v="706"/>
    <x v="1"/>
    <x v="0"/>
    <s v="Valašské Klobouky"/>
    <s v="Valašské Klobouky, Smetanova 95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170686"/>
    <s v="Centrum pro rodinu Valašské Meziříčí z.s."/>
    <s v="706"/>
    <x v="1"/>
    <x v="1"/>
    <s v="Zašová"/>
    <s v="Zašová 44, PSČ 75651"/>
    <s v="94991"/>
    <s v="Činnosti organizací dětí a mládeže"/>
    <m/>
    <m/>
    <m/>
    <m/>
    <m/>
    <m/>
    <m/>
    <m/>
    <m/>
    <m/>
    <m/>
    <m/>
    <m/>
    <m/>
    <m/>
    <m/>
    <m/>
  </r>
  <r>
    <s v="22856919"/>
    <s v="Centrum pro rodinu Vizovice z.s."/>
    <s v="706"/>
    <x v="1"/>
    <x v="0"/>
    <s v="Vizovice"/>
    <s v="Vizovice, Palackého Nám. 365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362512"/>
    <s v="Centrum pro rodinu Vsetín, z. s."/>
    <s v="706"/>
    <x v="1"/>
    <x v="1"/>
    <s v="Vsetín"/>
    <s v="Vsetín, Horní náměstí 13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3936"/>
    <s v="Centrum pro rodinu Zlín z.s."/>
    <s v="706"/>
    <x v="1"/>
    <x v="0"/>
    <s v="Zlín"/>
    <s v="Zlín, Okružní 529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8506"/>
    <s v="Centrum pro rozvoj informační společnosti o.s."/>
    <s v="706"/>
    <x v="1"/>
    <x v="2"/>
    <s v="Uherský Brod"/>
    <s v="Uherský Brod, Komenského 2033, PSČ 6880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6990717"/>
    <s v="Centrum pro seniory Zachar, spolek"/>
    <s v="706"/>
    <x v="1"/>
    <x v="3"/>
    <s v="Kroměříž"/>
    <s v="Kroměříž, Velehradská 625/4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9295327"/>
    <s v="Centrum pro seniory Zahrada, o.p.s."/>
    <s v="141"/>
    <x v="2"/>
    <x v="3"/>
    <s v="Bystřice pod Hostýnem"/>
    <s v="Bystřice pod Hostýnem, A. Bartoše 1700, PSČ 76861"/>
    <s v="8730"/>
    <s v="Sociální péče v domovech pro seniory a osoby se zdravotním postižením"/>
    <s v="Pronájem a leasing výrobků pro osobní potřebu a převážně pro domácnost"/>
    <s v="Ostatní vzdělávání"/>
    <s v="Pronájem a správa vlastních nebo pronajatých nemovitostí"/>
    <s v="Ostatní činnosti související se zdravotní péčí"/>
    <s v="Stravování v restauracích, u stánků a v mobilních zařízeních"/>
    <m/>
    <m/>
    <m/>
    <m/>
    <m/>
    <m/>
    <m/>
    <m/>
    <m/>
    <m/>
    <m/>
    <m/>
  </r>
  <r>
    <s v="02506424"/>
    <s v="Centrum pro volný čas Zlaté šípy"/>
    <s v="706"/>
    <x v="1"/>
    <x v="1"/>
    <s v="Valašské Meziříčí"/>
    <s v="Valašské Meziříčí, Křížná 588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3823"/>
    <s v="Centrum pro zdravotně postižené Zlínského kraje, o.p.s."/>
    <s v="141"/>
    <x v="2"/>
    <x v="0"/>
    <s v="Zlín"/>
    <s v="Zlín, Gahurova 5265, PSČ 76001"/>
    <s v="9499"/>
    <s v="Činnosti ostatních organizací sdružujících osoby za účelem prosazování společných zájmů j. n."/>
    <s v="Ambulantní nebo terénní sociální služby pro osoby se zdravotním postižením"/>
    <m/>
    <m/>
    <m/>
    <m/>
    <m/>
    <m/>
    <m/>
    <m/>
    <m/>
    <m/>
    <m/>
    <m/>
    <m/>
    <m/>
    <m/>
    <m/>
  </r>
  <r>
    <s v="02444232"/>
    <s v="Centrum pro zdravotně postižené Zlínského kraje, o.p.s."/>
    <s v="141"/>
    <x v="2"/>
    <x v="0"/>
    <s v="Zlín"/>
    <s v="Zlín"/>
    <s v="8690"/>
    <s v="Ostatní činnosti související se zdravotní péčí"/>
    <s v="Ostatní profesní, vědecké a technické činnosti j. n."/>
    <m/>
    <m/>
    <m/>
    <m/>
    <m/>
    <m/>
    <m/>
    <m/>
    <m/>
    <m/>
    <m/>
    <m/>
    <m/>
    <m/>
    <m/>
    <m/>
  </r>
  <r>
    <s v="22748211"/>
    <s v="Centrum rodiny a zdraví"/>
    <s v="706"/>
    <x v="1"/>
    <x v="2"/>
    <s v="Uherský Brod"/>
    <s v="Uherský Brod, Pod Valy 10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200651"/>
    <s v="Centrum sebepoznání z.s."/>
    <s v="706"/>
    <x v="1"/>
    <x v="0"/>
    <s v="Zlín"/>
    <s v="Zlín, Kotěrova 90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300083"/>
    <s v="Centrum služeb a podpory Zlín, o.p.s.        s možností užívání zkrácené formy:  CSP Zlín, o.p.s."/>
    <s v="141"/>
    <x v="2"/>
    <x v="0"/>
    <s v="Zlín"/>
    <s v="Zlín, Mostní 4058, PSČ 76001"/>
    <s v="88102"/>
    <s v="Ambulantní nebo terénní sociální služby pro osoby se zdravotním postižením"/>
    <s v="Velkoobchod a maloobchod; opravy a údržba motorových vozidel"/>
    <s v="Výroba chemických látek a chemických přípravků"/>
    <s v="Ostatní profesní, vědecké a technické činnosti"/>
    <s v="Výroba výrobků z papíru a lepenky"/>
    <s v="Činnosti v oblasti informačních technologií"/>
    <s v="Ostatní činnosti související se zdravotní péčí"/>
    <s v="Ambulantní nebo terénní sociální služby pro seniory a osoby se zdravotním postižením"/>
    <s v="Ostatní zpracovatelský průmysl j. n."/>
    <s v="Specializovaná ambulantní zdravotní péče"/>
    <s v="Jiné ambulantní nebo terénní sociální služby j. n."/>
    <m/>
    <m/>
    <m/>
    <m/>
    <m/>
    <m/>
    <m/>
  </r>
  <r>
    <s v="22904905"/>
    <s v="CENTRUM ŠŤÁSTNÉ DÍTĚ, z.s."/>
    <s v="706"/>
    <x v="1"/>
    <x v="0"/>
    <s v="Zlín"/>
    <s v="Zlín, Lorencova 5424, PSČ 76001"/>
    <s v="94999"/>
    <s v="Činnosti ostatních organizací j. n."/>
    <m/>
    <m/>
    <m/>
    <m/>
    <m/>
    <m/>
    <m/>
    <m/>
    <m/>
    <m/>
    <m/>
    <m/>
    <m/>
    <m/>
    <m/>
    <m/>
    <m/>
  </r>
  <r>
    <s v="26223694"/>
    <s v="Centrum ústní hygieny,obecně prospěšná společnost"/>
    <s v="141"/>
    <x v="2"/>
    <x v="3"/>
    <s v="Hulín"/>
    <s v="Hulín, nám. Míru 122, PSČ 76824"/>
    <s v="855"/>
    <s v="Ostatní vzdělávání"/>
    <m/>
    <m/>
    <m/>
    <m/>
    <m/>
    <m/>
    <m/>
    <m/>
    <m/>
    <m/>
    <m/>
    <m/>
    <m/>
    <m/>
    <m/>
    <m/>
    <m/>
  </r>
  <r>
    <s v="27001997"/>
    <s v="Centrum volnočasových aktivit - CVAK, z.s."/>
    <s v="706"/>
    <x v="1"/>
    <x v="0"/>
    <s v="Zlín"/>
    <s v="Zlín, Mladcová, Vinohrádek 56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931302"/>
    <s v="Centrum vzdělávání pro Průmysl 4.0,z.ú."/>
    <s v="161"/>
    <x v="3"/>
    <x v="0"/>
    <s v="Zlín"/>
    <s v="Zlín, Vavrečkova 526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8681"/>
    <s v="CEPR Uherský Brod"/>
    <s v="706"/>
    <x v="1"/>
    <x v="2"/>
    <s v="Uherský Brod"/>
    <s v="Uherský Brod, Partyzánů 2174, Poliklinika &quot;C&quot;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029620"/>
    <s v="Certifikace včelích produktů, z. s."/>
    <s v="706"/>
    <x v="1"/>
    <x v="0"/>
    <s v="Brumov-Bylnice"/>
    <s v="Brumov-Bylnice, Bylnice č. ev. 75, PSČ 7633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575981"/>
    <s v="CERV run z.s."/>
    <s v="706"/>
    <x v="1"/>
    <x v="3"/>
    <s v="Kroměříž"/>
    <s v="Kroměříž, Gorkého 3235/74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337387"/>
    <s v="Cesta k rovnováze, z.s."/>
    <s v="706"/>
    <x v="1"/>
    <x v="1"/>
    <s v="Rožnov pod Radhoštěm"/>
    <s v="Rožnov pod Radhoštěm, U Revíru 142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778403"/>
    <s v="Cesta kritického myšlení, z. s."/>
    <s v="706"/>
    <x v="1"/>
    <x v="0"/>
    <s v="Otrokovice"/>
    <s v="Otrokovice, Kvítkovice, Hlavní 1549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68622"/>
    <s v="Cesta rozvoje, z.s."/>
    <s v="706"/>
    <x v="1"/>
    <x v="0"/>
    <s v="Otrokovice"/>
    <s v="Otrokovice, Štěrkoviště 1293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02362"/>
    <s v="Cesta úspěšných, z.s."/>
    <s v="706"/>
    <x v="1"/>
    <x v="2"/>
    <s v="Uherské Hradiště"/>
    <s v="Uherské Hradiště, Na Morávce č. ev. 20, PSČ 68601"/>
    <s v="94999"/>
    <s v="Činnosti ostatních organizací j. n."/>
    <s v="Zprostředkování velkoobchodu a velkoobchod v zastoupení"/>
    <s v="Maloobchod v nespecializovaných prodejnách"/>
    <s v="Činnosti v oblasti informačních technologií"/>
    <s v="Reklamní činnosti"/>
    <s v="Fotografické činnosti"/>
    <m/>
    <m/>
    <m/>
    <m/>
    <m/>
    <m/>
    <m/>
    <m/>
    <m/>
    <m/>
    <m/>
    <m/>
  </r>
  <r>
    <s v="07637705"/>
    <s v="Cesta vzhůru z.s."/>
    <s v="706"/>
    <x v="1"/>
    <x v="3"/>
    <s v="Kroměříž"/>
    <s v="Kroměříž, Kovářská 119/7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688889"/>
    <s v="Cesta za poznáním, o.s."/>
    <s v="706"/>
    <x v="1"/>
    <x v="0"/>
    <s v="Zlín"/>
    <s v="Zlín, Příluky, Pod Mlýnem 31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2889"/>
    <s v="CESTA-P-občanské sdružení pro jednání o pravobřežní komunikaci Zlín"/>
    <s v="706"/>
    <x v="1"/>
    <x v="0"/>
    <s v="Zlín"/>
    <s v="Zlín, Jílová 457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297498"/>
    <s v="Cestovatelský spolek"/>
    <s v="706"/>
    <x v="1"/>
    <x v="1"/>
    <s v="Vsetín"/>
    <s v="Vsetín, Jabloňová 877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702914"/>
    <s v="Chamber of Commerce and Industry of West Africa and East Europe z.s."/>
    <s v="706"/>
    <x v="1"/>
    <x v="2"/>
    <s v="Babice"/>
    <s v="Babice 411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0560"/>
    <s v="Charita Bystřice pod Hostýnem"/>
    <s v="722"/>
    <x v="5"/>
    <x v="3"/>
    <s v="Bystřice pod Hostýnem"/>
    <s v="Bystřice pod Hostýnem, 6. května 1612, PSČ 76861"/>
    <s v="8899"/>
    <s v="Ostatní ambulantní nebo terénní sociální služby j. n."/>
    <m/>
    <m/>
    <m/>
    <m/>
    <m/>
    <m/>
    <m/>
    <m/>
    <m/>
    <m/>
    <m/>
    <m/>
    <m/>
    <m/>
    <m/>
    <m/>
    <m/>
  </r>
  <r>
    <s v="47930063"/>
    <s v="Charita Holešov"/>
    <s v="722"/>
    <x v="5"/>
    <x v="3"/>
    <s v="Holešov"/>
    <s v="Holešov, Tovární 1407/28, PSČ 76901"/>
    <s v="8899"/>
    <s v="Ostatní ambulantní nebo terénní sociální služby j. n."/>
    <s v="Ambulantní nebo terénní sociální služby pro seniory a osoby se zdravotním postižením"/>
    <s v="Ostatní činnosti související se zdravotní péčí j. n."/>
    <m/>
    <m/>
    <m/>
    <m/>
    <m/>
    <m/>
    <m/>
    <m/>
    <m/>
    <m/>
    <m/>
    <m/>
    <m/>
    <m/>
    <m/>
  </r>
  <r>
    <s v="18189750"/>
    <s v="Charita Kroměříž"/>
    <s v="722"/>
    <x v="5"/>
    <x v="3"/>
    <s v="Kroměříž"/>
    <s v="Kroměříž, Ztracená 63/1, PSČ 76701"/>
    <s v="8690"/>
    <s v="Ostatní činnosti související se zdravotní péčí"/>
    <s v="Ambulantní nebo terénní sociální služby"/>
    <s v="Ambulantní nebo terénní sociální služby pro seniory a osoby se zdravotním postižením"/>
    <m/>
    <m/>
    <m/>
    <m/>
    <m/>
    <m/>
    <m/>
    <m/>
    <m/>
    <m/>
    <m/>
    <m/>
    <m/>
    <m/>
    <m/>
  </r>
  <r>
    <s v="73633071"/>
    <s v="Charita Luhačovice"/>
    <s v="722"/>
    <x v="5"/>
    <x v="0"/>
    <s v="Luhačovice"/>
    <s v="Luhačovice, Hradisko 100, PSČ 76326"/>
    <s v="88"/>
    <s v="Ambulantní nebo terénní sociální služby"/>
    <s v="Ostatní činnosti související se zdravotní péčí j. n."/>
    <m/>
    <m/>
    <m/>
    <m/>
    <m/>
    <m/>
    <m/>
    <m/>
    <m/>
    <m/>
    <m/>
    <m/>
    <m/>
    <m/>
    <m/>
    <m/>
  </r>
  <r>
    <s v="48773514"/>
    <s v="Charita Nový Hrozenkov"/>
    <s v="722"/>
    <x v="5"/>
    <x v="1"/>
    <s v="Nový Hrozenkov"/>
    <s v="Nový Hrozenkov 504, PSČ 75604"/>
    <s v="88102"/>
    <s v="Ambulantní nebo terénní sociální služby pro osoby se zdravotním postižením"/>
    <s v="Ambulantní nebo terénní sociální služby pro seniory"/>
    <m/>
    <m/>
    <m/>
    <m/>
    <m/>
    <m/>
    <m/>
    <m/>
    <m/>
    <m/>
    <m/>
    <m/>
    <m/>
    <m/>
    <m/>
    <m/>
  </r>
  <r>
    <s v="46276262"/>
    <s v="Charita Otrokovice"/>
    <s v="722"/>
    <x v="5"/>
    <x v="0"/>
    <s v="Otrokovice"/>
    <s v="Otrokovice, Na Uličce 1617, PSČ 76502"/>
    <s v="87301"/>
    <s v="Sociální péče v domovech pro seniory"/>
    <s v="Ostatní pobytové služby sociální péče"/>
    <s v="Ambulantní nebo terénní sociální služby pro osoby se zdravotním postižením"/>
    <s v="Sociální služby poskytované dětem"/>
    <s v="Sociální prevence"/>
    <s v="Jiné ambulantní nebo terénní sociální služby j. n."/>
    <m/>
    <m/>
    <m/>
    <m/>
    <m/>
    <m/>
    <m/>
    <m/>
    <m/>
    <m/>
    <m/>
    <m/>
  </r>
  <r>
    <s v="70435618"/>
    <s v="Charita Slavičín"/>
    <s v="722"/>
    <x v="5"/>
    <x v="0"/>
    <s v="Slavičín"/>
    <s v="Slavičín, Komenského 115, PSČ 76321"/>
    <s v="88"/>
    <s v="Ambulantní nebo terénní sociální služby"/>
    <s v="Ostatní činnosti související se zdravotní péčí j. n."/>
    <m/>
    <m/>
    <m/>
    <m/>
    <m/>
    <m/>
    <m/>
    <m/>
    <m/>
    <m/>
    <m/>
    <m/>
    <m/>
    <m/>
    <m/>
    <m/>
  </r>
  <r>
    <s v="44018886"/>
    <s v="Charita Uherské Hradiště"/>
    <s v="722"/>
    <x v="5"/>
    <x v="2"/>
    <s v="Uherské Hradiště"/>
    <s v="Uherské Hradiště, Velehradská třída 247, PSČ 68601"/>
    <s v="88"/>
    <s v="Ambulantní nebo terénní sociální služby"/>
    <s v="Maloobchod v nespecializovaných prodejnách"/>
    <s v="Ostatní činnosti související se zdravotní péčí"/>
    <s v="Výroba bižuterie a příbuzných výrobků"/>
    <s v="Specializovaná ambulantní zdravotní péče"/>
    <m/>
    <m/>
    <m/>
    <m/>
    <m/>
    <m/>
    <m/>
    <m/>
    <m/>
    <m/>
    <m/>
    <m/>
    <m/>
  </r>
  <r>
    <s v="48489336"/>
    <s v="Charita Uherský Brod"/>
    <s v="722"/>
    <x v="5"/>
    <x v="2"/>
    <s v="Uherský Brod"/>
    <s v="Uherský Brod, Mariánské nám. 13, PSČ 68801"/>
    <s v="8899"/>
    <s v="Ostatní ambulantní nebo terénní sociální služby j. n."/>
    <s v="Ostatní činnosti související se zdravotní péčí"/>
    <s v="Ambulantní nebo terénní sociální služby pro seniory a osoby se zdravotním postižením"/>
    <s v="Sociální péče v domovech pro seniory"/>
    <s v="Ostatní pobytové služby sociální péče"/>
    <m/>
    <m/>
    <m/>
    <m/>
    <m/>
    <m/>
    <m/>
    <m/>
    <m/>
    <m/>
    <m/>
    <m/>
    <m/>
  </r>
  <r>
    <s v="73633607"/>
    <s v="Charita Valašské Klobouky"/>
    <s v="722"/>
    <x v="5"/>
    <x v="0"/>
    <s v="Valašské Klobouky"/>
    <s v="Valašské Klobouky, Školní 944, PSČ 76601"/>
    <s v="88"/>
    <s v="Ambulantní nebo terénní sociální služby"/>
    <m/>
    <m/>
    <m/>
    <m/>
    <m/>
    <m/>
    <m/>
    <m/>
    <m/>
    <m/>
    <m/>
    <m/>
    <m/>
    <m/>
    <m/>
    <m/>
    <m/>
  </r>
  <r>
    <s v="47997885"/>
    <s v="Charita Valašské Meziříčí"/>
    <s v="722"/>
    <x v="5"/>
    <x v="1"/>
    <s v="Valašské Meziříčí"/>
    <s v="Valašské Meziříčí, Kpt. Zavadila 1345, PSČ 75701"/>
    <s v="8899"/>
    <s v="Ostatní ambulantní nebo terénní sociální služby j. n."/>
    <s v="Sociální péče v domovech pro seniory"/>
    <s v="Ambulantní nebo terénní sociální služby pro seniory"/>
    <s v="Ambulantní nebo terénní sociální služby pro osoby se zdravotním postižením"/>
    <s v="Sociální služby poskytované dětem"/>
    <s v="Činnosti náboženských organizací"/>
    <m/>
    <m/>
    <m/>
    <m/>
    <m/>
    <m/>
    <m/>
    <m/>
    <m/>
    <m/>
    <m/>
    <m/>
  </r>
  <r>
    <s v="44740778"/>
    <s v="Charita Vsetín"/>
    <s v="722"/>
    <x v="5"/>
    <x v="1"/>
    <s v="Vsetín"/>
    <s v="Vsetín, Horní náměstí 135, PSČ 75501"/>
    <s v="88"/>
    <s v="Ambulantní nebo terénní sociální služby"/>
    <s v="Ostatní činnosti související se zdravotní péčí"/>
    <m/>
    <m/>
    <m/>
    <m/>
    <m/>
    <m/>
    <m/>
    <m/>
    <m/>
    <m/>
    <m/>
    <m/>
    <m/>
    <m/>
    <m/>
    <m/>
  </r>
  <r>
    <s v="44117434"/>
    <s v="Charita Zlín"/>
    <s v="722"/>
    <x v="5"/>
    <x v="0"/>
    <s v="Zlín"/>
    <s v="Zlín, Burešov 4886, PSČ 76001"/>
    <s v="88"/>
    <s v="Ambulantní nebo terénní sociální služby"/>
    <s v="Ostatní činnosti související se zdravotní péčí"/>
    <m/>
    <m/>
    <m/>
    <m/>
    <m/>
    <m/>
    <m/>
    <m/>
    <m/>
    <m/>
    <m/>
    <m/>
    <m/>
    <m/>
    <m/>
    <m/>
  </r>
  <r>
    <s v="67028721"/>
    <s v="Charitativní sdružení Slza"/>
    <s v="706"/>
    <x v="1"/>
    <x v="0"/>
    <s v="Slušovice"/>
    <s v="Slušovice, Romanova 4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504419"/>
    <s v="Charity Jam z.s."/>
    <s v="706"/>
    <x v="1"/>
    <x v="0"/>
    <s v="Brumov-Bylnice"/>
    <s v="Brumov-Bylnice, Bylnice, Vlárská 274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8732"/>
    <s v="Charon"/>
    <s v="706"/>
    <x v="1"/>
    <x v="0"/>
    <s v="Tečovice"/>
    <s v="Tečovice 206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74708"/>
    <s v="Chata Bystřička z.s."/>
    <s v="706"/>
    <x v="1"/>
    <x v="0"/>
    <s v="Zlín"/>
    <s v="Zlín, Hradská 854, PSČ 76001"/>
    <s v="93190"/>
    <s v="Ostatní sportovní činnosti"/>
    <m/>
    <m/>
    <m/>
    <m/>
    <m/>
    <m/>
    <m/>
    <m/>
    <m/>
    <m/>
    <m/>
    <m/>
    <m/>
    <m/>
    <m/>
    <m/>
    <m/>
  </r>
  <r>
    <s v="17310393"/>
    <s v="CHATAŘI SALAŠ, z.s."/>
    <s v="706"/>
    <x v="1"/>
    <x v="2"/>
    <s v="Salaš"/>
    <s v="Salaš 85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9722"/>
    <s v="Chatová osada Hustopeče"/>
    <s v="706"/>
    <x v="1"/>
    <x v="1"/>
    <s v="Zašová"/>
    <s v="Zašová 595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9839"/>
    <s v="Chatová osada Štěrkopísky"/>
    <s v="706"/>
    <x v="1"/>
    <x v="1"/>
    <s v="Rožnov pod Radhoštěm"/>
    <s v="Rožnov pod Radhoštěm, Julia Fučíka 922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7024"/>
    <s v="Chatoviště Zděchov-Vlčnov, z.s."/>
    <s v="706"/>
    <x v="1"/>
    <x v="1"/>
    <s v="Zděchov"/>
    <s v="Zděchov 175, PSČ 756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117691"/>
    <s v="Chaty OBZOR z.s."/>
    <s v="706"/>
    <x v="1"/>
    <x v="1"/>
    <s v="Bystřička"/>
    <s v="Bystřička č. ev. 245, PSČ 756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9421"/>
    <s v="Chceme zpátky Edisonovu žárovku o.s."/>
    <s v="706"/>
    <x v="1"/>
    <x v="0"/>
    <s v="Zlín"/>
    <s v="Zlín, Na Honech III 4927, PSČ 76005"/>
    <s v="94995"/>
    <s v="Činnosti environmentálních a ekologických hnutí"/>
    <m/>
    <m/>
    <m/>
    <m/>
    <m/>
    <m/>
    <m/>
    <m/>
    <m/>
    <m/>
    <m/>
    <m/>
    <m/>
    <m/>
    <m/>
    <m/>
    <m/>
  </r>
  <r>
    <s v="22675582"/>
    <s v="Chlapčiska ze Spytinova, z.s."/>
    <s v="706"/>
    <x v="1"/>
    <x v="0"/>
    <s v="Spytihněv"/>
    <s v="Spytihněv 592, PSČ 763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676281"/>
    <s v="CHLAPI V LETECH, spolek"/>
    <s v="706"/>
    <x v="1"/>
    <x v="2"/>
    <s v="Uherské Hradiště"/>
    <s v="Uherské Hradiště, Sloupského 5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9005"/>
    <s v="Chovatelé, z.s."/>
    <s v="706"/>
    <x v="1"/>
    <x v="2"/>
    <s v="Jalubí"/>
    <s v="Jalubí 58, PSČ 687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724347"/>
    <s v="Chovatelská stanice Altaj, z.s."/>
    <s v="706"/>
    <x v="1"/>
    <x v="0"/>
    <s v="Slušovice"/>
    <s v="Slušovice 83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8608"/>
    <s v="Chrámový sbor Březolupy, z.s."/>
    <s v="706"/>
    <x v="1"/>
    <x v="2"/>
    <s v="Březolupy"/>
    <s v="Březolupy 252, PSČ 687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3907"/>
    <s v="Chraňme zeleň z.s."/>
    <s v="706"/>
    <x v="1"/>
    <x v="2"/>
    <s v="Uherské Hradiště"/>
    <s v="Uherské Hradiště, Jana Blahoslava 371, PSČ 68601"/>
    <s v="94995"/>
    <s v="Činnosti environmentálních a ekologických hnutí"/>
    <m/>
    <m/>
    <m/>
    <m/>
    <m/>
    <m/>
    <m/>
    <m/>
    <m/>
    <m/>
    <m/>
    <m/>
    <m/>
    <m/>
    <m/>
    <m/>
    <m/>
  </r>
  <r>
    <s v="06870317"/>
    <s v="Chrastěšovský bál z.s."/>
    <s v="706"/>
    <x v="1"/>
    <x v="0"/>
    <s v="Vizovice"/>
    <s v="Vizovice, Chrastěšov 37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3213"/>
    <s v="Cifra, z.s."/>
    <s v="706"/>
    <x v="1"/>
    <x v="2"/>
    <s v="Uherské Hradiště"/>
    <s v="Uherské Hradiště, Hradební 119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367"/>
    <s v="Cimbálová asociace České republiky, z.s."/>
    <s v="706"/>
    <x v="1"/>
    <x v="1"/>
    <s v="Valašské Meziříčí"/>
    <s v="Valašské Meziříčí, Krásno nad Bečvou, Růžová 15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1421"/>
    <s v="Cimbálová muzika Bálešáci, spolek"/>
    <s v="706"/>
    <x v="1"/>
    <x v="2"/>
    <s v="Staré Město"/>
    <s v="Staré Město, náměstí Hrdinů 10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93325"/>
    <s v="Cimbálová muzika Bojkovjan, z. s."/>
    <s v="706"/>
    <x v="1"/>
    <x v="2"/>
    <s v="Bojkovice"/>
    <s v="Bojkovice, Pitínská 120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7296"/>
    <s v="Cimbálová muzika Bukovinka z.s."/>
    <s v="706"/>
    <x v="1"/>
    <x v="3"/>
    <s v="Bystřice pod Hostýnem"/>
    <s v="Bystřice pod Hostýnem, Palackého 457, PSČ 76861"/>
    <s v="900"/>
    <s v="Tvůrčí, umělecké a zábavní činnosti"/>
    <m/>
    <m/>
    <m/>
    <m/>
    <m/>
    <m/>
    <m/>
    <m/>
    <m/>
    <m/>
    <m/>
    <m/>
    <m/>
    <m/>
    <m/>
    <m/>
    <m/>
  </r>
  <r>
    <s v="22819665"/>
    <s v="Cimbálová muzika Burava, z. s."/>
    <s v="706"/>
    <x v="1"/>
    <x v="2"/>
    <s v="Topolná"/>
    <s v="Topolná 118, PSČ 687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668927"/>
    <s v="Cimbálová muzika Cifra, z. s."/>
    <s v="706"/>
    <x v="1"/>
    <x v="2"/>
    <s v="Uherské Hradiště"/>
    <s v="Uherské Hradiště, Mařatice, Pod Kostelem 1809, PSČ 68605"/>
    <s v="90030"/>
    <s v="Umělecká tvorba"/>
    <m/>
    <m/>
    <m/>
    <m/>
    <m/>
    <m/>
    <m/>
    <m/>
    <m/>
    <m/>
    <m/>
    <m/>
    <m/>
    <m/>
    <m/>
    <m/>
    <m/>
  </r>
  <r>
    <s v="08366721"/>
    <s v="Cimbálová muzika Cyril, z.s."/>
    <s v="706"/>
    <x v="1"/>
    <x v="0"/>
    <s v="Vysoké Pole"/>
    <s v="Vysoké Pole 278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9153"/>
    <s v="&quot;Cimbálová muzika Hora, o.s.&quot;"/>
    <s v="706"/>
    <x v="1"/>
    <x v="2"/>
    <s v="Hradčovice"/>
    <s v="Hradčovice 268, PSČ 687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93080"/>
    <s v="Cimbálová muzika Jaroslava Čecha, z.s."/>
    <s v="706"/>
    <x v="1"/>
    <x v="2"/>
    <s v="Uherské Hradiště"/>
    <s v="Uherské Hradiště, Hradební 119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7556"/>
    <s v="Cimbálová muzika Josefa Marečka, z. s."/>
    <s v="706"/>
    <x v="1"/>
    <x v="2"/>
    <s v="Uherské Hradiště"/>
    <s v="Uherské Hradiště, Stará Tenice 119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196"/>
    <s v="Cimbálová muzika JURÁŠ, z.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5823"/>
    <s v="Cimbálová muzika Kordulka, z. s."/>
    <s v="706"/>
    <x v="1"/>
    <x v="1"/>
    <s v="Ústí"/>
    <s v="Ústí 115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180837"/>
    <s v="Cimbálová muzika Kyčerka,z.s."/>
    <s v="706"/>
    <x v="1"/>
    <x v="1"/>
    <s v="Velké Karlovice"/>
    <s v="Velké Karlovice 865, PSČ 75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1046"/>
    <s v="Cimbálová muzika LINDA"/>
    <s v="706"/>
    <x v="1"/>
    <x v="0"/>
    <s v="Zlín"/>
    <s v="Zlín, Slunečná 4559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6482"/>
    <s v="cimbálová muzika LIPINA"/>
    <s v="706"/>
    <x v="1"/>
    <x v="2"/>
    <s v="Nivnice"/>
    <s v="Nivnice, Příčná 864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6504"/>
    <s v="Cimbálová muzika Marečci z.s."/>
    <s v="706"/>
    <x v="1"/>
    <x v="2"/>
    <s v="Uherské Hradiště"/>
    <s v="Uherské Hradiště, Husova 541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3831"/>
    <s v="CIMBÁLOVÁ MUZIKA OHNICA, z.s."/>
    <s v="706"/>
    <x v="1"/>
    <x v="2"/>
    <s v="Uherské Hradiště"/>
    <s v="Uherské Hradiště, náměstí Míru 43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7075"/>
    <s v="&quot;Cimbálová muzika Olšavěnka, spolek&quot;"/>
    <s v="706"/>
    <x v="1"/>
    <x v="2"/>
    <s v="Uherský Brod"/>
    <s v="Uherský Brod, Mariánské nám. 218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61717"/>
    <s v="Cimbálová muzika Oskoruša, z. s."/>
    <s v="706"/>
    <x v="1"/>
    <x v="2"/>
    <s v="Hluk"/>
    <s v="Hluk, Lánská 781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2770"/>
    <s v="Cimbálová muzika Paléska, z.s."/>
    <s v="706"/>
    <x v="1"/>
    <x v="0"/>
    <s v="Zlín"/>
    <s v="Zlín, Sokolská 393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91290"/>
    <s v="Cimbálová muzika POLAJKA z. s."/>
    <s v="706"/>
    <x v="1"/>
    <x v="1"/>
    <s v="Valašské Meziříčí"/>
    <s v="Valašské Meziříčí, Hálkova 66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63778"/>
    <s v="Cimbálová muzika Rováš"/>
    <s v="706"/>
    <x v="1"/>
    <x v="0"/>
    <s v="Zlín"/>
    <s v="Zlín, Podlesí IV 5376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849770"/>
    <s v="Cimbálová muzika Rubáš, z. s."/>
    <s v="706"/>
    <x v="1"/>
    <x v="2"/>
    <s v="Buchlovice"/>
    <s v="Buchlovice, Brněnská 16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4246"/>
    <s v="Cimbálová muzika Stanislava Gabriela, z.s."/>
    <s v="706"/>
    <x v="1"/>
    <x v="2"/>
    <s v="Babice"/>
    <s v="Babice 508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6000"/>
    <s v="Cimbálová muzika SUDOVJAN z.s."/>
    <s v="706"/>
    <x v="1"/>
    <x v="2"/>
    <s v="Uherské Hradiště"/>
    <s v="Uherské Hradiště, Mařatice, Kopánky 1521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08725"/>
    <s v="Cimbálová muzika Valášek Zlín, z. s."/>
    <s v="706"/>
    <x v="1"/>
    <x v="0"/>
    <s v="Zlín"/>
    <s v="Zlín, Okružní 4685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1438"/>
    <s v="Cimbálová muzika VELEHRAD"/>
    <s v="706"/>
    <x v="1"/>
    <x v="2"/>
    <s v="Kudlovice"/>
    <s v="Kudlovice 280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2841"/>
    <s v="Cimbálová muzika Viléma Zahradníka"/>
    <s v="706"/>
    <x v="1"/>
    <x v="2"/>
    <s v="Uherské Hradiště"/>
    <s v="Uherské Hradiště, Hradební 119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3589"/>
    <s v="„Cimbálová muzika Vincúch, o. s.”"/>
    <s v="706"/>
    <x v="1"/>
    <x v="0"/>
    <s v="Valašské Klobouky"/>
    <s v="Valašské Klobouky, Koželužská 69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81464"/>
    <s v="Cimbálová muzika Vizovský Juráš,z.s."/>
    <s v="706"/>
    <x v="1"/>
    <x v="0"/>
    <s v="Vizovice"/>
    <s v="Vizovice, Komenského 789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7221"/>
    <s v="CIMEX SPORT CLUB o.s."/>
    <s v="706"/>
    <x v="1"/>
    <x v="3"/>
    <s v="Bystřice pod Hostýnem"/>
    <s v="Bystřice pod Hostýnem, Čs. brigády 91, PSČ 76861"/>
    <s v="93120"/>
    <s v="Činnosti sportovních klubů"/>
    <m/>
    <m/>
    <m/>
    <m/>
    <m/>
    <m/>
    <m/>
    <m/>
    <m/>
    <m/>
    <m/>
    <m/>
    <m/>
    <m/>
    <m/>
    <m/>
    <m/>
  </r>
  <r>
    <s v="70894159"/>
    <s v="CIMO BIKE TEAM"/>
    <s v="706"/>
    <x v="1"/>
    <x v="1"/>
    <s v="Vsetín"/>
    <s v="Vsetín, Mostecká 367, PSČ 75501"/>
    <s v="931"/>
    <s v="Sportovní činnosti"/>
    <m/>
    <m/>
    <m/>
    <m/>
    <m/>
    <m/>
    <m/>
    <m/>
    <m/>
    <m/>
    <m/>
    <m/>
    <m/>
    <m/>
    <m/>
    <m/>
    <m/>
  </r>
  <r>
    <s v="73634964"/>
    <s v="Církev Nová naděje sbor Kroměříž"/>
    <s v="722"/>
    <x v="5"/>
    <x v="0"/>
    <s v="Zlín"/>
    <s v="Zlín, Kudlov, Formanka 34, PSČ 76001"/>
    <s v="94910"/>
    <s v="Činnosti náboženských organizací"/>
    <m/>
    <m/>
    <m/>
    <m/>
    <m/>
    <m/>
    <m/>
    <m/>
    <m/>
    <m/>
    <m/>
    <m/>
    <m/>
    <m/>
    <m/>
    <m/>
    <m/>
  </r>
  <r>
    <s v="73635243"/>
    <s v="Církev Slovo života, sbor Kroměříž"/>
    <s v="722"/>
    <x v="5"/>
    <x v="3"/>
    <s v="Kroměříž"/>
    <s v="Kroměříž, Bílanská 3320/16B, PSČ 76701"/>
    <s v="94910"/>
    <s v="Činnosti náboženských organizací"/>
    <m/>
    <m/>
    <m/>
    <m/>
    <m/>
    <m/>
    <m/>
    <m/>
    <m/>
    <m/>
    <m/>
    <m/>
    <m/>
    <m/>
    <m/>
    <m/>
    <m/>
  </r>
  <r>
    <s v="22745726"/>
    <s v="CIRS - Centrum pro mezinárodní vztahy a bezpečnost"/>
    <s v="706"/>
    <x v="1"/>
    <x v="2"/>
    <s v="Uherské Hradiště"/>
    <s v="Uherské Hradiště, Za Alejí 1008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5409"/>
    <s v="Ciruela,o.s."/>
    <s v="706"/>
    <x v="1"/>
    <x v="1"/>
    <s v="Vsetín"/>
    <s v="Vsetín, Semetín 899, PSČ 75501"/>
    <s v="94995"/>
    <s v="Činnosti environmentálních a ekologických hnutí"/>
    <m/>
    <m/>
    <m/>
    <m/>
    <m/>
    <m/>
    <m/>
    <m/>
    <m/>
    <m/>
    <m/>
    <m/>
    <m/>
    <m/>
    <m/>
    <m/>
    <m/>
  </r>
  <r>
    <s v="08965803"/>
    <s v="CITY BEACH UB, z.s."/>
    <s v="706"/>
    <x v="1"/>
    <x v="2"/>
    <s v="Uherský Brod"/>
    <s v="Uherský Brod, Rybářská 398, PSČ 68801"/>
    <s v="93190"/>
    <s v="Ostatní sportovní činnosti"/>
    <s v="Velkoobchod a maloobchod; opravy a údržba motorových vozidel"/>
    <s v="Pronájem a správa vlastních nebo pronajatých nemovitostí"/>
    <s v="Činnosti reklamních agentur"/>
    <s v="Provozování sportovních zařízení"/>
    <m/>
    <m/>
    <m/>
    <m/>
    <m/>
    <m/>
    <m/>
    <m/>
    <m/>
    <m/>
    <m/>
    <m/>
    <m/>
  </r>
  <r>
    <s v="26995107"/>
    <s v="Classic fire cars krůžek"/>
    <s v="706"/>
    <x v="1"/>
    <x v="2"/>
    <s v="Uherský Brod"/>
    <s v="Uherský Brod, Za Humny 2172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9064"/>
    <s v="CLOUD z.s."/>
    <s v="706"/>
    <x v="1"/>
    <x v="3"/>
    <s v="Hulín"/>
    <s v="Hulín, Chrášťany 49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541433"/>
    <s v="Club - MMA VALACHY, z.s."/>
    <s v="706"/>
    <x v="1"/>
    <x v="1"/>
    <s v="Nový Hrozenkov"/>
    <s v="Nový Hrozenkov 734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9476"/>
    <s v="CLUB EXTRÉMNÍCH SPORTŮ"/>
    <s v="706"/>
    <x v="1"/>
    <x v="3"/>
    <s v="Kroměříž"/>
    <s v="Kroměříž, Havlíčkova 3933/120, PSČ 76701"/>
    <s v="93110"/>
    <s v="Provozování sportovních zařízení"/>
    <m/>
    <m/>
    <m/>
    <m/>
    <m/>
    <m/>
    <m/>
    <m/>
    <m/>
    <m/>
    <m/>
    <m/>
    <m/>
    <m/>
    <m/>
    <m/>
    <m/>
  </r>
  <r>
    <s v="63414635"/>
    <s v="Club přátel AMERICKÉHO POKRU"/>
    <s v="706"/>
    <x v="1"/>
    <x v="3"/>
    <s v="Kroměříž"/>
    <s v="Kroměříž, Riegrovo náměstí 132/67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519454"/>
    <s v="clubus z.s."/>
    <s v="706"/>
    <x v="1"/>
    <x v="0"/>
    <s v="Zlín"/>
    <s v="Zlín, Obeciny X 362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947755"/>
    <s v="CM Džbánek, z.s."/>
    <s v="706"/>
    <x v="1"/>
    <x v="2"/>
    <s v="Tupesy"/>
    <s v="Tupesy 250, PSČ 687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83604"/>
    <s v="CM Hlaholica, z.s."/>
    <s v="706"/>
    <x v="1"/>
    <x v="2"/>
    <s v="Modrá"/>
    <s v="Modrá 132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93128"/>
    <s v="CM Kunovjan, z.s."/>
    <s v="706"/>
    <x v="1"/>
    <x v="2"/>
    <s v="Uherské Hradiště"/>
    <s v="Uherské Hradiště, Sady, Pod Vinohrady 219, PSČ 68601"/>
    <s v="9499"/>
    <s v="Činnosti ostatních organizací sdružujících osoby za účelem prosazování společných zájmů j. n."/>
    <s v="Vydavatelské činnosti"/>
    <s v="Maloobchod v nespecializovaných prodejnách"/>
    <s v="Rozmnožování nahraných nosičů"/>
    <s v="Podpůrné činnosti pro scénická umění"/>
    <m/>
    <m/>
    <m/>
    <m/>
    <m/>
    <m/>
    <m/>
    <m/>
    <m/>
    <m/>
    <m/>
    <m/>
    <m/>
  </r>
  <r>
    <s v="05517478"/>
    <s v="CM Mladí Burčáci, z.s."/>
    <s v="706"/>
    <x v="1"/>
    <x v="2"/>
    <s v="Uherské Hradiště"/>
    <s v="Uherské Hradiště, Míkovice, U Mlýna 330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537224"/>
    <s v="Co přinese budoucnost z. s."/>
    <s v="706"/>
    <x v="1"/>
    <x v="1"/>
    <s v="Valašské Meziříčí"/>
    <s v="Valašské Meziříčí, U Vodojemu 1235, PSČ 75701"/>
    <s v="94999"/>
    <s v="Činnosti ostatních organizací j. n."/>
    <m/>
    <m/>
    <m/>
    <m/>
    <m/>
    <m/>
    <m/>
    <m/>
    <m/>
    <m/>
    <m/>
    <m/>
    <m/>
    <m/>
    <m/>
    <m/>
    <m/>
  </r>
  <r>
    <s v="65822579"/>
    <s v="COBI MOTORSPORT KLUB V AČR"/>
    <s v="736"/>
    <x v="0"/>
    <x v="0"/>
    <s v="Vizovice"/>
    <s v="Vizovice, Říční 412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8429"/>
    <s v="CODY´S FLYING TEAM,o.s."/>
    <s v="706"/>
    <x v="1"/>
    <x v="3"/>
    <s v="Bystřice pod Hostýnem"/>
    <s v="Bystřice pod Hostýnem, Masarykovo nám. 137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8607"/>
    <s v="CODY´S RACING TEAM JUNIOR, o.s."/>
    <s v="706"/>
    <x v="1"/>
    <x v="3"/>
    <s v="Bystřice pod Hostýnem"/>
    <s v="Bystřice pod Hostýnem, Masarykovo nám. 137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8359"/>
    <s v="CODY´S RACING TEAM, o.s."/>
    <s v="706"/>
    <x v="1"/>
    <x v="3"/>
    <s v="Bystřice pod Hostýnem"/>
    <s v="Bystřice pod Hostýnem, Novosady 516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64160"/>
    <s v="Collegium musicale z. s."/>
    <s v="706"/>
    <x v="1"/>
    <x v="3"/>
    <s v="Kroměříž"/>
    <s v="Kroměříž, náměstí Míru 350/2A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5391"/>
    <s v="Comenius z.s."/>
    <s v="706"/>
    <x v="1"/>
    <x v="2"/>
    <s v="Uherský Brod"/>
    <s v="Uherský Brod, Rtm. Křivdy 2079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674615"/>
    <s v="COMMUNIO VIATORUM, z.s."/>
    <s v="706"/>
    <x v="1"/>
    <x v="1"/>
    <s v="Valašské Meziříčí"/>
    <s v="Valašské Meziříčí, Blahoslavova 430/3, PSČ 75701"/>
    <s v="94991"/>
    <s v="Činnosti organizací dětí a mládeže"/>
    <m/>
    <m/>
    <m/>
    <m/>
    <m/>
    <m/>
    <m/>
    <m/>
    <m/>
    <m/>
    <m/>
    <m/>
    <m/>
    <m/>
    <m/>
    <m/>
    <m/>
  </r>
  <r>
    <s v="01963074"/>
    <s v="Communitas - spolek podporující komunitní rozvoj"/>
    <s v="706"/>
    <x v="1"/>
    <x v="0"/>
    <s v="Otrokovice"/>
    <s v="Otrokovice, Kvítkovice, Hlavní 1219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5051"/>
    <s v="Communitas auxilium - společenství pro pomoc, z.s."/>
    <s v="706"/>
    <x v="1"/>
    <x v="0"/>
    <s v="Zlín"/>
    <s v="Zlín, Štefánikova 661/21, PSČ 76001"/>
    <s v="94995"/>
    <s v="Činnosti environmentálních a ekologických hnutí"/>
    <m/>
    <m/>
    <m/>
    <m/>
    <m/>
    <m/>
    <m/>
    <m/>
    <m/>
    <m/>
    <m/>
    <m/>
    <m/>
    <m/>
    <m/>
    <m/>
    <m/>
  </r>
  <r>
    <s v="01325078"/>
    <s v="Connect office o.s."/>
    <s v="706"/>
    <x v="1"/>
    <x v="3"/>
    <s v="Kroměříž"/>
    <s v="Kroměříž, Tovačovského 2784/24, PSČ 76701"/>
    <s v="9319"/>
    <s v="Ostatní sportovní činnosti"/>
    <m/>
    <m/>
    <m/>
    <m/>
    <m/>
    <m/>
    <m/>
    <m/>
    <m/>
    <m/>
    <m/>
    <m/>
    <m/>
    <m/>
    <m/>
    <m/>
    <m/>
  </r>
  <r>
    <s v="02430380"/>
    <s v="Connect office plus delta o.s."/>
    <s v="706"/>
    <x v="1"/>
    <x v="3"/>
    <s v="Kroměříž"/>
    <s v="Kroměříž, Tovačovského 2784/2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30061"/>
    <s v="Connect office plus gama z.s."/>
    <s v="706"/>
    <x v="1"/>
    <x v="2"/>
    <s v="Topolná"/>
    <s v="Topolná 473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21950"/>
    <s v="conscinentia o.s."/>
    <s v="706"/>
    <x v="1"/>
    <x v="0"/>
    <s v="Žlutava"/>
    <s v="Žlutava 328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708738"/>
    <s v="COO - ČR z.s. -Zlínský kraj"/>
    <s v="706"/>
    <x v="1"/>
    <x v="3"/>
    <s v="Hulín"/>
    <s v="Hulín, U Sv. Anny 1299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3596"/>
    <s v="Coworkingové centrum Zlín, z. s."/>
    <s v="706"/>
    <x v="1"/>
    <x v="0"/>
    <s v="Zlín"/>
    <s v="třída Tomáše Bati 5146, 760 01 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163051"/>
    <s v="CRAZY DREAM, z.s."/>
    <s v="706"/>
    <x v="1"/>
    <x v="0"/>
    <s v="Otrokovice"/>
    <s v="Otrokovice, Dobrovského 924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950154"/>
    <s v="CREDO CZ - nadace"/>
    <s v="117"/>
    <x v="7"/>
    <x v="0"/>
    <s v="Zlín"/>
    <s v="Zlín, třída Tomáše Bati 213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773816"/>
    <s v="CRES"/>
    <s v="706"/>
    <x v="1"/>
    <x v="1"/>
    <s v="Rožnov pod Radhoštěm"/>
    <s v="Rožnov pod Radhoštěm, Pod Skalkou 956"/>
    <s v="93120"/>
    <s v="Činnosti sportovních klubů"/>
    <m/>
    <m/>
    <m/>
    <m/>
    <m/>
    <m/>
    <m/>
    <m/>
    <m/>
    <m/>
    <m/>
    <m/>
    <m/>
    <m/>
    <m/>
    <m/>
    <m/>
  </r>
  <r>
    <s v="07498179"/>
    <s v="Crossathletic z.s."/>
    <s v="706"/>
    <x v="1"/>
    <x v="2"/>
    <s v="Uherský Brod"/>
    <s v="Uherský Brod, Vazová 2451, PSČ 68801"/>
    <s v="93190"/>
    <s v="Ostatní sportovní činnosti"/>
    <m/>
    <m/>
    <m/>
    <m/>
    <m/>
    <m/>
    <m/>
    <m/>
    <m/>
    <m/>
    <m/>
    <m/>
    <m/>
    <m/>
    <m/>
    <m/>
    <m/>
  </r>
  <r>
    <s v="22902422"/>
    <s v="CYKLISTICKÉ DRUŽSTVO HOLEŠOV"/>
    <s v="706"/>
    <x v="1"/>
    <x v="3"/>
    <s v="Holešov"/>
    <s v="Holešov, Masarykova 988/25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58806"/>
    <s v="cyklistický klub Rohálov"/>
    <s v="706"/>
    <x v="1"/>
    <x v="3"/>
    <s v="Prusinovice"/>
    <s v="Prusinovice, Díly 385, PSČ 7684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268792"/>
    <s v="Cyklistický oddíl Cyklosport Chropyně, sportovní spolek"/>
    <s v="706"/>
    <x v="1"/>
    <x v="3"/>
    <s v="Chropyně"/>
    <s v="Chropyně, Komenského 348, PSČ 76811"/>
    <s v="931"/>
    <s v="Sportovní činnosti"/>
    <m/>
    <m/>
    <m/>
    <m/>
    <m/>
    <m/>
    <m/>
    <m/>
    <m/>
    <m/>
    <m/>
    <m/>
    <m/>
    <m/>
    <m/>
    <m/>
    <m/>
  </r>
  <r>
    <s v="47935791"/>
    <s v="Cyklo Bulis z.s."/>
    <s v="706"/>
    <x v="1"/>
    <x v="3"/>
    <s v="Bystřice pod Hostýnem"/>
    <s v="Bystřice pod Hostýnem, Obchodní 1604, PSČ 76861"/>
    <s v="931"/>
    <s v="Sportovní činnosti"/>
    <m/>
    <m/>
    <m/>
    <m/>
    <m/>
    <m/>
    <m/>
    <m/>
    <m/>
    <m/>
    <m/>
    <m/>
    <m/>
    <m/>
    <m/>
    <m/>
    <m/>
  </r>
  <r>
    <s v="26523868"/>
    <s v="CYKLO CLUB Slavičín"/>
    <s v="706"/>
    <x v="1"/>
    <x v="0"/>
    <s v="Slavičín"/>
    <s v="Slavičín, Hasičská 576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7704"/>
    <s v="CYKLO ŽOPY amatér bajk tým, z.s."/>
    <s v="706"/>
    <x v="1"/>
    <x v="3"/>
    <s v="Holešov"/>
    <s v="Holešov, Žopy 65, PSČ 76901"/>
    <s v="93190"/>
    <s v="Ostatní sportovní činnosti"/>
    <m/>
    <m/>
    <m/>
    <m/>
    <m/>
    <m/>
    <m/>
    <m/>
    <m/>
    <m/>
    <m/>
    <m/>
    <m/>
    <m/>
    <m/>
    <m/>
    <m/>
  </r>
  <r>
    <s v="02987490"/>
    <s v="Cykloch a Skipo team z.s."/>
    <s v="706"/>
    <x v="1"/>
    <x v="3"/>
    <s v="Chvalčov"/>
    <s v="Chvalčov, U Vesničky 577, PSČ 76872"/>
    <s v="93190"/>
    <s v="Ostatní sportovní činnosti"/>
    <m/>
    <m/>
    <m/>
    <m/>
    <m/>
    <m/>
    <m/>
    <m/>
    <m/>
    <m/>
    <m/>
    <m/>
    <m/>
    <m/>
    <m/>
    <m/>
    <m/>
  </r>
  <r>
    <s v="26526476"/>
    <s v="CYKLOKLUB-Sdružení pro rozvoj cykloturistiky v České republice"/>
    <s v="706"/>
    <x v="1"/>
    <x v="0"/>
    <s v="Vizovice"/>
    <s v="Vizovice, Masarykovo nám. 119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093109"/>
    <s v="Cyklokroužek Fryšták, z.s."/>
    <s v="706"/>
    <x v="1"/>
    <x v="0"/>
    <s v="Fryšták"/>
    <s v="Fryšták, Horní Ves, Korábová 82, PSČ 7631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9779078"/>
    <s v="Cyklomira Racing, z.s."/>
    <s v="706"/>
    <x v="1"/>
    <x v="0"/>
    <s v="Lukov"/>
    <s v="Lukov, U Pivovaru 300, PSČ 7631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061725"/>
    <s v="Cykloteam MXM Hulín z.s."/>
    <s v="706"/>
    <x v="1"/>
    <x v="3"/>
    <s v="Hulín"/>
    <s v="Hulín, Žižkova 1296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8208"/>
    <s v="Cykloteam OD MORAVA, z.s."/>
    <s v="706"/>
    <x v="1"/>
    <x v="3"/>
    <s v="Holešov"/>
    <s v="Holešov, nám. Dr. E. Beneše 7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9199"/>
    <s v="Cykloturistický oddíl NEKO Prusinovice"/>
    <s v="706"/>
    <x v="1"/>
    <x v="3"/>
    <s v="Holešov"/>
    <s v="Holešov, Sadová 1542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2397"/>
    <s v="&quot;CYKLOTURISTIKA o.s.&quot;"/>
    <s v="706"/>
    <x v="1"/>
    <x v="2"/>
    <s v="Kněžpole"/>
    <s v="Kněžpole 315, PSČ 68712"/>
    <s v="93110"/>
    <s v="Provozování sportovních zařízení"/>
    <m/>
    <m/>
    <m/>
    <m/>
    <m/>
    <m/>
    <m/>
    <m/>
    <m/>
    <m/>
    <m/>
    <m/>
    <m/>
    <m/>
    <m/>
    <m/>
    <m/>
  </r>
  <r>
    <s v="46276220"/>
    <s v="CYKOLOTEAM Zlín, z.s."/>
    <s v="706"/>
    <x v="1"/>
    <x v="0"/>
    <s v="Zlín"/>
    <s v="Zlín, U Trojáku 4647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32153"/>
    <s v="Cymbelín"/>
    <s v="706"/>
    <x v="1"/>
    <x v="2"/>
    <s v="Uherské Hradiště"/>
    <s v="Uherské Hradiště, Žerotínova 22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1875"/>
    <s v="cyrilek.net z.s."/>
    <s v="706"/>
    <x v="1"/>
    <x v="3"/>
    <s v="Kroměříž"/>
    <s v="Kroměříž, Spáčilova 3194/3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3826"/>
    <s v="CYRILLOS"/>
    <s v="706"/>
    <x v="1"/>
    <x v="1"/>
    <s v="Vsetín"/>
    <s v="Vsetín, Dětská 1840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628421"/>
    <s v="Czech Aerospace Export Alliance, z.s."/>
    <s v="706"/>
    <x v="1"/>
    <x v="2"/>
    <s v="Kunovice"/>
    <s v="Kunovice, Panská 25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660068"/>
    <s v="Czech Chamber of Commerce Leaders League, z. s."/>
    <s v="706"/>
    <x v="1"/>
    <x v="1"/>
    <s v="Vsetín"/>
    <s v="Vsetín, Generála Klapálka 2293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69261"/>
    <s v="Czech Downhill Academy z.s."/>
    <s v="706"/>
    <x v="1"/>
    <x v="0"/>
    <s v="Halenkovice"/>
    <s v="Halenkovice 487, PSČ 76363"/>
    <s v="93190"/>
    <s v="Ostatní sportovní činnosti"/>
    <m/>
    <m/>
    <m/>
    <m/>
    <m/>
    <m/>
    <m/>
    <m/>
    <m/>
    <m/>
    <m/>
    <m/>
    <m/>
    <m/>
    <m/>
    <m/>
    <m/>
  </r>
  <r>
    <s v="22674209"/>
    <s v="Czech Ensemble Baroque, z.s."/>
    <s v="706"/>
    <x v="1"/>
    <x v="1"/>
    <s v="Loučka"/>
    <s v="Loučka u Valašského Meziříčí, Lázy 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666270"/>
    <s v="Czech Marine Cluster, z.s."/>
    <s v="706"/>
    <x v="1"/>
    <x v="0"/>
    <s v="Zlín"/>
    <s v="Zlín, Louky, Růžová 307, PSČ 76302"/>
    <s v="94120"/>
    <s v="Činnosti profesních organizací"/>
    <m/>
    <m/>
    <m/>
    <m/>
    <m/>
    <m/>
    <m/>
    <m/>
    <m/>
    <m/>
    <m/>
    <m/>
    <m/>
    <m/>
    <m/>
    <m/>
    <m/>
  </r>
  <r>
    <s v="01290380"/>
    <s v="Czech Mix Team o.s."/>
    <s v="706"/>
    <x v="1"/>
    <x v="3"/>
    <s v="Koryčany"/>
    <s v="Koryčany, Blišice 38, PSČ 768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52150"/>
    <s v="CZECH SHOES, z.s."/>
    <s v="706"/>
    <x v="1"/>
    <x v="0"/>
    <s v="Zlín"/>
    <s v="Zlín, třída Tomáše Bati 526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003236"/>
    <s v="Czech Ski &amp; Cross Academy z. s."/>
    <s v="706"/>
    <x v="1"/>
    <x v="1"/>
    <s v="Velké Karlovice"/>
    <s v="Velké Karlovice č. ev. 346, PSČ 75606"/>
    <s v="93190"/>
    <s v="Ostatní sportovní činnosti"/>
    <m/>
    <m/>
    <m/>
    <m/>
    <m/>
    <m/>
    <m/>
    <m/>
    <m/>
    <m/>
    <m/>
    <m/>
    <m/>
    <m/>
    <m/>
    <m/>
    <m/>
  </r>
  <r>
    <s v="05942021"/>
    <s v="Czech Tennis School, z.s."/>
    <s v="706"/>
    <x v="1"/>
    <x v="0"/>
    <s v="Zlín"/>
    <s v="Zlín, nám. T. G. Masaryka 128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1981"/>
    <s v="CzechBikers, spolek"/>
    <s v="706"/>
    <x v="1"/>
    <x v="0"/>
    <s v="Otrokovice"/>
    <s v="Otrokovice, Hložkova 1906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946743"/>
    <s v="CzechoSlovakia Feeder Team z. s."/>
    <s v="706"/>
    <x v="1"/>
    <x v="1"/>
    <s v="Lidečko"/>
    <s v="Lidečko 84, PSČ 75612"/>
    <s v="93110"/>
    <s v="Provozování sportovních zařízení"/>
    <m/>
    <m/>
    <m/>
    <m/>
    <m/>
    <m/>
    <m/>
    <m/>
    <m/>
    <m/>
    <m/>
    <m/>
    <m/>
    <m/>
    <m/>
    <m/>
    <m/>
  </r>
  <r>
    <s v="02331128"/>
    <s v="Časopis NEZBEDA a CVRČEK o.p.s."/>
    <s v="141"/>
    <x v="2"/>
    <x v="0"/>
    <s v="Zlín"/>
    <s v="Zlín, Divadelní 3242, PSČ 76001"/>
    <s v="58140"/>
    <s v="Vydávání časopisů a ostatních periodických publikací"/>
    <s v="Ostatní vzdělávání"/>
    <m/>
    <m/>
    <m/>
    <m/>
    <m/>
    <m/>
    <m/>
    <m/>
    <m/>
    <m/>
    <m/>
    <m/>
    <m/>
    <m/>
    <m/>
    <m/>
  </r>
  <r>
    <s v="05073588"/>
    <s v="Častkovjan, z.s."/>
    <s v="706"/>
    <x v="1"/>
    <x v="2"/>
    <s v="Částkov"/>
    <s v="Částkov 86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506"/>
    <s v="Čerňava,z.s."/>
    <s v="706"/>
    <x v="1"/>
    <x v="3"/>
    <s v="Hulín"/>
    <s v="Hulín, Smetanova 549, PSČ 76824"/>
    <s v="94995"/>
    <s v="Činnosti environmentálních a ekologických hnutí"/>
    <m/>
    <m/>
    <m/>
    <m/>
    <m/>
    <m/>
    <m/>
    <m/>
    <m/>
    <m/>
    <m/>
    <m/>
    <m/>
    <m/>
    <m/>
    <m/>
    <m/>
  </r>
  <r>
    <s v="07020678"/>
    <s v="Černí Salamandři, z. s."/>
    <s v="706"/>
    <x v="1"/>
    <x v="1"/>
    <s v="Pržno"/>
    <s v="Pržno 73, PSČ 756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331154"/>
    <s v="Červený kříž Všemina z. s."/>
    <s v="706"/>
    <x v="1"/>
    <x v="0"/>
    <s v="Všemina"/>
    <s v="Všemina 244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844791"/>
    <s v="Česká asociace moderní apiterapie z. s."/>
    <s v="706"/>
    <x v="1"/>
    <x v="3"/>
    <s v="Slavkov pod Hostýnem"/>
    <s v="Slavkov pod Hostýnem 203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4080"/>
    <s v="Česká asociace Route 66 o. s."/>
    <s v="706"/>
    <x v="1"/>
    <x v="0"/>
    <s v="Zlín"/>
    <s v="Zlín, Na Kopci 535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837635"/>
    <s v="Česká asociace stolního hokeje z.s."/>
    <s v="706"/>
    <x v="1"/>
    <x v="1"/>
    <s v="Vsetín"/>
    <s v="Vsetín, Jasenická 72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524653"/>
    <s v="ČESKÁ ASOCIACE ZHONG YUAN QIGONGU z.s ."/>
    <s v="706"/>
    <x v="1"/>
    <x v="1"/>
    <s v="Zubří"/>
    <s v="Zubří, Hlavní 60, PSČ 7565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242716"/>
    <s v="Česká federace ASAT - Zlínský kraj, pobočný spolek"/>
    <s v="736"/>
    <x v="0"/>
    <x v="0"/>
    <s v="Napajedla"/>
    <s v="Napajedla, Komenského 270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3164"/>
    <s v="Česká federace nordic walking o. s."/>
    <s v="706"/>
    <x v="1"/>
    <x v="0"/>
    <s v="Zlín"/>
    <s v="Zlín, M. Knesla 402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751621"/>
    <s v="Česká Federace Sportovní Střelby, z.s. - KS Zlínský kraj"/>
    <s v="736"/>
    <x v="0"/>
    <x v="0"/>
    <s v="Fryšták"/>
    <s v="Fryšták, Horní Ves, Hornoveská 36, PSČ 76316"/>
    <s v="9319"/>
    <s v="Ostatní sportovní činnosti"/>
    <m/>
    <m/>
    <m/>
    <m/>
    <m/>
    <m/>
    <m/>
    <m/>
    <m/>
    <m/>
    <m/>
    <m/>
    <m/>
    <m/>
    <m/>
    <m/>
    <m/>
  </r>
  <r>
    <s v="70851816"/>
    <s v="Česká lesnická společnost, základní pobočka při LČR, LS Bystřice pod Hostýnem"/>
    <s v="736"/>
    <x v="0"/>
    <x v="3"/>
    <s v="Bystřice pod Hostýnem"/>
    <s v="Bystřice pod Hostýnem, Čs. brigády 81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16481"/>
    <s v="Česká lesnická společnost, Základní pobočka Vsetín (při LČR LS Vsetín)"/>
    <s v="736"/>
    <x v="0"/>
    <x v="1"/>
    <s v="Vsetín"/>
    <s v="Vsetín, U Skláren 78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90227"/>
    <s v="Česká numismatická společnost, z.s. pobočka v Kroměříži"/>
    <s v="736"/>
    <x v="0"/>
    <x v="3"/>
    <s v="Kroměříž"/>
    <s v="Kroměříž, Vážany, Lesní 296/2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54391"/>
    <s v="Česká numismatická společnost, z.s. pobočka v Uherském Hradišti"/>
    <s v="736"/>
    <x v="0"/>
    <x v="2"/>
    <s v="Uherské Hradiště"/>
    <s v="Uherské Hradiště, Stará Tenice 119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081"/>
    <s v="Česká numismatická společnost, z.s. pobočka ve Vsetíně"/>
    <s v="736"/>
    <x v="0"/>
    <x v="1"/>
    <s v="Choryně"/>
    <s v="Choryně 115, PSČ 7564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467511"/>
    <s v="Česká numismatická společnost, z.s. pobočka ve Zlíně"/>
    <s v="736"/>
    <x v="0"/>
    <x v="0"/>
    <s v="Zlín"/>
    <s v="Zlín, Křiby 4713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06538"/>
    <s v="Česká provincie Kongregace Milosrdných sester sv. Kříže"/>
    <s v="722"/>
    <x v="5"/>
    <x v="3"/>
    <s v="Kroměříž"/>
    <s v="Kroměříž, Koperníkova 1446/3, PSČ 76701"/>
    <s v="94910"/>
    <s v="Činnosti náboženských organizací"/>
    <m/>
    <m/>
    <m/>
    <m/>
    <m/>
    <m/>
    <m/>
    <m/>
    <m/>
    <m/>
    <m/>
    <m/>
    <m/>
    <m/>
    <m/>
    <m/>
    <m/>
  </r>
  <r>
    <s v="00406481"/>
    <s v="Česká provincie Kongregace Milosrdných sester sv. Vincence de Paul"/>
    <s v="722"/>
    <x v="5"/>
    <x v="3"/>
    <s v="Kroměříž"/>
    <s v="Kroměříž, Malý val 1553/2, PSČ 76701"/>
    <s v="94910"/>
    <s v="Činnosti náboženských organizací"/>
    <s v="Ambulantní a zubní zdravotní péče"/>
    <s v="Ústavní zdravotní péče"/>
    <s v="Ostatní činnosti související se zdravotní péčí j. n."/>
    <m/>
    <m/>
    <m/>
    <m/>
    <m/>
    <m/>
    <m/>
    <m/>
    <m/>
    <m/>
    <m/>
    <m/>
    <m/>
    <m/>
  </r>
  <r>
    <s v="69650713"/>
    <s v="Česká silniční společnost při Správě a údržbě silnic Kroměřížska, z.s."/>
    <s v="706"/>
    <x v="1"/>
    <x v="3"/>
    <s v="Kroměříž"/>
    <s v="Kroměříž, Kotojedy 5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5059847"/>
    <s v="Česká společnost kognitivně behaviorální terapie, z.s."/>
    <s v="706"/>
    <x v="1"/>
    <x v="3"/>
    <s v="Kroměříž"/>
    <s v="Kroměříž, Havlíčkova 1265/50, PSČ 76701"/>
    <s v="8690"/>
    <s v="Ostatní činnosti související se zdravotní péčí"/>
    <m/>
    <m/>
    <m/>
    <m/>
    <m/>
    <m/>
    <m/>
    <m/>
    <m/>
    <m/>
    <m/>
    <m/>
    <m/>
    <m/>
    <m/>
    <m/>
    <m/>
  </r>
  <r>
    <s v="29218896"/>
    <s v="Česká střelecká nadace"/>
    <s v="117"/>
    <x v="7"/>
    <x v="2"/>
    <s v="Uherský Brod"/>
    <s v="Uherský Brod, Svat. Čecha 1283, PSČ 68801"/>
    <s v="9499"/>
    <s v="Činnosti ostatních organizací sdružujících osoby za účelem prosazování společných zájmů j. n."/>
    <s v="Sportovní činnosti"/>
    <m/>
    <m/>
    <m/>
    <m/>
    <m/>
    <m/>
    <m/>
    <m/>
    <m/>
    <m/>
    <m/>
    <m/>
    <m/>
    <m/>
    <m/>
    <m/>
  </r>
  <r>
    <s v="71227580"/>
    <s v="Česká tábornická unie - T.K. Dakota Uherský Brod, p.s."/>
    <s v="736"/>
    <x v="0"/>
    <x v="2"/>
    <s v="Uherský Brod"/>
    <s v="Uherský Brod, Údolní 1541, PSČ 68801"/>
    <s v="94991"/>
    <s v="Činnosti organizací dětí a mládeže"/>
    <m/>
    <m/>
    <m/>
    <m/>
    <m/>
    <m/>
    <m/>
    <m/>
    <m/>
    <m/>
    <m/>
    <m/>
    <m/>
    <m/>
    <m/>
    <m/>
    <m/>
  </r>
  <r>
    <s v="17973805"/>
    <s v="Česká tábornická unie - T.K. Foxis Brno, p.s."/>
    <s v="736"/>
    <x v="0"/>
    <x v="0"/>
    <s v="Želechovice nad Dřevnicí"/>
    <s v="Želechovice nad Dřevnicí, Batalická 596, PSČ 76311"/>
    <s v="94991"/>
    <s v="Činnosti organizací dětí a mládeže"/>
    <m/>
    <m/>
    <m/>
    <m/>
    <m/>
    <m/>
    <m/>
    <m/>
    <m/>
    <m/>
    <m/>
    <m/>
    <m/>
    <m/>
    <m/>
    <m/>
    <m/>
  </r>
  <r>
    <s v="65326024"/>
    <s v="Česká tábornická unie - Velká rada oblasti Chřibsko-karpatské, p.s."/>
    <s v="736"/>
    <x v="0"/>
    <x v="2"/>
    <s v="Uherský Brod"/>
    <s v="Uherský Brod, Údolní 1541, PSČ 68801"/>
    <s v="94991"/>
    <s v="Činnosti organizací dětí a mládeže"/>
    <m/>
    <m/>
    <m/>
    <m/>
    <m/>
    <m/>
    <m/>
    <m/>
    <m/>
    <m/>
    <m/>
    <m/>
    <m/>
    <m/>
    <m/>
    <m/>
    <m/>
  </r>
  <r>
    <s v="65267958"/>
    <s v="Česko - anglický klub Uherské Hradiště"/>
    <s v="706"/>
    <x v="1"/>
    <x v="2"/>
    <s v="Uherské Hradiště"/>
    <s v="Uherské Hradiště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40870"/>
    <s v="Českomoravská asociace podnikatelek a manažerek - regionální klub Zlín, z.s."/>
    <s v="736"/>
    <x v="0"/>
    <x v="0"/>
    <s v="Zlín"/>
    <s v="Zlín, náměstí Míru 6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777295"/>
    <s v="Českomoravská myslivecká jednota, z.s. - okresní myslivecký spolek Kroměříž"/>
    <s v="736"/>
    <x v="0"/>
    <x v="3"/>
    <s v="Kroměříž"/>
    <s v="Kroměříž, Velké náměstí 40/25, PSČ 76701"/>
    <s v="01700"/>
    <s v="Lov a odchyt divokých zvířat a související činnosti"/>
    <m/>
    <m/>
    <m/>
    <m/>
    <m/>
    <m/>
    <m/>
    <m/>
    <m/>
    <m/>
    <m/>
    <m/>
    <m/>
    <m/>
    <m/>
    <m/>
    <m/>
  </r>
  <r>
    <s v="67777872"/>
    <s v="Českomoravská myslivecká jednota, z.s., okresní myslivecký spolek Uherské Hradiště"/>
    <s v="736"/>
    <x v="0"/>
    <x v="2"/>
    <s v="Uherské Hradiště"/>
    <s v="Uherské Hradiště, Palackého náměstí 293, PSČ 68601"/>
    <s v="01700"/>
    <s v="Lov a odchyt divokých zvířat a související činnosti"/>
    <m/>
    <m/>
    <m/>
    <m/>
    <m/>
    <m/>
    <m/>
    <m/>
    <m/>
    <m/>
    <m/>
    <m/>
    <m/>
    <m/>
    <m/>
    <m/>
    <m/>
  </r>
  <r>
    <s v="67777902"/>
    <s v="Českomoravská myslivecká jednota, z.s., okresní myslivecký spolek Vsetín"/>
    <s v="736"/>
    <x v="0"/>
    <x v="1"/>
    <s v="Vsetín"/>
    <s v="Vsetín, Smetanova 1462, PSČ 75501"/>
    <s v="01700"/>
    <s v="Lov a odchyt divokých zvířat a související činnosti"/>
    <m/>
    <m/>
    <m/>
    <m/>
    <m/>
    <m/>
    <m/>
    <m/>
    <m/>
    <m/>
    <m/>
    <m/>
    <m/>
    <m/>
    <m/>
    <m/>
    <m/>
  </r>
  <r>
    <s v="67777929"/>
    <s v="Českomoravská myslivecká jednota,o.s, okresní myslivecký spolek Zlín"/>
    <s v="736"/>
    <x v="0"/>
    <x v="0"/>
    <s v="Zlín"/>
    <s v="Zlín, Kostelec, Fryštácká 495, PSČ 76314"/>
    <s v="01700"/>
    <s v="Lov a odchyt divokých zvířat a související činnosti"/>
    <m/>
    <m/>
    <m/>
    <m/>
    <m/>
    <m/>
    <m/>
    <m/>
    <m/>
    <m/>
    <m/>
    <m/>
    <m/>
    <m/>
    <m/>
    <m/>
    <m/>
  </r>
  <r>
    <s v="06048218"/>
    <s v="Českomoravská unie neslyšících z.s., oblastní pobočný spolek Kroměříž"/>
    <s v="736"/>
    <x v="0"/>
    <x v="3"/>
    <s v="Kroměříž"/>
    <s v="Kroměříž, Štítného 2227/27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5274521"/>
    <s v="Českomoravské sdružení pro ochranu přírody z.s."/>
    <s v="706"/>
    <x v="1"/>
    <x v="3"/>
    <s v="Chvalčov"/>
    <s v="Chvalčov, Poutní 588, PSČ 7687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7317"/>
    <s v="&quot;ČESKOMORAVSKÝ ČESNEK&quot;"/>
    <s v="706"/>
    <x v="1"/>
    <x v="2"/>
    <s v="Buchlovice"/>
    <s v="Buchlovice, Rechtorka 54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555491"/>
    <s v="Českomoravský svaz chovatelů poštovních holubů - Oblastní sdružení Bílé Karpaty"/>
    <s v="736"/>
    <x v="0"/>
    <x v="2"/>
    <s v="Bojkovice"/>
    <s v="Bojkovice, Bezručova 55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744857"/>
    <s v="Českomoravský svaz chovatelů poštovních holubů, místní spolek Babice, z.s."/>
    <s v="736"/>
    <x v="0"/>
    <x v="2"/>
    <s v="Babice"/>
    <s v="Babice 508, PSČ 687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1453"/>
    <s v="Českomoravský svaz chovatelů poštovních holubů, místní spolek Bezměrov, z.s."/>
    <s v="736"/>
    <x v="0"/>
    <x v="3"/>
    <s v="Bezměrov"/>
    <s v="Bezměrov, 1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826999"/>
    <s v="Českomoravský svaz chovatelů poštovních holubů, místní spolek Bylnice, z.s."/>
    <s v="736"/>
    <x v="0"/>
    <x v="0"/>
    <s v="Brumov-Bylnice"/>
    <s v="Brumov-Bylnice, Brumov, Družba 1188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084287"/>
    <s v="Českomoravský svaz chovatelů poštovních holubů, místní spolek Havřice, z.s."/>
    <s v="736"/>
    <x v="0"/>
    <x v="2"/>
    <s v="Uherský Brod"/>
    <s v="Uherský Brod, Trávníky 489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28983"/>
    <s v="Českomoravský svaz chovatelů poštovních holubů, místní spolek Holešov, z.s."/>
    <s v="736"/>
    <x v="0"/>
    <x v="3"/>
    <s v="Holešov"/>
    <s v="Holešov, Plačkov 1637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1879"/>
    <s v="Českomoravský svaz chovatelů poštovních holubů, místní spolek Horní Lapač, z.s."/>
    <s v="736"/>
    <x v="0"/>
    <x v="3"/>
    <s v="Horní Lapač"/>
    <s v="Horní Lapač 77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38166"/>
    <s v="Českomoravský svaz chovatelů poštovních holubů, místní spolek Kroměříž, z.s."/>
    <s v="736"/>
    <x v="0"/>
    <x v="3"/>
    <s v="Kroměříž"/>
    <s v="Kroměříž, Axmanova 3247/1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19046"/>
    <s v="Českomoravský svaz chovatelů poštovních holubů, místní spolek Kunovice, z.s."/>
    <s v="736"/>
    <x v="0"/>
    <x v="2"/>
    <s v="Uherské Hradiště"/>
    <s v="Uherské Hradiště, Vésky, Na Dědině 71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1674"/>
    <s v="Českomoravský svaz chovatelů poštovních holubů, místní spolek Kurovice, z.s."/>
    <s v="736"/>
    <x v="0"/>
    <x v="3"/>
    <s v="Kurovice"/>
    <s v="Kurovice, 9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3278"/>
    <s v="Českomoravský svaz chovatelů poštovních holubů, místní spolek Lukov, z.s."/>
    <s v="736"/>
    <x v="0"/>
    <x v="0"/>
    <s v="Zlín"/>
    <s v="Zlín, Kostelec, Májová 268, PSČ 7631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18734"/>
    <s v="Českomoravský svaz chovatelů poštovních holubů, místní spolek Napajedla, z.s."/>
    <s v="736"/>
    <x v="0"/>
    <x v="0"/>
    <s v="Spytihněv"/>
    <s v="Spytihněv 455, PSČ 763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551739"/>
    <s v="Českomoravský svaz chovatelů poštovních holubů, místní spolek Otrokovice, z.s."/>
    <s v="736"/>
    <x v="0"/>
    <x v="0"/>
    <s v="Otrokovice"/>
    <s v="Otrokovice, Hálkova 23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41108"/>
    <s v="Českomoravský svaz chovatelů poštovních holubů, místní spolek Prasklice, z.s."/>
    <s v="736"/>
    <x v="0"/>
    <x v="3"/>
    <s v="Prasklice"/>
    <s v="Prasklice 77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551780"/>
    <s v="Českomoravský svaz chovatelů poštovních holubů, místní spolek Rataje, z.s."/>
    <s v="736"/>
    <x v="0"/>
    <x v="3"/>
    <s v="Rataje"/>
    <s v="Rataje 84, PSČ 768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1518"/>
    <s v="Českomoravský svaz chovatelů poštovních holubů, místní spolek Rymice, z.s."/>
    <s v="736"/>
    <x v="0"/>
    <x v="3"/>
    <s v="Rymice"/>
    <s v="Rymice 192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3294"/>
    <s v="Českomoravský svaz chovatelů poštovních holubů, místní spolek Tlumačov, z.s."/>
    <s v="736"/>
    <x v="0"/>
    <x v="0"/>
    <s v="Tlumačov"/>
    <s v="Tlumačov, Sportovní 8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18759"/>
    <s v="Českomoravský svaz chovatelů poštovních holubů, místní spolek Uherský Ostroh, z.s."/>
    <s v="736"/>
    <x v="0"/>
    <x v="2"/>
    <s v="Uherský Ostroh"/>
    <s v="Uherský Ostroh, Kvačice, Hliníky 78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551887"/>
    <s v="Českomoravský svaz chovatelů poštovních holubů, místní spolek Zlín, z.s."/>
    <s v="736"/>
    <x v="0"/>
    <x v="0"/>
    <s v="Zlín"/>
    <s v="Zlín, Hrabůvky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57497"/>
    <s v="Českomoravský svaz chovatelů poštovních holubů, oblastní spolek Uherské Hradiště, z.s."/>
    <s v="736"/>
    <x v="0"/>
    <x v="2"/>
    <s v="Uherský Ostroh"/>
    <s v="Uherský Ostroh, Kvačice, Hliníky 78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557907"/>
    <s v="Českomoravský svaz chovatelů poštovních holubů, oblastní spolek Valašsko, z.s."/>
    <s v="736"/>
    <x v="0"/>
    <x v="0"/>
    <s v="Jasenná"/>
    <s v="Jasenná 101, PSČ 7631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26524"/>
    <s v="Českomoravský svaz chovatelů poštovních holubů, oblastní spolek Zlín, z.s."/>
    <s v="736"/>
    <x v="0"/>
    <x v="3"/>
    <s v="Holešov"/>
    <s v="Holešov, Plačkov 1637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44445"/>
    <s v="Česko-Polská solidarita"/>
    <s v="706"/>
    <x v="1"/>
    <x v="0"/>
    <s v="Zlín"/>
    <s v="Zlín, Padělky I 364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9344"/>
    <s v="Česko-rumunská společnost na Kroměřížsku"/>
    <s v="706"/>
    <x v="1"/>
    <x v="3"/>
    <s v="Kroměříž"/>
    <s v="Kroměříž, Slovanské náměstí 3920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74571"/>
    <s v="Československý DX klub, z.s."/>
    <s v="706"/>
    <x v="1"/>
    <x v="0"/>
    <s v="Zlín"/>
    <s v="Zlín, Lorencova 542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039137"/>
    <s v="Československý federální výbor z.s."/>
    <s v="706"/>
    <x v="1"/>
    <x v="0"/>
    <s v="Zlín"/>
    <s v="Zlín, Podvesná XII 590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5535"/>
    <s v="Český biblický institut, z.s."/>
    <s v="706"/>
    <x v="1"/>
    <x v="3"/>
    <s v="Kroměříž"/>
    <s v="Kroměříž, Moravcova 430/1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123032"/>
    <s v="Český dům, z.s."/>
    <s v="706"/>
    <x v="1"/>
    <x v="1"/>
    <s v="Zubří"/>
    <s v="Zubří, Sídliště 6. května 1047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89829"/>
    <s v="Český kynologický svaz základní kynologická organizace Jarcová"/>
    <s v="736"/>
    <x v="0"/>
    <x v="1"/>
    <s v="Jarcová"/>
    <s v="Jarcová, Jarcová 14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4422461"/>
    <s v="Český kynologický svaz ZKO BEDEA Kroměříž - 609, pobočný spolek"/>
    <s v="736"/>
    <x v="0"/>
    <x v="3"/>
    <s v="Kroměříž"/>
    <s v="Kroměříž, Kotojedy 84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91201"/>
    <s v="Český kynologický svaz ZKO Bystřička - 044"/>
    <s v="736"/>
    <x v="0"/>
    <x v="1"/>
    <s v="Jablůnka"/>
    <s v="Jablůnka 483, PSČ 756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4601447"/>
    <s v="Český kynologický svaz ZKO Drahotuše - 287"/>
    <s v="736"/>
    <x v="0"/>
    <x v="3"/>
    <s v="Osíčko"/>
    <s v="Osíčko 30, PSČ 768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6934524"/>
    <s v="Český kynologický svaz ZKO Horní Lideč - 613"/>
    <s v="736"/>
    <x v="0"/>
    <x v="1"/>
    <s v="Horní Lideč"/>
    <s v="Horní Lideč 83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7850878"/>
    <s v="Český kynologický svaz ZKO Klečůvka - 1064"/>
    <s v="736"/>
    <x v="0"/>
    <x v="0"/>
    <s v="Lípa"/>
    <s v="Lípa 82, PSČ 763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88529"/>
    <s v="Český kynologický svaz ZKO Ratiboř - 050"/>
    <s v="736"/>
    <x v="0"/>
    <x v="1"/>
    <s v="Ratiboř"/>
    <s v="Ratiboř 75, PSČ 756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88502"/>
    <s v="Český kynologický svaz ZKO Rožnov pod Radhoštěm - 027"/>
    <s v="736"/>
    <x v="0"/>
    <x v="1"/>
    <s v="Rožnov pod Radhoštěm"/>
    <s v="Rožnov pod Radhoštěm, 5. května 1348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5211311"/>
    <s v="Český kynologický svaz ZKO Valašské Meziříčí - 026"/>
    <s v="736"/>
    <x v="0"/>
    <x v="1"/>
    <s v="Kelč"/>
    <s v="Kelč, Němetice 66, PSČ 7564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344653"/>
    <s v="Český kynologický svaz ZKO Vidče - 018"/>
    <s v="736"/>
    <x v="0"/>
    <x v="1"/>
    <s v="Vidče"/>
    <s v="Vidče 96, PSČ 7565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43864"/>
    <s v="Český kynologický svaz ZKO Vysoké Pole - 649"/>
    <s v="736"/>
    <x v="0"/>
    <x v="0"/>
    <s v="Vysoké Pole"/>
    <s v="Vysoké Pole 118, PSČ 763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91082"/>
    <s v="Český kynologický svaz ZKO Zašová - 045"/>
    <s v="736"/>
    <x v="0"/>
    <x v="1"/>
    <s v="Zašová"/>
    <s v="Zašová 799, PSČ 7565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58658"/>
    <s v="Český kynologický svaz ZKO Zlín Mladcová - 778"/>
    <s v="736"/>
    <x v="0"/>
    <x v="0"/>
    <s v="Zlín"/>
    <s v="Zlín, Zálešná VIII 1347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632719"/>
    <s v="Český kynologický svaz ZKO Želechovice nad Dřevnicí - 1079"/>
    <s v="736"/>
    <x v="0"/>
    <x v="0"/>
    <s v="Želechovice nad Dřevnicí"/>
    <s v="Želechovice nad Dřevnicí, Podřevnická 405, PSČ 763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5211574"/>
    <s v="Český radioklub - Radioklub OK2KRT, pobočný spolek"/>
    <s v="736"/>
    <x v="0"/>
    <x v="1"/>
    <s v="Rožnov pod Radhoštěm"/>
    <s v="Rožnov pod Radhoštěm, Chodská 532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050867"/>
    <s v="Český rybářský svaz, z. s., místní organizace Choryně"/>
    <s v="736"/>
    <x v="0"/>
    <x v="1"/>
    <s v="Choryně"/>
    <s v="Choryně 223, PSČ 75642"/>
    <s v="94993"/>
    <s v="Činnosti organizací na podporu rekreační a zájmové činnosti"/>
    <s v="Sladkovodní akvakultura"/>
    <m/>
    <m/>
    <m/>
    <m/>
    <m/>
    <m/>
    <m/>
    <m/>
    <m/>
    <m/>
    <m/>
    <m/>
    <m/>
    <m/>
    <m/>
    <m/>
  </r>
  <r>
    <s v="18050522"/>
    <s v="Český rybářský svaz, z. s., místní organizace Kelč"/>
    <s v="736"/>
    <x v="0"/>
    <x v="1"/>
    <s v="Kelč"/>
    <s v="Kelč 241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5502805"/>
    <s v="Český rybářský svaz, z. s., místní organizace Rožnov pod Radhoštěm"/>
    <s v="736"/>
    <x v="0"/>
    <x v="1"/>
    <s v="Rožnov pod Radhoštěm"/>
    <s v="Rožnov pod Radhoštěm, Lázeňská 2678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050476"/>
    <s v="Český rybářský svaz, z. s., místní organizace Valašské Meziříčí"/>
    <s v="736"/>
    <x v="0"/>
    <x v="1"/>
    <s v="Valašské Meziříčí"/>
    <s v="Valašské Meziříčí, Podlesí 279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8050506"/>
    <s v="Český rybářský svaz, z. s., místní organizace Vsetín"/>
    <s v="736"/>
    <x v="0"/>
    <x v="1"/>
    <s v="Vsetín"/>
    <s v="Vsetín, Rokytnice, Na Dolansku 477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5548643"/>
    <s v="Český sportovní klub Uherský Brod - fotbal, spolek"/>
    <s v="706"/>
    <x v="1"/>
    <x v="2"/>
    <s v="Uherský Brod"/>
    <s v="Uherský Brod, Obchodní 1567, PSČ 68801"/>
    <s v="93120"/>
    <s v="Činnosti sportovních klubů"/>
    <m/>
    <m/>
    <m/>
    <m/>
    <m/>
    <m/>
    <m/>
    <m/>
    <m/>
    <m/>
    <m/>
    <m/>
    <m/>
    <m/>
    <m/>
    <m/>
    <m/>
  </r>
  <r>
    <s v="48489158"/>
    <s v="Český sportovní klub Uherský Brod, spolek"/>
    <s v="706"/>
    <x v="1"/>
    <x v="2"/>
    <s v="Uherský Brod"/>
    <s v="Uherský Brod, Prakšická 1421, PSČ 68801"/>
    <s v="93110"/>
    <s v="Provozování sportovních zařízení"/>
    <m/>
    <m/>
    <m/>
    <m/>
    <m/>
    <m/>
    <m/>
    <m/>
    <m/>
    <m/>
    <m/>
    <m/>
    <m/>
    <m/>
    <m/>
    <m/>
    <m/>
  </r>
  <r>
    <s v="48773123"/>
    <s v="Český svaz bojovníků za svobodu, Oblastní organizace Valašské Meziříčí"/>
    <s v="736"/>
    <x v="0"/>
    <x v="1"/>
    <s v="Valašské Meziříčí"/>
    <s v="Valašské Meziříčí, Poláškova 40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8798"/>
    <s v="Český svaz chovatelů Základní oganizace Tlumačov"/>
    <s v="736"/>
    <x v="0"/>
    <x v="0"/>
    <s v="Tlumačov"/>
    <s v="Tlumačov, Skály 833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23294"/>
    <s v="ČESKÝ SVAZ CHOVATELŮ, Základní organizace Hradčovice"/>
    <s v="736"/>
    <x v="0"/>
    <x v="2"/>
    <s v="Veletiny"/>
    <s v="Veletiny, Vlčnovská 13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723561"/>
    <s v="ČESKÝ SVAZ CHOVATELŮ, Základní organizace Kostelany nad Moravou"/>
    <s v="736"/>
    <x v="0"/>
    <x v="2"/>
    <s v="Kostelany nad Moravou"/>
    <s v="Kostelany nad Moravou 270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435235"/>
    <s v="Český svaz chovatelů Základní organizace 2 Otrokovice"/>
    <s v="736"/>
    <x v="0"/>
    <x v="0"/>
    <s v="Otrokovice"/>
    <s v="Otrokovice, B. Němcové 1179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8721"/>
    <s v="Český svaz chovatelů, z.s.,  Základní organizace Doubravy"/>
    <s v="736"/>
    <x v="0"/>
    <x v="0"/>
    <s v="Doubravy"/>
    <s v="Doubravy 136, PSČ 7634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04731"/>
    <s v="Český svaz chovatelů, z.s., Klub chovatelů drůbeže sebritek"/>
    <s v="736"/>
    <x v="0"/>
    <x v="2"/>
    <s v="Veletiny"/>
    <s v="Veletiny 132, PSČ 687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48796"/>
    <s v="Český svaz chovatelů, z.s., Okresní organizace Uherské Hradiště"/>
    <s v="736"/>
    <x v="0"/>
    <x v="2"/>
    <s v="Kunovice"/>
    <s v="Kunovice, Hliněná 489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48931"/>
    <s v="Český svaz chovatelů, z.s., Okresní organizace Vsetín"/>
    <s v="736"/>
    <x v="0"/>
    <x v="1"/>
    <s v="Rožnov pod Radhoštěm"/>
    <s v="Rožnov pod Radhoštěm, Tylovice 2818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48737"/>
    <s v="Český svaz chovatelů, z.s., Okresní organizace Zlín"/>
    <s v="736"/>
    <x v="0"/>
    <x v="0"/>
    <s v="Zlín"/>
    <s v="Zlín, M. Knesla 401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40051"/>
    <s v="Český svaz chovatelů, z.s., Základní organizace Bojkovice"/>
    <s v="736"/>
    <x v="0"/>
    <x v="2"/>
    <s v="Bojkovice"/>
    <s v="Bojkovice, Sušilova 952, PSČ 687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88712"/>
    <s v="Český svaz chovatelů, z.s., Základní organizace Brumov-Bylnice"/>
    <s v="736"/>
    <x v="0"/>
    <x v="0"/>
    <s v="Brumov-Bylnice"/>
    <s v="Brumov-Bylnice, Brumov, Družba 1188, PSČ 7633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218684"/>
    <s v="Český svaz chovatelů, z.s., Základní organizace Choryně"/>
    <s v="736"/>
    <x v="0"/>
    <x v="1"/>
    <s v="Choryně"/>
    <s v="Choryně 206, PSČ 7564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326458"/>
    <s v="Český svaz chovatelů, z.s., Základní organizace Hluk"/>
    <s v="736"/>
    <x v="0"/>
    <x v="2"/>
    <s v="Hluk"/>
    <s v="Hluk, Antonínská 1169, PSČ 687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3178"/>
    <s v="Český svaz chovatelů, z.s., Základní organizace Holešov"/>
    <s v="736"/>
    <x v="0"/>
    <x v="3"/>
    <s v="Holešov"/>
    <s v="Holešov, Plačkov 607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37887"/>
    <s v="Český svaz chovatelů, z.s., Základní organizace Hošťálková"/>
    <s v="736"/>
    <x v="0"/>
    <x v="1"/>
    <s v="Hošťálková"/>
    <s v="Hošťálková 3, PSČ 7562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8898312"/>
    <s v="Český svaz chovatelů, z.s., Základní organizace Hutisko-Solanec"/>
    <s v="736"/>
    <x v="0"/>
    <x v="1"/>
    <s v="Hutisko-Solanec"/>
    <s v="Hutisko-Solanec, Hutisko 222, PSČ 7566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9158121"/>
    <s v="Český svaz chovatelů, z.s., Základní organizace Hvozdná"/>
    <s v="736"/>
    <x v="0"/>
    <x v="0"/>
    <s v="Hvozdná"/>
    <s v="Hvozdná, Hlavní 159, PSČ 76310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603871"/>
    <s v="Český svaz chovatelů, z.s., Základní organizace Kelč"/>
    <s v="736"/>
    <x v="0"/>
    <x v="1"/>
    <s v="Kelč"/>
    <s v="Kelč 5, PSČ 7564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94337"/>
    <s v="Český svaz chovatelů, z.s., Základní organizace Kroměříž"/>
    <s v="736"/>
    <x v="0"/>
    <x v="3"/>
    <s v="Kroměříž"/>
    <s v="Kroměříž, Chropyňská 1646/17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418845"/>
    <s v="Český svaz chovatelů, z.s., Základní organizace Kunovice"/>
    <s v="736"/>
    <x v="0"/>
    <x v="2"/>
    <s v="Kunovice"/>
    <s v="Kunovice, Pekařská 16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8471992"/>
    <s v="Český svaz chovatelů, z.s., Základní organizace Malenovice"/>
    <s v="736"/>
    <x v="0"/>
    <x v="0"/>
    <s v="Zlín"/>
    <s v="Zlín, Malenovice, Brigádnická 986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7934867"/>
    <s v="Český svaz chovatelů, z.s., Základní organizace Míškovice"/>
    <s v="736"/>
    <x v="0"/>
    <x v="3"/>
    <s v="Míškovice"/>
    <s v="Míškovice 164, PSČ 7685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9487514"/>
    <s v="Český svaz chovatelů, z.s., Základní organizace Míškovice 1"/>
    <s v="736"/>
    <x v="0"/>
    <x v="3"/>
    <s v="Míškovice"/>
    <s v="Míškovice 46, PSČ 7685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94353"/>
    <s v="Český svaz chovatelů, z.s., Základní organizace Morkovice"/>
    <s v="736"/>
    <x v="0"/>
    <x v="3"/>
    <s v="Morkovice-Slížany"/>
    <s v="Morkovice-Slížany, Morkovice, Náměstí 29, PSČ 768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04642"/>
    <s v="Český svaz chovatelů, z.s., Základní organizace Nivnice"/>
    <s v="736"/>
    <x v="0"/>
    <x v="2"/>
    <s v="Nivnice"/>
    <s v="Nivnice, Sídliště 1000, PSČ 6875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03824"/>
    <s v="Český svaz chovatelů, z.s., Základní organizace Ostrožská Lhota"/>
    <s v="736"/>
    <x v="0"/>
    <x v="2"/>
    <s v="Ostrožská Lhota"/>
    <s v="Ostrožská Lhota 148, PSČ 687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23332"/>
    <s v="Český svaz chovatelů, z.s., Základní organizace Polešovice"/>
    <s v="736"/>
    <x v="0"/>
    <x v="2"/>
    <s v="Polešovice"/>
    <s v="Polešovice 1, PSČ 6873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94418"/>
    <s v="Český svaz chovatelů, z.s., Základní organizace Pravčice"/>
    <s v="736"/>
    <x v="0"/>
    <x v="3"/>
    <s v="Hulín"/>
    <s v="Hulín, Palackého 92, PSČ 768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30742"/>
    <s v="Český svaz chovatelů, z.s., Základní organizace Rožnov 4"/>
    <s v="736"/>
    <x v="0"/>
    <x v="1"/>
    <s v="Hutisko-Solanec"/>
    <s v="Hutisko-Solanec, Solanec pod Soláněm 438, PSČ 7566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94426"/>
    <s v="Český svaz chovatelů, z.s., Základní organizace Rymice"/>
    <s v="736"/>
    <x v="0"/>
    <x v="3"/>
    <s v="Rymice"/>
    <s v="Rymice 192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88771"/>
    <s v="Český svaz chovatelů, z.s., Základní organizace Slušovice"/>
    <s v="736"/>
    <x v="0"/>
    <x v="0"/>
    <s v="Slušovice"/>
    <s v="Slušovice, Osvoboditelů 64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8780"/>
    <s v="Český svaz chovatelů, z.s., Základní organizace Tečovice"/>
    <s v="736"/>
    <x v="0"/>
    <x v="0"/>
    <s v="Tečovice"/>
    <s v="Tečovice 363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94531"/>
    <s v="Český svaz chovatelů, z.s., Základní organizace Troubky-Zdislavice"/>
    <s v="736"/>
    <x v="0"/>
    <x v="3"/>
    <s v="Troubky-Zdislavice"/>
    <s v="Troubky-Zdislavice, Troubky 10, PSČ 768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723642"/>
    <s v="Český svaz chovatelů, z.s., Základní organizace Uherské Hradiště 1"/>
    <s v="736"/>
    <x v="0"/>
    <x v="2"/>
    <s v="Uherské Hradiště"/>
    <s v="Uherské Hradiště, Palackého náměstí 293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653950"/>
    <s v="Český svaz chovatelů, z.s., Základní organizace Uherský Brod"/>
    <s v="736"/>
    <x v="0"/>
    <x v="2"/>
    <s v="Uherský Brod"/>
    <s v="Uherský Brod, Trávníky 489, PSČ 688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011608"/>
    <s v="Český svaz chovatelů, z.s., Základní organizace Valašské Klobouky"/>
    <s v="736"/>
    <x v="0"/>
    <x v="0"/>
    <s v="Valašské Klobouky"/>
    <s v="Valašské Klobouky, Masarykovo náměstí 103, PSČ 76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88828"/>
    <s v="Český svaz chovatelů, z.s., Základní organizace Velký Ořechov"/>
    <s v="736"/>
    <x v="0"/>
    <x v="0"/>
    <s v="Velký Ořechov"/>
    <s v="Velký Ořechov 129, PSČ 7630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88836"/>
    <s v="Český svaz chovatelů, z.s., Základní organizace Vizovice"/>
    <s v="736"/>
    <x v="0"/>
    <x v="0"/>
    <s v="Vizovice"/>
    <s v="Vizovice, Chrastěšovská 185, PSČ 763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038210"/>
    <s v="Český svaz chovatelů, z.s., Základní organizace Vsetín 1"/>
    <s v="736"/>
    <x v="0"/>
    <x v="1"/>
    <s v="Vsetín"/>
    <s v="Vsetín, Rokytnice, Janišov 43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6934346"/>
    <s v="Český svaz chovatelů, z.s., Základní organizace Zašová"/>
    <s v="736"/>
    <x v="0"/>
    <x v="1"/>
    <s v="Zašová"/>
    <s v="Zašová 291, PSČ 7565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94558"/>
    <s v="Český svaz chovatelů, z.s., Základní organizace Zdounky"/>
    <s v="736"/>
    <x v="0"/>
    <x v="3"/>
    <s v="Zdounky"/>
    <s v="Zdounky 27, PSČ 768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88844"/>
    <s v="Český svaz chovatelů, z.s., Základní organizace Zlín"/>
    <s v="736"/>
    <x v="0"/>
    <x v="0"/>
    <s v="Zlín"/>
    <s v="Zlín, Dolní 2290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728073"/>
    <s v="Český svaz chovatelů, z.s., Základní organizace Zubří"/>
    <s v="736"/>
    <x v="0"/>
    <x v="1"/>
    <s v="Zubří"/>
    <s v="Zubří, Chovatelská 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88852"/>
    <s v="Český svaz chovatelů, z.s., Základní organizace Žlutava"/>
    <s v="736"/>
    <x v="0"/>
    <x v="0"/>
    <s v="Žlutava"/>
    <s v="Žlutava 233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272238"/>
    <s v="Český svaz chovatelů, z.s., Základní organizace Žlutava 2"/>
    <s v="736"/>
    <x v="0"/>
    <x v="0"/>
    <s v="Žlutava"/>
    <s v="Žlutava 11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279886"/>
    <s v="ČESKÝ SVAZ GYMNASTICKÝCH SPORTŮ z.s."/>
    <s v="706"/>
    <x v="1"/>
    <x v="1"/>
    <s v="Lešná"/>
    <s v="Lešná, Vysoká 54, PSČ 75641"/>
    <s v="93190"/>
    <s v="Ostatní sportovní činnosti"/>
    <m/>
    <m/>
    <m/>
    <m/>
    <m/>
    <m/>
    <m/>
    <m/>
    <m/>
    <m/>
    <m/>
    <m/>
    <m/>
    <m/>
    <m/>
    <m/>
    <m/>
  </r>
  <r>
    <s v="63414732"/>
    <s v="Český svaz Jóga v denním životě, z. s."/>
    <s v="706"/>
    <x v="1"/>
    <x v="3"/>
    <s v="Střílky"/>
    <s v="Střílky, Zámecká 202, PSČ 768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53875"/>
    <s v="Český svaz kuší, z.s."/>
    <s v="706"/>
    <x v="1"/>
    <x v="0"/>
    <s v="Otrokovice"/>
    <s v="Otrokovice, Sport. areál TJ Jiskra 1297, PSČ 76502"/>
    <s v="931"/>
    <s v="Sportovní činnosti"/>
    <m/>
    <m/>
    <m/>
    <m/>
    <m/>
    <m/>
    <m/>
    <m/>
    <m/>
    <m/>
    <m/>
    <m/>
    <m/>
    <m/>
    <m/>
    <m/>
    <m/>
  </r>
  <r>
    <s v="22689214"/>
    <s v="Český svaz muzeí v přírodě, zapsaný spolek"/>
    <s v="706"/>
    <x v="1"/>
    <x v="1"/>
    <s v="Rožnov pod Radhoštěm"/>
    <s v="Rožnov pod Radhoštěm, Palackého 14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7099"/>
    <s v="Český svaz ochránců přírody &quot; Choryňská stráž &quot;"/>
    <s v="736"/>
    <x v="0"/>
    <x v="1"/>
    <s v="Choryně"/>
    <s v="CHORYNĚ, Choryně  206"/>
    <s v="94995"/>
    <s v="Činnosti environmentálních a ekologických hnutí"/>
    <m/>
    <m/>
    <m/>
    <m/>
    <m/>
    <m/>
    <m/>
    <m/>
    <m/>
    <m/>
    <m/>
    <m/>
    <m/>
    <m/>
    <m/>
    <m/>
    <m/>
  </r>
  <r>
    <s v="03971490"/>
    <s v="Český svaz ochránců přírody Brody"/>
    <s v="736"/>
    <x v="0"/>
    <x v="2"/>
    <s v="Šumice"/>
    <s v="Šumice 123, PSČ 68731"/>
    <s v="94995"/>
    <s v="Činnosti environmentálních a ekologických hnutí"/>
    <m/>
    <m/>
    <m/>
    <m/>
    <m/>
    <m/>
    <m/>
    <m/>
    <m/>
    <m/>
    <m/>
    <m/>
    <m/>
    <m/>
    <m/>
    <m/>
    <m/>
  </r>
  <r>
    <s v="11698357"/>
    <s v="Český svaz ochránců přírody DOHOKRA"/>
    <s v="736"/>
    <x v="0"/>
    <x v="2"/>
    <s v="Hostětín"/>
    <s v="Hostětín 6, PSČ 68771"/>
    <s v="94995"/>
    <s v="Činnosti environmentálních a ekologických hnutí"/>
    <m/>
    <m/>
    <m/>
    <m/>
    <m/>
    <m/>
    <m/>
    <m/>
    <m/>
    <m/>
    <m/>
    <m/>
    <m/>
    <m/>
    <m/>
    <m/>
    <m/>
  </r>
  <r>
    <s v="08853045"/>
    <s v="Český svaz ochránců přírody Hluk"/>
    <s v="736"/>
    <x v="0"/>
    <x v="2"/>
    <s v="Hluk"/>
    <s v="Hluk, nám. Komenského 158, PSČ 68725"/>
    <s v="94995"/>
    <s v="Činnosti environmentálních a ekologických hnutí"/>
    <m/>
    <m/>
    <m/>
    <m/>
    <m/>
    <m/>
    <m/>
    <m/>
    <m/>
    <m/>
    <m/>
    <m/>
    <m/>
    <m/>
    <m/>
    <m/>
    <m/>
  </r>
  <r>
    <s v="21426422"/>
    <s v="Český svaz ochránců přírody Na Háji Lutonina"/>
    <s v="736"/>
    <x v="0"/>
    <x v="0"/>
    <s v="Lutonina"/>
    <s v="Lutonina 95, PSČ 76312"/>
    <s v="94995"/>
    <s v="Činnosti environmentálních a ekologických hnutí"/>
    <m/>
    <m/>
    <m/>
    <m/>
    <m/>
    <m/>
    <m/>
    <m/>
    <m/>
    <m/>
    <m/>
    <m/>
    <m/>
    <m/>
    <m/>
    <m/>
    <m/>
  </r>
  <r>
    <s v="04480945"/>
    <s v="Český svaz ochránců přírody Pulčín"/>
    <s v="736"/>
    <x v="0"/>
    <x v="1"/>
    <s v="Francova Lhota"/>
    <s v="Francova Lhota, Pulčín 30, PSČ 75612"/>
    <s v="94995"/>
    <s v="Činnosti environmentálních a ekologických hnutí"/>
    <m/>
    <m/>
    <m/>
    <m/>
    <m/>
    <m/>
    <m/>
    <m/>
    <m/>
    <m/>
    <m/>
    <m/>
    <m/>
    <m/>
    <m/>
    <m/>
    <m/>
  </r>
  <r>
    <s v="07699425"/>
    <s v="Český svaz ochránců přírody Strážci Beskyd"/>
    <s v="736"/>
    <x v="0"/>
    <x v="1"/>
    <s v="Francova Lhota"/>
    <s v="Francova Lhota, Pulčín 30, PSČ 75612"/>
    <s v="94995"/>
    <s v="Činnosti environmentálních a ekologických hnutí"/>
    <m/>
    <m/>
    <m/>
    <m/>
    <m/>
    <m/>
    <m/>
    <m/>
    <m/>
    <m/>
    <m/>
    <m/>
    <m/>
    <m/>
    <m/>
    <m/>
    <m/>
  </r>
  <r>
    <s v="02732807"/>
    <s v="Český svaz ochránců přírody Vlčí prameny"/>
    <s v="736"/>
    <x v="0"/>
    <x v="2"/>
    <s v="Vyškovec"/>
    <s v="Vyškovec 36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731591"/>
    <s v="Český svaz ochránců přírody ZO Dolní Bečva"/>
    <s v="736"/>
    <x v="0"/>
    <x v="1"/>
    <s v="Dolní Bečva"/>
    <s v="Dolní Bečva 346, PSČ 75655"/>
    <s v="94995"/>
    <s v="Činnosti environmentálních a ekologických hnutí"/>
    <m/>
    <m/>
    <m/>
    <m/>
    <m/>
    <m/>
    <m/>
    <m/>
    <m/>
    <m/>
    <m/>
    <m/>
    <m/>
    <m/>
    <m/>
    <m/>
    <m/>
  </r>
  <r>
    <s v="49558366"/>
    <s v="Český svaz pro film a video z.s."/>
    <s v="706"/>
    <x v="1"/>
    <x v="3"/>
    <s v="Kroměříž"/>
    <s v="Kroměříž, Tovačovského 2828/2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2679"/>
    <s v="ČESKÝ SVAZ STAVEBNÍCH INŽENÝRŮ, oblastní pobočka Zlín, z.s."/>
    <s v="736"/>
    <x v="0"/>
    <x v="0"/>
    <s v="Zlín"/>
    <s v="Zlín, nám. T. G. Masaryka 1281, PSČ 76001"/>
    <s v="94120"/>
    <s v="Činnosti profesních organizací"/>
    <m/>
    <m/>
    <m/>
    <m/>
    <m/>
    <m/>
    <m/>
    <m/>
    <m/>
    <m/>
    <m/>
    <m/>
    <m/>
    <m/>
    <m/>
    <m/>
    <m/>
  </r>
  <r>
    <s v="72063149"/>
    <s v="Český svaz včelařů, o.s., základní organizace Medůvka"/>
    <s v="736"/>
    <x v="0"/>
    <x v="1"/>
    <s v="Velká Lhota"/>
    <s v="Velká Lhota č. ev. 128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17614"/>
    <s v="Český svaz včelařů, o.s. Základní organizace Šumice"/>
    <s v="736"/>
    <x v="0"/>
    <x v="2"/>
    <s v="Šumice"/>
    <s v="Šumice 18, PSČ 687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434892"/>
    <s v="Český svaz včelařů, z.s., okresní organizace Kroměříž"/>
    <s v="736"/>
    <x v="0"/>
    <x v="3"/>
    <s v="Rataje"/>
    <s v="Rataje 143, PSČ 768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766121"/>
    <s v="Český svaz včelařů, z.s., okresní organizace Uherské Hradiště"/>
    <s v="736"/>
    <x v="0"/>
    <x v="2"/>
    <s v="Uherský Brod"/>
    <s v="Uherský Brod, Přemysla Otakara II. 38, PSČ 688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4123910"/>
    <s v="Český svaz včelařů, z.s., okresní organizace Vsetín"/>
    <s v="736"/>
    <x v="0"/>
    <x v="1"/>
    <s v="Ratiboř"/>
    <s v="Ratiboř 287, PSČ 756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1696"/>
    <s v="Český svaz včelařů, z.s., okresní organizace Zlín"/>
    <s v="736"/>
    <x v="0"/>
    <x v="0"/>
    <s v="Ostrata"/>
    <s v="Ostrata 115, PSČ 763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12845"/>
    <s v="Český svaz včelařů, z.s., základní organizace Bánov"/>
    <s v="736"/>
    <x v="0"/>
    <x v="2"/>
    <s v="Bánov"/>
    <s v="Bánov 700, PSČ 6875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8687184"/>
    <s v="Český svaz včelařů, z.s., základní organizace Bílovice u Uherského Hradiště"/>
    <s v="736"/>
    <x v="0"/>
    <x v="2"/>
    <s v="Bílovice"/>
    <s v="Bílovice 70, PSČ 687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23073"/>
    <s v="Český svaz včelařů, z.s., základní organizace Bojkovice"/>
    <s v="736"/>
    <x v="0"/>
    <x v="2"/>
    <s v="Pitín"/>
    <s v="Pitín 305, PSČ 687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03621"/>
    <s v="Český svaz včelařů, z.s., základní organizace Boršice"/>
    <s v="736"/>
    <x v="0"/>
    <x v="2"/>
    <s v="Boršice"/>
    <s v="Boršice 497, PSČ 6870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08071"/>
    <s v="Český svaz včelařů, z.s., základní organizace Boršice u Blat."/>
    <s v="736"/>
    <x v="0"/>
    <x v="2"/>
    <s v="Boršice u Blatnice"/>
    <s v="Boršice u Blatnice 299, PSČ 6876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1173"/>
    <s v="Český svaz včelařů, z.s., základní organizace Brumov-Bylnice"/>
    <s v="736"/>
    <x v="0"/>
    <x v="0"/>
    <s v="Brumov-Bylnice"/>
    <s v="Brumov-Bylnice, Brumov, Družba 1188, PSČ 7633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89023"/>
    <s v="Český svaz včelařů, z.s., základní organizace Březová"/>
    <s v="736"/>
    <x v="0"/>
    <x v="2"/>
    <s v="Březová"/>
    <s v="Březová 323, PSČ 6876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325664"/>
    <s v="Český svaz včelařů, z.s., základní organizace Buchlovice"/>
    <s v="736"/>
    <x v="0"/>
    <x v="2"/>
    <s v="Buchlovice"/>
    <s v="Buchlovice, Váhovy 620, PSČ 6870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7930209"/>
    <s v="Český svaz včelařů, z.s., základní organizace Bystřice pod Hostýnem"/>
    <s v="736"/>
    <x v="0"/>
    <x v="3"/>
    <s v="Přílepy"/>
    <s v="Přílepy 216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707464"/>
    <s v="Český svaz včelařů, z.s., základní organizace Bystřice pod Lopeníkem"/>
    <s v="736"/>
    <x v="0"/>
    <x v="2"/>
    <s v="Bystřice pod Lopeníkem"/>
    <s v="Bystřice pod Lopeníkem 262, PSČ 6875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640611"/>
    <s v="Český svaz včelařů, z.s., základní organizace Bystřička"/>
    <s v="736"/>
    <x v="0"/>
    <x v="1"/>
    <s v="Oznice"/>
    <s v="Oznice 109, PSČ 756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962324"/>
    <s v="Český svaz včelařů, z.s., základní organizace Chvalčov-Podhostýnsko"/>
    <s v="736"/>
    <x v="0"/>
    <x v="3"/>
    <s v="Chvalčov"/>
    <s v="Chvalčov, Obřanská 145, PSČ 7687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9360051"/>
    <s v="Český svaz včelařů, z.s., základní organizace Dolní Němčí"/>
    <s v="736"/>
    <x v="0"/>
    <x v="2"/>
    <s v="Dolní Němčí"/>
    <s v="Dolní Němčí, Hlucká 108, PSČ 6876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392301"/>
    <s v="Český svaz včelařů, z.s., základní organizace Francova Lhota"/>
    <s v="736"/>
    <x v="0"/>
    <x v="1"/>
    <s v="Valašská Senice"/>
    <s v="Valašská Senice 145, PSČ 7561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41995"/>
    <s v="Český svaz včelařů, z.s., základní organizace Fryšták"/>
    <s v="736"/>
    <x v="0"/>
    <x v="0"/>
    <s v="Fryšták"/>
    <s v="Fryšták, Přehradní 388, PSČ 7631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8898321"/>
    <s v="Český svaz včelařů, z.s., základní organizace Halenkov"/>
    <s v="736"/>
    <x v="0"/>
    <x v="1"/>
    <s v="Halenkov"/>
    <s v="Halenkov 71, PSČ 75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267222"/>
    <s v="Český svaz včelařů, z.s., základní organizace Hluk"/>
    <s v="736"/>
    <x v="0"/>
    <x v="2"/>
    <s v="Hluk"/>
    <s v="Hluk, Hřbitovní 140, PSČ 687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14678"/>
    <s v="Český svaz včelařů, z.s., základní organizace Holešov"/>
    <s v="736"/>
    <x v="0"/>
    <x v="3"/>
    <s v="Holešov"/>
    <s v="Holešov, Dlažánky 321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91007"/>
    <s v="Český svaz včelařů, z.s., základní organizace Horní Bečva"/>
    <s v="736"/>
    <x v="0"/>
    <x v="1"/>
    <s v="Horní Bečva"/>
    <s v="Horní Bečva 680, PSČ 7565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469551"/>
    <s v="Český svaz včelařů, z.s., základní organizace Horní Jasenka"/>
    <s v="736"/>
    <x v="0"/>
    <x v="1"/>
    <s v="Vsetín"/>
    <s v="Vsetín, Horní Jasenka 42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10601"/>
    <s v="Český svaz včelařů, z.s., základní organizace Horní Lideč"/>
    <s v="736"/>
    <x v="0"/>
    <x v="1"/>
    <s v="Horní Lideč"/>
    <s v="Horní Lideč 292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057263"/>
    <s v="Český svaz včelařů, z.s., základní organizace Hošťálková"/>
    <s v="736"/>
    <x v="0"/>
    <x v="1"/>
    <s v="Hošťálková"/>
    <s v="Hošťálková 3, PSČ 7562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90996"/>
    <s v="Český svaz včelařů, z.s., základní organizace Hovězí"/>
    <s v="736"/>
    <x v="0"/>
    <x v="1"/>
    <s v="Hovězí"/>
    <s v="Hovězí 274, PSČ 75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267974"/>
    <s v="Český svaz včelařů, z.s., základní organizace Hradčovice"/>
    <s v="736"/>
    <x v="0"/>
    <x v="2"/>
    <s v="Hradčovice"/>
    <s v="Hradčovice 168, PSČ 687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1939"/>
    <s v="Český svaz včelařů, z.s., základní organizace Hřivínův Újezd"/>
    <s v="736"/>
    <x v="0"/>
    <x v="0"/>
    <s v="Hřivínův Újezd"/>
    <s v="Hřivínův Újezd 192, PSČ 7630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234182"/>
    <s v="Český svaz včelařů, z.s., základní organizace Huslenky"/>
    <s v="736"/>
    <x v="0"/>
    <x v="1"/>
    <s v="Huslenky"/>
    <s v="Huslenky 610, PSČ 756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8898495"/>
    <s v="Český svaz včelařů, z.s., základní organizace Hutisko-Solanec"/>
    <s v="736"/>
    <x v="0"/>
    <x v="1"/>
    <s v="Hutisko-Solanec"/>
    <s v="Hutisko-Solanec, Hutisko 512, PSČ 7566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6184495"/>
    <s v="Český svaz včelařů, z.s., základní organizace Jablůnka"/>
    <s v="736"/>
    <x v="0"/>
    <x v="1"/>
    <s v="Jablůnka"/>
    <s v="Jablůnka 358, PSČ 756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6934761"/>
    <s v="Český svaz včelařů, z.s., základní organizace Janová"/>
    <s v="736"/>
    <x v="0"/>
    <x v="1"/>
    <s v="Janová"/>
    <s v="Janová 75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58707"/>
    <s v="Český svaz včelařů, z.s., základní organizace Kelč"/>
    <s v="736"/>
    <x v="0"/>
    <x v="1"/>
    <s v="Kelč"/>
    <s v="Kelč 5, PSČ 7564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85799"/>
    <s v="Český svaz včelařů, z.s., základní organizace Koryčany"/>
    <s v="736"/>
    <x v="0"/>
    <x v="3"/>
    <s v="Koryčany"/>
    <s v="Koryčany, Lískovec 122, PSČ 768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6804543"/>
    <s v="Český svaz včelařů, z.s., základní organizace Korytná"/>
    <s v="736"/>
    <x v="0"/>
    <x v="2"/>
    <s v="Korytná"/>
    <s v="Korytná 309, PSČ 6875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32498"/>
    <s v="Český svaz včelařů, z.s., základní organizace Kroměříž"/>
    <s v="736"/>
    <x v="0"/>
    <x v="3"/>
    <s v="Kroměříž"/>
    <s v="Kroměříž, 17. listopadu 3982/8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22120"/>
    <s v="Český svaz včelařů, z.s., základní organizace Kvasice"/>
    <s v="736"/>
    <x v="0"/>
    <x v="3"/>
    <s v="Kroměříž"/>
    <s v="Kroměříž, Trávník 125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083363"/>
    <s v="Český svaz včelařů, z.s., základní organizace Lačnov"/>
    <s v="736"/>
    <x v="0"/>
    <x v="1"/>
    <s v="Lačnov"/>
    <s v="Lačnov 286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6934648"/>
    <s v="Český svaz včelařů, z.s., základní organizace Leskovec"/>
    <s v="736"/>
    <x v="0"/>
    <x v="1"/>
    <s v="Leskovec"/>
    <s v="Leskovec 141, PSČ 756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534602"/>
    <s v="Český svaz včelařů, z.s., základní organizace Lešná"/>
    <s v="736"/>
    <x v="0"/>
    <x v="1"/>
    <s v="Lešná"/>
    <s v="Lešná 30, PSČ 7564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80231"/>
    <s v="Český svaz včelařů, z.s., základní organizace Lidečko"/>
    <s v="736"/>
    <x v="0"/>
    <x v="1"/>
    <s v="Lidečko"/>
    <s v="Lidečko 467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15658"/>
    <s v="Český svaz včelařů, z.s., základní organizace Litenčice"/>
    <s v="736"/>
    <x v="0"/>
    <x v="3"/>
    <s v="Litenčice"/>
    <s v="Litenčice 64, PSČ 7681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792742"/>
    <s v="Český svaz včelařů, z.s., základní organizace Luhačovice"/>
    <s v="736"/>
    <x v="0"/>
    <x v="0"/>
    <s v="Luhačovice"/>
    <s v="Luhačovice, nám. 28. října 543, PSČ 7632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223"/>
    <s v="Český svaz včelařů, z.s., základní organizace Lukov"/>
    <s v="736"/>
    <x v="0"/>
    <x v="0"/>
    <s v="Lukov"/>
    <s v="Lukov, Hradská 24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14562"/>
    <s v="Český svaz včelařů, z.s., základní organizace Morkovice-Slížany"/>
    <s v="736"/>
    <x v="0"/>
    <x v="3"/>
    <s v="Morkovice-Slížany"/>
    <s v="Morkovice-Slížany, Morkovice, Náměstí 900, PSČ 768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2200"/>
    <s v="Český svaz včelařů, z.s., základní organizace Napajedla"/>
    <s v="736"/>
    <x v="0"/>
    <x v="0"/>
    <s v="Napajedla"/>
    <s v="Napajedla, Komenského 304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325826"/>
    <s v="Český svaz včelařů, z.s., základní organizace Nezdenice"/>
    <s v="736"/>
    <x v="0"/>
    <x v="2"/>
    <s v="Nezdenice"/>
    <s v="Nezdenice 64, PSČ 6873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650012"/>
    <s v="Český svaz včelařů, z.s., základní organizace Nivnice"/>
    <s v="736"/>
    <x v="0"/>
    <x v="2"/>
    <s v="Nivnice"/>
    <s v="Nivnice, Sídliště 1000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219"/>
    <s v="Český svaz včelařů, z.s., základní organizace Nový Hrozenkov"/>
    <s v="736"/>
    <x v="0"/>
    <x v="1"/>
    <s v="Karolinka"/>
    <s v="Karolinka, U hřiště 123, PSČ 756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725691"/>
    <s v="Český svaz včelařů, z.s., základní organizace Ostrožská Nová Ves"/>
    <s v="736"/>
    <x v="0"/>
    <x v="2"/>
    <s v="Ostrožská Nová Ves"/>
    <s v="Ostrožská Nová Ves, Hřbitovní 263, PSČ 6872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2391"/>
    <s v="Český svaz včelařů, z.s., základní organizace Otrokovice"/>
    <s v="736"/>
    <x v="0"/>
    <x v="0"/>
    <s v="Otrokovice"/>
    <s v="Otrokovice, Svobodova 1314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3291"/>
    <s v="Český svaz včelařů, z.s., základní organizace Pačlavice"/>
    <s v="736"/>
    <x v="0"/>
    <x v="3"/>
    <s v="Pačlavice"/>
    <s v="Pačlavice, Lhota 122, PSČ 7683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1518"/>
    <s v="Český svaz včelařů, z.s., základní organizace Polešovice"/>
    <s v="736"/>
    <x v="0"/>
    <x v="2"/>
    <s v="Polešovice"/>
    <s v="Polešovice 242, PSČ 6873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4053233"/>
    <s v="Český svaz včelařů, z.s., základní organizace Popovice"/>
    <s v="736"/>
    <x v="0"/>
    <x v="2"/>
    <s v="Popovice"/>
    <s v="Popovice 142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701413"/>
    <s v="Český svaz včelařů, z.s., základní organizace Pozděchov"/>
    <s v="736"/>
    <x v="0"/>
    <x v="1"/>
    <s v="Pozděchov"/>
    <s v="Pozděchov 215, PSČ 756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267541"/>
    <s v="Český svaz včelařů, z.s., základní organizace Pozlovice"/>
    <s v="736"/>
    <x v="0"/>
    <x v="0"/>
    <s v="Pozlovice"/>
    <s v="Pozlovice, Hlavní 51, PSČ 7632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04308"/>
    <s v="Český svaz včelařů, z.s., základní organizace Provodov"/>
    <s v="736"/>
    <x v="0"/>
    <x v="0"/>
    <s v="Provodov"/>
    <s v="Provodov 28, PSČ 7634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469658"/>
    <s v="Český svaz včelařů, z.s., základní organizace Rožnov pod Radhoštěm"/>
    <s v="736"/>
    <x v="0"/>
    <x v="1"/>
    <s v="Rožnov pod Radhoštěm"/>
    <s v="Rožnov pod Radhoštěm, nábřeží Dukelských hrdinů 570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792131"/>
    <s v="Český svaz včelařů, z.s., základní organizace Sehradice"/>
    <s v="736"/>
    <x v="0"/>
    <x v="0"/>
    <s v="Dolní Lhota"/>
    <s v="Dolní Lhota 129, PSČ 763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88154"/>
    <s v="Český svaz včelařů, z.s., základní organizace Seninka"/>
    <s v="736"/>
    <x v="0"/>
    <x v="1"/>
    <s v="Seninka"/>
    <s v="Seninka 49, PSČ 756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8726023"/>
    <s v="Český svaz včelařů, z.s., základní organizace Slavičín"/>
    <s v="736"/>
    <x v="0"/>
    <x v="0"/>
    <s v="Slavičín"/>
    <s v="Slavičín, Osvobození 255, PSČ 763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8731892"/>
    <s v="Český svaz včelařů, z.s., základní organizace Slušovice"/>
    <s v="736"/>
    <x v="0"/>
    <x v="0"/>
    <s v="Slušovice"/>
    <s v="Slušovice, nám. Svobody 160, PSČ 7631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326008"/>
    <s v="Český svaz včelařů, z.s., základní organizace Starý Hrozenkov"/>
    <s v="736"/>
    <x v="0"/>
    <x v="2"/>
    <s v="Starý Hrozenkov"/>
    <s v="Starý Hrozenkov 200, PSČ 6877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66831"/>
    <s v="Český svaz včelařů, z.s., základní organizace Strání - Květná"/>
    <s v="736"/>
    <x v="0"/>
    <x v="2"/>
    <s v="Strání"/>
    <s v="Strání, Dolina 1083, PSČ 6876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043092"/>
    <s v="Český svaz včelařů, z.s., základní organizace Střítež nad Bečvou"/>
    <s v="736"/>
    <x v="0"/>
    <x v="1"/>
    <s v="Střítež nad Bečvou"/>
    <s v="Střítež nad Bečvou 193, PSČ 7565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325583"/>
    <s v="Český svaz včelařů, z.s., základní organizace Suchá Loz"/>
    <s v="736"/>
    <x v="0"/>
    <x v="2"/>
    <s v="Suchá Loz"/>
    <s v="Suchá Loz 348, PSČ 687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744041"/>
    <s v="Český svaz včelařů, z.s., základní organizace Štítná nad Vláří"/>
    <s v="736"/>
    <x v="0"/>
    <x v="0"/>
    <s v="Štítná nad Vláří-Popov"/>
    <s v="Štítná nad Vláří-Popov, Štítná nad Vláří 72, PSČ 763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49913"/>
    <s v="Český svaz včelařů, z.s., základní organizace Šumice"/>
    <s v="736"/>
    <x v="0"/>
    <x v="2"/>
    <s v="Šumice"/>
    <s v="Šumice 400, PSČ 6873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268415"/>
    <s v="Český svaz včelařů, z.s., základní organizace Traplice"/>
    <s v="736"/>
    <x v="0"/>
    <x v="2"/>
    <s v="Traplice"/>
    <s v="Traplice 404, PSČ 687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18530"/>
    <s v="Český svaz včelařů, z.s., základní organizace Trnava"/>
    <s v="736"/>
    <x v="0"/>
    <x v="0"/>
    <s v="Trnava"/>
    <s v="Trnava 156, PSČ 7631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20287"/>
    <s v="Český svaz včelařů, z.s., základní organizace Uherské Hradiště"/>
    <s v="736"/>
    <x v="0"/>
    <x v="2"/>
    <s v="Uherské Hradiště"/>
    <s v="Uherské Hradiště, Palackého náměstí 293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03630"/>
    <s v="Český svaz včelařů, z.s., základní organizace Uherský Brod"/>
    <s v="736"/>
    <x v="0"/>
    <x v="2"/>
    <s v="Uherský Brod"/>
    <s v="Uherský Brod, Přemysla Otakara II. 38, PSČ 688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027172"/>
    <s v="Český svaz včelařů, z.s., základní organizace Uherský Ostroh"/>
    <s v="736"/>
    <x v="0"/>
    <x v="2"/>
    <s v="Uherský Ostroh"/>
    <s v="Uherský Ostroh, Zámecká 24, PSČ 687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4467236"/>
    <s v="Český svaz včelařů, z.s., základní organizace Újezd"/>
    <s v="736"/>
    <x v="0"/>
    <x v="0"/>
    <s v="Újezd"/>
    <s v="Újezd 5, PSČ 763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334531"/>
    <s v="Český svaz včelařů, z.s., základní organizace Valašská Bystřice"/>
    <s v="736"/>
    <x v="0"/>
    <x v="1"/>
    <s v="Valašská Bystřice"/>
    <s v="Valašská Bystřice 795, PSČ 7562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604061"/>
    <s v="Český svaz včelařů, z.s., základní organizace Valašská Polanka"/>
    <s v="736"/>
    <x v="0"/>
    <x v="1"/>
    <s v="Valašská Polanka"/>
    <s v="Valašská Polanka 270, PSČ 756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652058"/>
    <s v="Český svaz včelařů, z.s., základní organizace Valašské Klobouky"/>
    <s v="736"/>
    <x v="0"/>
    <x v="0"/>
    <s v="Valašské Klobouky"/>
    <s v="Valašské Klobouky, Masarykovo náměstí 103, PSČ 76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335286"/>
    <s v="Český svaz včelařů, z.s., základní organizace Valašské Meziříčí"/>
    <s v="736"/>
    <x v="0"/>
    <x v="1"/>
    <s v="Krhová"/>
    <s v="Krhová, Luční 658, PSČ 7566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93456"/>
    <s v="Český svaz včelařů, z.s., základní organizace Velké Karlovice"/>
    <s v="736"/>
    <x v="0"/>
    <x v="1"/>
    <s v="Velké Karlovice"/>
    <s v="Velké Karlovice 1, PSČ 756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022855"/>
    <s v="Český svaz včelařů, z.s., základní organizace Velký Ořechov"/>
    <s v="736"/>
    <x v="0"/>
    <x v="0"/>
    <s v="Velký Ořechov"/>
    <s v="Velký Ořechov 218, PSČ 763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0835"/>
    <s v="Český svaz včelařů, z.s., základní organizace Vizovice"/>
    <s v="736"/>
    <x v="0"/>
    <x v="0"/>
    <s v="Vizovice"/>
    <s v="Vizovice, Lípová 588, PSČ 763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833611"/>
    <s v="Český svaz včelařů, z.s., základní organizace Vlachovice-Vrbětice"/>
    <s v="736"/>
    <x v="0"/>
    <x v="0"/>
    <s v="Vlachovice"/>
    <s v="Vlachovice 50, PSČ 763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26031"/>
    <s v="Český svaz včelařů, z.s., základní organizace Vlčnov"/>
    <s v="736"/>
    <x v="0"/>
    <x v="2"/>
    <s v="Vlčnov"/>
    <s v="Vlčnov 14, PSČ 687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334301"/>
    <s v="Český svaz včelařů, z.s., základní organizace Vsetín"/>
    <s v="736"/>
    <x v="0"/>
    <x v="1"/>
    <s v="Vsetín"/>
    <s v="Vsetín, MUDr. Františka Sovy 1722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90791"/>
    <s v="Český svaz včelařů, z.s., základní organizace Zděchov"/>
    <s v="736"/>
    <x v="0"/>
    <x v="1"/>
    <s v="Zděchov"/>
    <s v="Zděchov 175, PSČ 7560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3143"/>
    <s v="Český svaz včelařů, z.s., základní organizace Zdounky"/>
    <s v="736"/>
    <x v="0"/>
    <x v="3"/>
    <s v="Zdounky"/>
    <s v="Zdounky, Zákostelí 250, PSČ 768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6311637"/>
    <s v="Český svaz včelařů, z.s., základní organizace Zlín"/>
    <s v="736"/>
    <x v="0"/>
    <x v="0"/>
    <s v="Lípa"/>
    <s v="Lípa 26, PSČ 763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07728"/>
    <s v="Český svaz včelařů, z.s., základní organizace Zlín-Malenovice"/>
    <s v="736"/>
    <x v="0"/>
    <x v="0"/>
    <s v="Zlín"/>
    <s v="Zlín, Malenovice, Bezručova 41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334786"/>
    <s v="Český svaz včelařů, z.s., základní organizace Zubří"/>
    <s v="736"/>
    <x v="0"/>
    <x v="1"/>
    <s v="Zubří"/>
    <s v="Zubří, U Domoviny 234, PSČ 7565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12518"/>
    <s v="Český svaz včelařů, z.s., základní organizace Žítková"/>
    <s v="736"/>
    <x v="0"/>
    <x v="2"/>
    <s v="Uherský Brod"/>
    <s v="Uherský Brod, Zátiší 1103, PSČ 688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08551"/>
    <s v="Český zahrádkářský svaz základní organizace Horní Lhota"/>
    <s v="736"/>
    <x v="0"/>
    <x v="0"/>
    <s v="Horní Lhota"/>
    <s v="Horní Lhota 176, PSČ 763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95051"/>
    <s v="„Čisté Zástřizly”"/>
    <s v="706"/>
    <x v="1"/>
    <x v="3"/>
    <s v="Zástřizly"/>
    <s v="Zástřizly 49, PSČ 76805"/>
    <s v="94995"/>
    <s v="Činnosti environmentálních a ekologických hnutí"/>
    <m/>
    <m/>
    <m/>
    <m/>
    <m/>
    <m/>
    <m/>
    <m/>
    <m/>
    <m/>
    <m/>
    <m/>
    <m/>
    <m/>
    <m/>
    <m/>
    <m/>
  </r>
  <r>
    <s v="01905627"/>
    <s v="ČISTÍME VZDUCH o. s."/>
    <s v="706"/>
    <x v="1"/>
    <x v="0"/>
    <s v="Zlín"/>
    <s v="Zlín, Zálešná VII 585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2761"/>
    <s v="ČISTÝ ŽIVOT o.s."/>
    <s v="706"/>
    <x v="1"/>
    <x v="1"/>
    <s v="Rožnov pod Radhoštěm"/>
    <s v="Rožnov pod Radhoštěm, Televizní 2614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901"/>
    <s v="Člověk v pohybu, z.s."/>
    <s v="706"/>
    <x v="1"/>
    <x v="0"/>
    <s v="Zlín"/>
    <s v="Zlín, Lešetín VI 67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578001"/>
    <s v="ČMP MX team z.s."/>
    <s v="706"/>
    <x v="1"/>
    <x v="1"/>
    <s v="Ratiboř"/>
    <s v="Ratiboř 604, PSČ 756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70033"/>
    <s v="ČSS, z.s. - sportovně střelecký klub Březolupy"/>
    <s v="736"/>
    <x v="0"/>
    <x v="2"/>
    <s v="Březolupy"/>
    <s v="Březolupy 586, PSČ 68713"/>
    <s v="9319"/>
    <s v="Ostatní sportovní činnosti"/>
    <m/>
    <m/>
    <m/>
    <m/>
    <m/>
    <m/>
    <m/>
    <m/>
    <m/>
    <m/>
    <m/>
    <m/>
    <m/>
    <m/>
    <m/>
    <m/>
    <m/>
  </r>
  <r>
    <s v="62831674"/>
    <s v="ČSS, z.s. - sportovně střelecký klub Buchlovice"/>
    <s v="736"/>
    <x v="0"/>
    <x v="2"/>
    <s v="Buchlovice"/>
    <s v="Buchlovice, Suchý řádek 767, PSČ 6870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88837"/>
    <s v="ČSS, z.s. - sportovně střelecký klub Drslavice"/>
    <s v="736"/>
    <x v="0"/>
    <x v="2"/>
    <s v="Drslavice"/>
    <s v="Drslavice 93, PSČ 68733"/>
    <s v="93110"/>
    <s v="Provozování sportovních zařízení"/>
    <m/>
    <m/>
    <m/>
    <m/>
    <m/>
    <m/>
    <m/>
    <m/>
    <m/>
    <m/>
    <m/>
    <m/>
    <m/>
    <m/>
    <m/>
    <m/>
    <m/>
  </r>
  <r>
    <s v="63458624"/>
    <s v="ČSS, z.s. - sportovně střelecký klub JUNIOR Chropyně"/>
    <s v="736"/>
    <x v="0"/>
    <x v="3"/>
    <s v="Chropyně"/>
    <s v="Chropyně, J. Fučíka 675, PSČ 76811"/>
    <s v="93190"/>
    <s v="Ostatní sportovní činnosti"/>
    <m/>
    <m/>
    <m/>
    <m/>
    <m/>
    <m/>
    <m/>
    <m/>
    <m/>
    <m/>
    <m/>
    <m/>
    <m/>
    <m/>
    <m/>
    <m/>
    <m/>
  </r>
  <r>
    <s v="70930601"/>
    <s v="ČSS, z.s. - sportovně střelecký klub Míškovice"/>
    <s v="736"/>
    <x v="0"/>
    <x v="3"/>
    <s v="Míškovice"/>
    <s v="Míškovice 128, PSČ 76852"/>
    <s v="93120"/>
    <s v="Činnosti sportovních klubů"/>
    <m/>
    <m/>
    <m/>
    <m/>
    <m/>
    <m/>
    <m/>
    <m/>
    <m/>
    <m/>
    <m/>
    <m/>
    <m/>
    <m/>
    <m/>
    <m/>
    <m/>
  </r>
  <r>
    <s v="70933731"/>
    <s v="ČSS, z.s. - sportovně střelecký klub Poličná"/>
    <s v="736"/>
    <x v="0"/>
    <x v="1"/>
    <s v="Valašské Meziříčí"/>
    <s v="Valašské Meziříčí, Krásno nad Bečvou, Ulička 851, PSČ 75701"/>
    <s v="93120"/>
    <s v="Činnosti sportovních klubů"/>
    <m/>
    <m/>
    <m/>
    <m/>
    <m/>
    <m/>
    <m/>
    <m/>
    <m/>
    <m/>
    <m/>
    <m/>
    <m/>
    <m/>
    <m/>
    <m/>
    <m/>
  </r>
  <r>
    <s v="47997630"/>
    <s v="ČSS, z.s. - sportovně střelecký klub Rožnov"/>
    <s v="736"/>
    <x v="0"/>
    <x v="1"/>
    <s v="Zubří"/>
    <s v="Zubří, Rožnovská 925, PSČ 75654"/>
    <s v="93120"/>
    <s v="Činnosti sportovních klubů"/>
    <m/>
    <m/>
    <m/>
    <m/>
    <m/>
    <m/>
    <m/>
    <m/>
    <m/>
    <m/>
    <m/>
    <m/>
    <m/>
    <m/>
    <m/>
    <m/>
    <m/>
  </r>
  <r>
    <s v="60369639"/>
    <s v="ČSS, z.s. - sportovně střelecký klub Uherský Ostroh"/>
    <s v="736"/>
    <x v="0"/>
    <x v="2"/>
    <s v="Uherský Ostroh"/>
    <s v="Uherský Ostroh, Ostrožské Předměstí, Veselská 1, PSČ 68724"/>
    <s v="93110"/>
    <s v="Provozování sportovních zařízení"/>
    <m/>
    <m/>
    <m/>
    <m/>
    <m/>
    <m/>
    <m/>
    <m/>
    <m/>
    <m/>
    <m/>
    <m/>
    <m/>
    <m/>
    <m/>
    <m/>
    <m/>
  </r>
  <r>
    <s v="22897712"/>
    <s v="ČSS, z.s. - sportovně střelecký klub Valašské Klobouky"/>
    <s v="736"/>
    <x v="0"/>
    <x v="0"/>
    <s v="Valašské Klobouky"/>
    <s v="Valašské Klobouky, Luční 899, PSČ 76601"/>
    <s v="9319"/>
    <s v="Ostatní sportovní činnosti"/>
    <m/>
    <m/>
    <m/>
    <m/>
    <m/>
    <m/>
    <m/>
    <m/>
    <m/>
    <m/>
    <m/>
    <m/>
    <m/>
    <m/>
    <m/>
    <m/>
    <m/>
  </r>
  <r>
    <s v="48472531"/>
    <s v="ČSS, z.s. - sportovně střelecký klub Zlín"/>
    <s v="736"/>
    <x v="0"/>
    <x v="0"/>
    <s v="Zlín"/>
    <s v="Zlín, Vršava I 3688, PSČ 76001"/>
    <s v="93190"/>
    <s v="Ostatní sportovní činnosti"/>
    <m/>
    <m/>
    <m/>
    <m/>
    <m/>
    <m/>
    <m/>
    <m/>
    <m/>
    <m/>
    <m/>
    <m/>
    <m/>
    <m/>
    <m/>
    <m/>
    <m/>
  </r>
  <r>
    <s v="70874646"/>
    <s v="ČSS, z.s. - sportovně střelecký klub ZŠ Trnava"/>
    <s v="736"/>
    <x v="0"/>
    <x v="0"/>
    <s v="Trnava"/>
    <s v="Trnava 85, PSČ 76318"/>
    <s v="93110"/>
    <s v="Provozování sportovních zařízení"/>
    <m/>
    <m/>
    <m/>
    <m/>
    <m/>
    <m/>
    <m/>
    <m/>
    <m/>
    <m/>
    <m/>
    <m/>
    <m/>
    <m/>
    <m/>
    <m/>
    <m/>
  </r>
  <r>
    <s v="48739260"/>
    <s v="ČSS, z.s. - sportovní střelecký klub 0428 Lešná"/>
    <s v="736"/>
    <x v="0"/>
    <x v="1"/>
    <s v="Lešná"/>
    <s v="Lešná 3, PSČ 75641"/>
    <s v="93120"/>
    <s v="Činnosti sportovních klubů"/>
    <m/>
    <m/>
    <m/>
    <m/>
    <m/>
    <m/>
    <m/>
    <m/>
    <m/>
    <m/>
    <m/>
    <m/>
    <m/>
    <m/>
    <m/>
    <m/>
    <m/>
  </r>
  <r>
    <s v="62334816"/>
    <s v="ČSS, z.s. - SSK Kelč"/>
    <s v="736"/>
    <x v="0"/>
    <x v="1"/>
    <s v="Kelč"/>
    <s v="Kelč 5, PSČ 75643"/>
    <s v="9319"/>
    <s v="Ostatní sportovní činnosti"/>
    <s v="Sportovní činnosti"/>
    <s v="Ostatní zábavní a rekreační činnosti j. n."/>
    <m/>
    <m/>
    <m/>
    <m/>
    <m/>
    <m/>
    <m/>
    <m/>
    <m/>
    <m/>
    <m/>
    <m/>
    <m/>
    <m/>
    <m/>
  </r>
  <r>
    <s v="61703729"/>
    <s v="ČSS, z.s. - SSK Uherský Brod"/>
    <s v="736"/>
    <x v="0"/>
    <x v="2"/>
    <s v="Uherský Brod"/>
    <s v="Uherský Brod, Prakšická 1780, PSČ 68801"/>
    <s v="93120"/>
    <s v="Činnosti sportovních klubů"/>
    <m/>
    <m/>
    <m/>
    <m/>
    <m/>
    <m/>
    <m/>
    <m/>
    <m/>
    <m/>
    <m/>
    <m/>
    <m/>
    <m/>
    <m/>
    <m/>
    <m/>
  </r>
  <r>
    <s v="70925381"/>
    <s v="ČSS, z.s. Zlínské krajské sdružení"/>
    <s v="736"/>
    <x v="0"/>
    <x v="2"/>
    <s v="Nivnice"/>
    <s v="Nivnice, Hůrka č. ev. 1024, PSČ 68751"/>
    <s v="931"/>
    <s v="Sportovní činnosti"/>
    <m/>
    <m/>
    <m/>
    <m/>
    <m/>
    <m/>
    <m/>
    <m/>
    <m/>
    <m/>
    <m/>
    <m/>
    <m/>
    <m/>
    <m/>
    <m/>
    <m/>
  </r>
  <r>
    <s v="27057470"/>
    <s v="&quot;Čtvrtá opice, o. s.&quot;"/>
    <s v="706"/>
    <x v="1"/>
    <x v="1"/>
    <s v="Vsetín"/>
    <s v="Vsetín, Sychrov 89, Michaela Petřkovsk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081790"/>
    <s v="D centrum z.s."/>
    <s v="706"/>
    <x v="1"/>
    <x v="0"/>
    <s v="Zlín"/>
    <s v="Zlín, Louky, Chlumská 453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5659125"/>
    <s v="DAIMONION"/>
    <s v="706"/>
    <x v="1"/>
    <x v="0"/>
    <s v="Zlín"/>
    <s v="Zlín, Gahurova 156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0303"/>
    <s v="Dámský Házenkářský Klub Kunovice"/>
    <s v="706"/>
    <x v="1"/>
    <x v="2"/>
    <s v="Kunovice"/>
    <s v="Kunovice, Červená cesta 1476, PSČ 68604"/>
    <s v="93120"/>
    <s v="Činnosti sportovních klubů"/>
    <m/>
    <m/>
    <m/>
    <m/>
    <m/>
    <m/>
    <m/>
    <m/>
    <m/>
    <m/>
    <m/>
    <m/>
    <m/>
    <m/>
    <m/>
    <m/>
    <m/>
  </r>
  <r>
    <s v="22839739"/>
    <s v="Dámský Házenkářský Klub Uherské Hradiště"/>
    <s v="706"/>
    <x v="1"/>
    <x v="2"/>
    <s v="Uherské Hradiště"/>
    <s v="Uherské Hradiště, Mařatice, Jižní 1421, PSČ 68605"/>
    <s v="93120"/>
    <s v="Činnosti sportovních klubů"/>
    <m/>
    <m/>
    <m/>
    <m/>
    <m/>
    <m/>
    <m/>
    <m/>
    <m/>
    <m/>
    <m/>
    <m/>
    <m/>
    <m/>
    <m/>
    <m/>
    <m/>
  </r>
  <r>
    <s v="08531510"/>
    <s v="Dámský klub Kostelany nad Moravou, z.s."/>
    <s v="706"/>
    <x v="1"/>
    <x v="2"/>
    <s v="Kostelany nad Moravou"/>
    <s v="Kostelany nad Moravou 21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5017"/>
    <s v="DANCE CLUB VEGAS"/>
    <s v="706"/>
    <x v="1"/>
    <x v="3"/>
    <s v="Holešov"/>
    <s v="Holešov, Masarykova 65/3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05045"/>
    <s v="Dance Rebels z.s."/>
    <s v="706"/>
    <x v="1"/>
    <x v="1"/>
    <s v="Horní Bečva"/>
    <s v="Horní Bečva 845, PSČ 75657"/>
    <s v="90010"/>
    <s v="Scénická umění"/>
    <m/>
    <m/>
    <m/>
    <m/>
    <m/>
    <m/>
    <m/>
    <m/>
    <m/>
    <m/>
    <m/>
    <m/>
    <m/>
    <m/>
    <m/>
    <m/>
    <m/>
  </r>
  <r>
    <s v="22762019"/>
    <s v="Dance Studio Starlight, z.s."/>
    <s v="706"/>
    <x v="1"/>
    <x v="0"/>
    <s v="Zlín"/>
    <s v="Zlín, Prštné, Jateční 169, PSČ 76001"/>
    <s v="90010"/>
    <s v="Scénická umění"/>
    <m/>
    <m/>
    <m/>
    <m/>
    <m/>
    <m/>
    <m/>
    <m/>
    <m/>
    <m/>
    <m/>
    <m/>
    <m/>
    <m/>
    <m/>
    <m/>
    <m/>
  </r>
  <r>
    <s v="04108311"/>
    <s v="Dance Talent Academy, z.s."/>
    <s v="706"/>
    <x v="1"/>
    <x v="0"/>
    <s v="Otrokovice"/>
    <s v="Otrokovice, nám. 3. května 130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1922"/>
    <s v="DANTIEN z.s. Společnost pro studium lidského potenciálu a tradičních metod rozvoje osobnosti"/>
    <s v="706"/>
    <x v="1"/>
    <x v="1"/>
    <s v="Vsetín"/>
    <s v="Vsetín, Jiráskova 1817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3785"/>
    <s v="Dareband z.s."/>
    <s v="706"/>
    <x v="1"/>
    <x v="1"/>
    <s v="Vsetín"/>
    <s v="Vsetín, V Zahrádkách č. ev. 2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06850"/>
    <s v="DC HRAD CHROPYNĚ"/>
    <s v="706"/>
    <x v="1"/>
    <x v="3"/>
    <s v="Chropyně"/>
    <s v="Chropyně, Hrad 482, PSČ 76811"/>
    <s v="931"/>
    <s v="Sportovní činnosti"/>
    <m/>
    <m/>
    <m/>
    <m/>
    <m/>
    <m/>
    <m/>
    <m/>
    <m/>
    <m/>
    <m/>
    <m/>
    <m/>
    <m/>
    <m/>
    <m/>
    <m/>
  </r>
  <r>
    <s v="65828216"/>
    <s v="D.C. SLAVÍC PIGS´ PARADISE KROMĚŘÍŽ"/>
    <s v="706"/>
    <x v="1"/>
    <x v="3"/>
    <s v="Kroměříž"/>
    <s v="Kroměříž, 17. listopadu 3980, Jiří Koutňák"/>
    <s v="931"/>
    <s v="Sportovní činnosti"/>
    <m/>
    <m/>
    <m/>
    <m/>
    <m/>
    <m/>
    <m/>
    <m/>
    <m/>
    <m/>
    <m/>
    <m/>
    <m/>
    <m/>
    <m/>
    <m/>
    <m/>
  </r>
  <r>
    <s v="65270088"/>
    <s v="DC SLOVAN Kroměříž"/>
    <s v="706"/>
    <x v="1"/>
    <x v="3"/>
    <s v="Kroměříž"/>
    <s v="Kroměříž, Slovanské nám. 3283, Restaurace Slovan"/>
    <s v="931"/>
    <s v="Sportovní činnosti"/>
    <m/>
    <m/>
    <m/>
    <m/>
    <m/>
    <m/>
    <m/>
    <m/>
    <m/>
    <m/>
    <m/>
    <m/>
    <m/>
    <m/>
    <m/>
    <m/>
    <m/>
  </r>
  <r>
    <s v="69211442"/>
    <s v="DC Sniper Horní Bečva z.s."/>
    <s v="706"/>
    <x v="1"/>
    <x v="1"/>
    <s v="Horní Bečva"/>
    <s v="Horní Bečva 161, PSČ 75657"/>
    <s v="931"/>
    <s v="Sportovní činnosti"/>
    <m/>
    <m/>
    <m/>
    <m/>
    <m/>
    <m/>
    <m/>
    <m/>
    <m/>
    <m/>
    <m/>
    <m/>
    <m/>
    <m/>
    <m/>
    <m/>
    <m/>
  </r>
  <r>
    <s v="67028594"/>
    <s v="DC TROUBKY"/>
    <s v="706"/>
    <x v="1"/>
    <x v="3"/>
    <s v="Troubky-Zdislavice"/>
    <s v="Troubky-Zdislavice, Zdislavice 89, PSČ 76802"/>
    <s v="93120"/>
    <s v="Činnosti sportovních klubů"/>
    <m/>
    <m/>
    <m/>
    <m/>
    <m/>
    <m/>
    <m/>
    <m/>
    <m/>
    <m/>
    <m/>
    <m/>
    <m/>
    <m/>
    <m/>
    <m/>
    <m/>
  </r>
  <r>
    <s v="02853116"/>
    <s v="DEAF SKI TEAM, z.s."/>
    <s v="706"/>
    <x v="1"/>
    <x v="0"/>
    <s v="Fryšták"/>
    <s v="Fryšták, Horní Ves, Korábová 78, PSČ 76316"/>
    <s v="94996"/>
    <s v="Činnosti organizací na ochranu a zlepšení postavení etnických, menšinových a jiných speciálních skupin"/>
    <s v="Ostatní sportovní činnosti"/>
    <m/>
    <m/>
    <m/>
    <m/>
    <m/>
    <m/>
    <m/>
    <m/>
    <m/>
    <m/>
    <m/>
    <m/>
    <m/>
    <m/>
    <m/>
    <m/>
  </r>
  <r>
    <s v="70896321"/>
    <s v="Dechová hudba DÚBRAVANKA, z.s."/>
    <s v="706"/>
    <x v="1"/>
    <x v="0"/>
    <s v="Valašské Klobouky"/>
    <s v="Valašské Klobouky, Záhumení 677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700907"/>
    <s v="DECHOVÁ HUDBA KOMŇANÉ z. s."/>
    <s v="706"/>
    <x v="1"/>
    <x v="2"/>
    <s v="Komňa"/>
    <s v="Komňa 290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70007"/>
    <s v="Dechová hudba Lhoťanka"/>
    <s v="706"/>
    <x v="1"/>
    <x v="0"/>
    <s v="Dolní Lhota"/>
    <s v="Dolní Lhota 148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050710"/>
    <s v="Dechová hudba Nivničanka, z. s."/>
    <s v="706"/>
    <x v="1"/>
    <x v="2"/>
    <s v="Nivnice"/>
    <s v="Nivnice, Sídliště 1000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4520"/>
    <s v="Dechová hudba NOVOVEŠŤANKA z.s."/>
    <s v="706"/>
    <x v="1"/>
    <x v="2"/>
    <s v="Ostrožská Nová Ves"/>
    <s v="Ostrožská Nová Ves, Dědina 161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640475"/>
    <s v="Dechová hudba Polančanka, z.s."/>
    <s v="706"/>
    <x v="1"/>
    <x v="1"/>
    <s v="Valašská Polanka"/>
    <s v="Valašská Polanka 277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4953"/>
    <s v="Dechová hudba Šarovec z.s."/>
    <s v="706"/>
    <x v="1"/>
    <x v="2"/>
    <s v="Hluk"/>
    <s v="Hluk, Sadová 1323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047290"/>
    <s v="Dechová hudba Záhořané z Valašska z. s."/>
    <s v="706"/>
    <x v="1"/>
    <x v="1"/>
    <s v="Prostřední Bečva"/>
    <s v="Prostřední Bečva 271, PSČ 756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2403"/>
    <s v="Dechová hudba Zubřanka, spolek"/>
    <s v="706"/>
    <x v="1"/>
    <x v="1"/>
    <s v="Zubří"/>
    <s v="Zubří, Starozuberská 1082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5481"/>
    <s v="Děcka z Buchlovic z.s."/>
    <s v="706"/>
    <x v="1"/>
    <x v="2"/>
    <s v="Buchlovice"/>
    <s v="Buchlovice, Brněnská 16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510822"/>
    <s v="Děcka z Nedakonic z. s."/>
    <s v="706"/>
    <x v="1"/>
    <x v="2"/>
    <s v="Nedakonice"/>
    <s v="Nedakonice 556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2962"/>
    <s v="Dědictví Velkých Karlovic z.s."/>
    <s v="706"/>
    <x v="1"/>
    <x v="1"/>
    <s v="Velké Karlovice"/>
    <s v="Velké Karlovice 267, PSČ 75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5735"/>
    <s v="Dědiny pod horama,o.s."/>
    <s v="706"/>
    <x v="1"/>
    <x v="1"/>
    <s v="Vsetín"/>
    <s v="Vsetín, Semetín 899, PSČ 75501"/>
    <s v="94995"/>
    <s v="Činnosti environmentálních a ekologických hnutí"/>
    <m/>
    <m/>
    <m/>
    <m/>
    <m/>
    <m/>
    <m/>
    <m/>
    <m/>
    <m/>
    <m/>
    <m/>
    <m/>
    <m/>
    <m/>
    <m/>
    <m/>
  </r>
  <r>
    <s v="22718222"/>
    <s v="Defect-rock"/>
    <s v="706"/>
    <x v="1"/>
    <x v="1"/>
    <s v="Hovězí"/>
    <s v="Hovězí 514, PSČ 75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707456"/>
    <s v="DEFEND-LOCK MOTORSPORT"/>
    <s v="736"/>
    <x v="0"/>
    <x v="0"/>
    <s v="Fryšták"/>
    <s v="Fryšták, Holešovská 166, PSČ 76316"/>
    <s v="93120"/>
    <s v="Činnosti sportovních klubů"/>
    <m/>
    <m/>
    <m/>
    <m/>
    <m/>
    <m/>
    <m/>
    <m/>
    <m/>
    <m/>
    <m/>
    <m/>
    <m/>
    <m/>
    <m/>
    <m/>
    <m/>
  </r>
  <r>
    <s v="02760746"/>
    <s v="DEFORMA z.s."/>
    <s v="706"/>
    <x v="1"/>
    <x v="2"/>
    <s v="Břestek"/>
    <s v="Břestek 22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1545"/>
    <s v="DELFÍNEK"/>
    <s v="706"/>
    <x v="1"/>
    <x v="3"/>
    <s v="Zdounky"/>
    <s v="Zdounky, Farská 420, PSČ 76802"/>
    <s v="94991"/>
    <s v="Činnosti organizací dětí a mládeže"/>
    <m/>
    <m/>
    <m/>
    <m/>
    <m/>
    <m/>
    <m/>
    <m/>
    <m/>
    <m/>
    <m/>
    <m/>
    <m/>
    <m/>
    <m/>
    <m/>
    <m/>
  </r>
  <r>
    <s v="65325648"/>
    <s v="Dělnická tělocvičná jednota Květná, z.s."/>
    <s v="706"/>
    <x v="1"/>
    <x v="2"/>
    <s v="Strání"/>
    <s v="Strání, Květná, Slovenská 440, PSČ 68766"/>
    <s v="931"/>
    <s v="Sportovní činnosti"/>
    <s v="Ubytování"/>
    <s v="Maloobchod s nápoji"/>
    <s v="Stravování v restauracích, u stánků a v mobilních zařízeních"/>
    <s v="Pronájem a leasing ostatních výrobků pro osobní potřebu a převážně pro domácnost"/>
    <s v="Podpůrné činnosti pro scénická umění"/>
    <m/>
    <m/>
    <m/>
    <m/>
    <m/>
    <m/>
    <m/>
    <m/>
    <m/>
    <m/>
    <m/>
    <m/>
  </r>
  <r>
    <s v="60382848"/>
    <s v="DELTA klub Bystřice pod Hostýnem"/>
    <s v="706"/>
    <x v="1"/>
    <x v="3"/>
    <s v="Bystřice pod Hostýnem"/>
    <s v="Bystřice pod Hostýnem"/>
    <s v="93120"/>
    <s v="Činnosti sportovních klubů"/>
    <m/>
    <m/>
    <m/>
    <m/>
    <m/>
    <m/>
    <m/>
    <m/>
    <m/>
    <m/>
    <m/>
    <m/>
    <m/>
    <m/>
    <m/>
    <m/>
    <m/>
  </r>
  <r>
    <s v="04965515"/>
    <s v="DeMo z. s."/>
    <s v="706"/>
    <x v="1"/>
    <x v="2"/>
    <s v="Pašovice"/>
    <s v="Pašovice 98, PSČ 687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042249"/>
    <s v="Demokratická aliance Romů ČR z.s."/>
    <s v="706"/>
    <x v="1"/>
    <x v="1"/>
    <s v="Valašské Meziříčí"/>
    <s v="Valašské Meziříčí, Náměstí 8/6, PSČ 75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1231464"/>
    <s v="”DEN 1”"/>
    <s v="706"/>
    <x v="1"/>
    <x v="3"/>
    <s v="Kroměříž"/>
    <s v="Kroměříž, Trávník 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07729"/>
    <s v="Derby Golf Club Slušovice, z.s."/>
    <s v="706"/>
    <x v="1"/>
    <x v="0"/>
    <s v="Slušovice"/>
    <s v="Slušovice, Dostihová 671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11225"/>
    <s v="Derfla Klub z.s."/>
    <s v="706"/>
    <x v="1"/>
    <x v="2"/>
    <s v="Uherské Hradiště"/>
    <s v="Uherské Hradiště, Mařatice, Jaroslava Staňka 861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441181"/>
    <s v="Deskol, z.s."/>
    <s v="706"/>
    <x v="1"/>
    <x v="2"/>
    <s v="Ostrožská Lhota"/>
    <s v="Ostrožská Lhota 331, PSČ 687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591837"/>
    <s v="Destinace Slovácká jezera z.s."/>
    <s v="706"/>
    <x v="1"/>
    <x v="2"/>
    <s v="Ostrožská Nová Ves"/>
    <s v="Ostrožská Nová Ves, Nádražní 1010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83611"/>
    <s v="&quot;DĚTEM&quot;, obecně prospěšná společnost"/>
    <s v="141"/>
    <x v="2"/>
    <x v="0"/>
    <s v="Zlín"/>
    <s v="Zlín, Kvítková 3958, PSČ 76001"/>
    <s v="94991"/>
    <s v="Činnosti organizací dětí a mládeže"/>
    <s v="Činnosti reklamních agentur"/>
    <s v="Podpůrné činnosti pro scénická umění"/>
    <s v="Ostatní sportovní činnosti"/>
    <m/>
    <m/>
    <m/>
    <m/>
    <m/>
    <m/>
    <m/>
    <m/>
    <m/>
    <m/>
    <m/>
    <m/>
    <m/>
    <m/>
  </r>
  <r>
    <s v="19800797"/>
    <s v="Děti - naše naděje, z. s."/>
    <s v="706"/>
    <x v="1"/>
    <x v="1"/>
    <s v="Valašské Meziříčí"/>
    <s v="Valašské Meziříčí, Křížkovského 60/8, PSČ 75701"/>
    <s v="855"/>
    <s v="Ostatní vzdělávání"/>
    <s v="Ostatní sportovní činnosti"/>
    <m/>
    <m/>
    <m/>
    <m/>
    <m/>
    <m/>
    <m/>
    <m/>
    <m/>
    <m/>
    <m/>
    <m/>
    <m/>
    <m/>
    <m/>
    <m/>
  </r>
  <r>
    <s v="21151318"/>
    <s v="DĚTI ČERNÉ HORY, z.s."/>
    <s v="706"/>
    <x v="1"/>
    <x v="1"/>
    <s v="Dolní Bečva"/>
    <s v="Dolní Bečva 318, PSČ 75655"/>
    <s v="94991"/>
    <s v="Činnosti organizací dětí a mládeže"/>
    <m/>
    <m/>
    <m/>
    <m/>
    <m/>
    <m/>
    <m/>
    <m/>
    <m/>
    <m/>
    <m/>
    <m/>
    <m/>
    <m/>
    <m/>
    <m/>
    <m/>
  </r>
  <r>
    <s v="17649731"/>
    <s v="Děti Valu, z. s."/>
    <s v="706"/>
    <x v="1"/>
    <x v="1"/>
    <s v="Valašské Meziříčí"/>
    <s v="Valašské Meziříčí, U Abácie 1571, PSČ 75701"/>
    <s v="93110"/>
    <s v="Provozování sportovních zařízení"/>
    <s v="Ostatní sportovní činnosti"/>
    <m/>
    <m/>
    <m/>
    <m/>
    <m/>
    <m/>
    <m/>
    <m/>
    <m/>
    <m/>
    <m/>
    <m/>
    <m/>
    <m/>
    <m/>
    <m/>
  </r>
  <r>
    <s v="06485871"/>
    <s v="Dětská skupina - Konec nudy z.s."/>
    <s v="706"/>
    <x v="1"/>
    <x v="0"/>
    <s v="Zlín"/>
    <s v="Zlín, Hluboká 78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4008"/>
    <s v="Dětské centrum Beruška z.s."/>
    <s v="706"/>
    <x v="1"/>
    <x v="0"/>
    <s v="Zlín"/>
    <s v="Zlín, Ševcovská 335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213215"/>
    <s v="Dětské centrum VLNKA z.s."/>
    <s v="706"/>
    <x v="1"/>
    <x v="0"/>
    <s v="Zlín"/>
    <s v="Zlín, Okružní 5491, PSČ 76005"/>
    <s v="94991"/>
    <s v="Činnosti organizací dětí a mládeže"/>
    <m/>
    <m/>
    <m/>
    <m/>
    <m/>
    <m/>
    <m/>
    <m/>
    <m/>
    <m/>
    <m/>
    <m/>
    <m/>
    <m/>
    <m/>
    <m/>
    <m/>
  </r>
  <r>
    <s v="02628058"/>
    <s v="Dětské sportovní centrum KOŤATA A KOCOUŘI ZLÍN z.ú."/>
    <s v="161"/>
    <x v="3"/>
    <x v="0"/>
    <s v="Zlín"/>
    <s v="Zlín, Slunečná 4560, PSČ 76005"/>
    <s v="9319"/>
    <s v="Ostatní sportovní činnosti"/>
    <m/>
    <m/>
    <m/>
    <m/>
    <m/>
    <m/>
    <m/>
    <m/>
    <m/>
    <m/>
    <m/>
    <m/>
    <m/>
    <m/>
    <m/>
    <m/>
    <m/>
  </r>
  <r>
    <s v="22867856"/>
    <s v="„Dětské studio BAMBINO”"/>
    <s v="706"/>
    <x v="1"/>
    <x v="2"/>
    <s v="Buchlovice"/>
    <s v="Buchlovice, K Buchlovu 69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69180"/>
    <s v="Dětský folklorní soubor Bílovjánek, z.s."/>
    <s v="706"/>
    <x v="1"/>
    <x v="2"/>
    <s v="Bílovice"/>
    <s v="Bílovice 70, PSČ 68712"/>
    <s v="94991"/>
    <s v="Činnosti organizací dětí a mládeže"/>
    <m/>
    <m/>
    <m/>
    <m/>
    <m/>
    <m/>
    <m/>
    <m/>
    <m/>
    <m/>
    <m/>
    <m/>
    <m/>
    <m/>
    <m/>
    <m/>
    <m/>
  </r>
  <r>
    <s v="22879366"/>
    <s v="Dětský folklorní soubor Dolinečka, spolek"/>
    <s v="706"/>
    <x v="1"/>
    <x v="2"/>
    <s v="Staré Město"/>
    <s v="Staré Město, náměstí Hrdinů 10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814155"/>
    <s v="Dětský folklorní soubor Klimentek, z.s."/>
    <s v="706"/>
    <x v="1"/>
    <x v="2"/>
    <s v="Osvětimany"/>
    <s v="Osvětimany 350, PSČ 68742"/>
    <s v="94991"/>
    <s v="Činnosti organizací dětí a mládeže"/>
    <m/>
    <m/>
    <m/>
    <m/>
    <m/>
    <m/>
    <m/>
    <m/>
    <m/>
    <m/>
    <m/>
    <m/>
    <m/>
    <m/>
    <m/>
    <m/>
    <m/>
  </r>
  <r>
    <s v="27047237"/>
    <s v="Dětský folklórní soubor KOPANIČÁREK, spolek, Starý Hrozenkov"/>
    <s v="706"/>
    <x v="1"/>
    <x v="2"/>
    <s v="Starý Hrozenkov"/>
    <s v="Starý Hrozenkov 200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69825"/>
    <s v="Dětský folklórní soubor OLŠAVĚNKA z. s."/>
    <s v="706"/>
    <x v="1"/>
    <x v="2"/>
    <s v="Uherský Brod"/>
    <s v="Uherský Brod, Mariánské nám. 218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45872"/>
    <s v="Dětský folklorní soubor Omladinka, z.s."/>
    <s v="706"/>
    <x v="1"/>
    <x v="2"/>
    <s v="Uherské Hradiště"/>
    <s v="Uherské Hradiště, Vodní 11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4711"/>
    <s v="Dětský folklorní soubor Ovečky, zapsaný spolek"/>
    <s v="706"/>
    <x v="1"/>
    <x v="1"/>
    <s v="Valašské Meziříčí"/>
    <s v="Valašské Meziříčí, Nerudova 635/2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3432"/>
    <s v="Dětský folklorní soubor VRANEČKA z.s."/>
    <s v="706"/>
    <x v="1"/>
    <x v="1"/>
    <s v="Nový Hrozenkov"/>
    <s v="Nový Hrozenkov 845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421567"/>
    <s v="Dětský hokej, z.s."/>
    <s v="706"/>
    <x v="1"/>
    <x v="2"/>
    <s v="Bílovice"/>
    <s v="Bílovice 460, PSČ 68712"/>
    <s v="93110"/>
    <s v="Provozování sportovních zařízení"/>
    <m/>
    <m/>
    <m/>
    <m/>
    <m/>
    <m/>
    <m/>
    <m/>
    <m/>
    <m/>
    <m/>
    <m/>
    <m/>
    <m/>
    <m/>
    <m/>
    <m/>
  </r>
  <r>
    <s v="07616457"/>
    <s v="Dětský lesní klub Jabloňka, z.s."/>
    <s v="706"/>
    <x v="1"/>
    <x v="2"/>
    <s v="Uherský Brod"/>
    <s v="Uherský Brod, Újezdec, 1. května 226, PSČ 68734"/>
    <s v="94991"/>
    <s v="Činnosti organizací dětí a mládeže"/>
    <m/>
    <m/>
    <m/>
    <m/>
    <m/>
    <m/>
    <m/>
    <m/>
    <m/>
    <m/>
    <m/>
    <m/>
    <m/>
    <m/>
    <m/>
    <m/>
    <m/>
  </r>
  <r>
    <s v="26611911"/>
    <s v="DĚTSKÝ SPORTOVNÍ KLUB DRÁČEK z.s."/>
    <s v="706"/>
    <x v="1"/>
    <x v="3"/>
    <s v="Kroměříž"/>
    <s v="Kroměříž, Kotojedská 2590/6, PSČ 76701"/>
    <s v="93110"/>
    <s v="Provozování sportovních zařízení"/>
    <m/>
    <m/>
    <m/>
    <m/>
    <m/>
    <m/>
    <m/>
    <m/>
    <m/>
    <m/>
    <m/>
    <m/>
    <m/>
    <m/>
    <m/>
    <m/>
    <m/>
  </r>
  <r>
    <s v="21198900"/>
    <s v="Dětský svět, z.s."/>
    <s v="706"/>
    <x v="1"/>
    <x v="2"/>
    <s v="Uherský Brod"/>
    <s v="Uherský Brod, nám. Svobody 937, PSČ 68801"/>
    <s v="94991"/>
    <s v="Činnosti organizací dětí a mládeže"/>
    <m/>
    <m/>
    <m/>
    <m/>
    <m/>
    <m/>
    <m/>
    <m/>
    <m/>
    <m/>
    <m/>
    <m/>
    <m/>
    <m/>
    <m/>
    <m/>
    <m/>
  </r>
  <r>
    <s v="65828071"/>
    <s v="Dětský valašský soubor Malá Rusava, z.s."/>
    <s v="706"/>
    <x v="1"/>
    <x v="3"/>
    <s v="Bystřice pod Hostýnem"/>
    <s v="Bystřice pod Hostýnem, Fryčajova 901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7241"/>
    <s v="Děvčice z Kněžpola z.s."/>
    <s v="706"/>
    <x v="1"/>
    <x v="2"/>
    <s v="Kněžpole"/>
    <s v="Kněžpole 336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84487"/>
    <s v="DEVERTICULUM o.s."/>
    <s v="706"/>
    <x v="1"/>
    <x v="3"/>
    <s v="Kroměříž"/>
    <s v="Kroměříž, náměstí Míru 350/2A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3413"/>
    <s v="DEVILS BIKES"/>
    <s v="706"/>
    <x v="1"/>
    <x v="2"/>
    <s v="Uherské Hradiště"/>
    <s v="Uherské Hradiště, náměstí Republiky 941, PSČ 686 01"/>
    <s v="93110"/>
    <s v="Provozování sportovních zařízení"/>
    <m/>
    <m/>
    <m/>
    <m/>
    <m/>
    <m/>
    <m/>
    <m/>
    <m/>
    <m/>
    <m/>
    <m/>
    <m/>
    <m/>
    <m/>
    <m/>
    <m/>
  </r>
  <r>
    <s v="22884114"/>
    <s v="DH Březovjané, z.s."/>
    <s v="706"/>
    <x v="1"/>
    <x v="2"/>
    <s v="Březová"/>
    <s v="Březová 26, PSČ 6876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89199"/>
    <s v="DH Dolněmčanka, z.s."/>
    <s v="706"/>
    <x v="1"/>
    <x v="2"/>
    <s v="Dolní Němčí"/>
    <s v="Dolní Němčí, Hlucká 108, PSČ 687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4701"/>
    <s v="&quot;Diabetes a já o.s.&quot;"/>
    <s v="706"/>
    <x v="1"/>
    <x v="3"/>
    <s v="Kroměříž"/>
    <s v="Kroměříž, Vážany, Osvoboditelů 67/3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67991"/>
    <s v="Diakonie ČCE - středisko CESTA"/>
    <s v="722"/>
    <x v="5"/>
    <x v="2"/>
    <s v="Uherské Hradiště"/>
    <s v="Uherské Hradiště, Na Stavidle 1266, PSČ 68601"/>
    <s v="8810"/>
    <s v="Ambulantní nebo terénní sociální služby pro seniory a osoby se zdravotním postižením"/>
    <s v="Ambulantní nebo terénní sociální služby"/>
    <m/>
    <m/>
    <m/>
    <m/>
    <m/>
    <m/>
    <m/>
    <m/>
    <m/>
    <m/>
    <m/>
    <m/>
    <m/>
    <m/>
    <m/>
    <m/>
  </r>
  <r>
    <s v="73633178"/>
    <s v="Diakonie ČCE - středisko Vsetín"/>
    <s v="722"/>
    <x v="5"/>
    <x v="1"/>
    <s v="Vsetín"/>
    <s v="Vsetín, Strmá 34, PSČ 75501"/>
    <s v="87301"/>
    <s v="Sociální péče v domovech pro seniory"/>
    <s v="Ambulantní nebo terénní sociální služby pro seniory"/>
    <s v="Ambulantní nebo terénní sociální služby pro osoby se zdravotním postižením"/>
    <m/>
    <m/>
    <m/>
    <m/>
    <m/>
    <m/>
    <m/>
    <m/>
    <m/>
    <m/>
    <m/>
    <m/>
    <m/>
    <m/>
    <m/>
  </r>
  <r>
    <s v="73632783"/>
    <s v="Diakonie Valašské Meziříčí"/>
    <s v="722"/>
    <x v="5"/>
    <x v="1"/>
    <s v="Valašské Meziříčí"/>
    <s v="Valašské Meziříčí, Žerotínova 1421, PSČ 75701"/>
    <s v="8810"/>
    <s v="Ambulantní nebo terénní sociální služby pro seniory a osoby se zdravotním postižením"/>
    <m/>
    <m/>
    <m/>
    <m/>
    <m/>
    <m/>
    <m/>
    <m/>
    <m/>
    <m/>
    <m/>
    <m/>
    <m/>
    <m/>
    <m/>
    <m/>
    <m/>
  </r>
  <r>
    <s v="27040861"/>
    <s v="DIALOGO O.S."/>
    <s v="706"/>
    <x v="1"/>
    <x v="3"/>
    <s v="Bystřice pod Hostýnem"/>
    <s v="Bystřice pod Hostýnem, Topolová 1510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0451"/>
    <s v="Didasko, z. s."/>
    <s v="706"/>
    <x v="1"/>
    <x v="3"/>
    <s v="Kroměříž"/>
    <s v="Kroměříž, Moravcova 430/1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935118"/>
    <s v="DiscGolf Club Zlín, z. s."/>
    <s v="706"/>
    <x v="1"/>
    <x v="0"/>
    <s v="Zlín"/>
    <s v="Zlín, Na Honech I 4902, PSČ 76005"/>
    <s v="93190"/>
    <s v="Ostatní sportovní činnosti"/>
    <m/>
    <m/>
    <m/>
    <m/>
    <m/>
    <m/>
    <m/>
    <m/>
    <m/>
    <m/>
    <m/>
    <m/>
    <m/>
    <m/>
    <m/>
    <m/>
    <m/>
  </r>
  <r>
    <s v="22904182"/>
    <s v="DISPEČERKA ZLÍN, o.s."/>
    <s v="706"/>
    <x v="1"/>
    <x v="1"/>
    <s v="Valašské Meziříčí"/>
    <s v="Valašské Meziříčí, Žerotínova 226, PSČ 75701"/>
    <s v="94120"/>
    <s v="Činnosti profesních organizací"/>
    <m/>
    <m/>
    <m/>
    <m/>
    <m/>
    <m/>
    <m/>
    <m/>
    <m/>
    <m/>
    <m/>
    <m/>
    <m/>
    <m/>
    <m/>
    <m/>
    <m/>
  </r>
  <r>
    <s v="07553081"/>
    <s v="Dispozitiv, z. s."/>
    <s v="706"/>
    <x v="1"/>
    <x v="1"/>
    <s v="Valašské Meziříčí"/>
    <s v="Valašské Meziříčí, Bynina 14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3036"/>
    <s v="Divadelní Luhačovice, z.s."/>
    <s v="706"/>
    <x v="1"/>
    <x v="0"/>
    <s v="Luhačovice"/>
    <s v="Luhačovice, Masarykova 185, PSČ 76326"/>
    <s v="90020"/>
    <s v="Podpůrné činnosti pro scénická umění"/>
    <m/>
    <m/>
    <m/>
    <m/>
    <m/>
    <m/>
    <m/>
    <m/>
    <m/>
    <m/>
    <m/>
    <m/>
    <m/>
    <m/>
    <m/>
    <m/>
    <m/>
  </r>
  <r>
    <s v="70867330"/>
    <s v="Divadelní soubor VIDLO Vizovice"/>
    <s v="706"/>
    <x v="1"/>
    <x v="0"/>
    <s v="Vizovice"/>
    <s v="Vizovice, Chrastěšovská 781, PSČ 76312"/>
    <s v="90010"/>
    <s v="Scénická umění"/>
    <m/>
    <m/>
    <m/>
    <m/>
    <m/>
    <m/>
    <m/>
    <m/>
    <m/>
    <m/>
    <m/>
    <m/>
    <m/>
    <m/>
    <m/>
    <m/>
    <m/>
  </r>
  <r>
    <s v="26526395"/>
    <s v="Divadelní soubor XNĚDKU VSETÍN"/>
    <s v="706"/>
    <x v="1"/>
    <x v="1"/>
    <s v="Vsetín"/>
    <s v="Vsetín, Jiráskova 1813, PSČ 75501"/>
    <s v="90010"/>
    <s v="Scénická umění"/>
    <m/>
    <m/>
    <m/>
    <m/>
    <m/>
    <m/>
    <m/>
    <m/>
    <m/>
    <m/>
    <m/>
    <m/>
    <m/>
    <m/>
    <m/>
    <m/>
    <m/>
  </r>
  <r>
    <s v="26592223"/>
    <s v="Divadelní společnost J.K.Tyla Buchlovice, z.s."/>
    <s v="706"/>
    <x v="1"/>
    <x v="2"/>
    <s v="Buchlovice"/>
    <s v="Buchlovice, Boženy Němcové 584, PSČ 68708"/>
    <s v="90010"/>
    <s v="Scénická umění"/>
    <m/>
    <m/>
    <m/>
    <m/>
    <m/>
    <m/>
    <m/>
    <m/>
    <m/>
    <m/>
    <m/>
    <m/>
    <m/>
    <m/>
    <m/>
    <m/>
    <m/>
  </r>
  <r>
    <s v="07704046"/>
    <s v="Divadelní spolek Břest"/>
    <s v="706"/>
    <x v="1"/>
    <x v="3"/>
    <s v="Břest"/>
    <s v="Břest 87, PSČ 768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367621"/>
    <s v="divadelní spolek BUMBÁC"/>
    <s v="706"/>
    <x v="1"/>
    <x v="2"/>
    <s v="Hluk"/>
    <s v="Hluk, Mladá 779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640351"/>
    <s v="Divadelní spolek CHAOS"/>
    <s v="706"/>
    <x v="1"/>
    <x v="1"/>
    <s v="Valašská Bystřice"/>
    <s v="Valašská Bystřice 222, PSČ 7562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8626"/>
    <s v="Divadelní spolek D6K"/>
    <s v="706"/>
    <x v="1"/>
    <x v="3"/>
    <s v="Holešov"/>
    <s v="Holešov, Střelnice 202/10, PSČ 76901"/>
    <s v="90010"/>
    <s v="Scénická umění"/>
    <m/>
    <m/>
    <m/>
    <m/>
    <m/>
    <m/>
    <m/>
    <m/>
    <m/>
    <m/>
    <m/>
    <m/>
    <m/>
    <m/>
    <m/>
    <m/>
    <m/>
  </r>
  <r>
    <s v="21494703"/>
    <s v="Divadelní spolek Haleny, z. s."/>
    <s v="706"/>
    <x v="1"/>
    <x v="0"/>
    <s v="Halenkovice"/>
    <s v="Halenkovice 787, PSČ 763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3430"/>
    <s v="Divadelní spolek Jana Honsy Karolinka"/>
    <s v="706"/>
    <x v="1"/>
    <x v="1"/>
    <s v="Karolinka"/>
    <s v="Karolinka, Radniční náměstí 42, PSČ 75605"/>
    <s v="90010"/>
    <s v="Scénická umění"/>
    <m/>
    <m/>
    <m/>
    <m/>
    <m/>
    <m/>
    <m/>
    <m/>
    <m/>
    <m/>
    <m/>
    <m/>
    <m/>
    <m/>
    <m/>
    <m/>
    <m/>
  </r>
  <r>
    <s v="08299757"/>
    <s v="Divadelní spolek Jestli vůbec"/>
    <s v="706"/>
    <x v="1"/>
    <x v="1"/>
    <s v="Valašské Meziříčí"/>
    <s v="Valašské Meziříčí, Havlíčkova 1180, PSČ 75701"/>
    <s v="90010"/>
    <s v="Scénická umění"/>
    <m/>
    <m/>
    <m/>
    <m/>
    <m/>
    <m/>
    <m/>
    <m/>
    <m/>
    <m/>
    <m/>
    <m/>
    <m/>
    <m/>
    <m/>
    <m/>
    <m/>
  </r>
  <r>
    <s v="27035018"/>
    <s v="Divadelní spolek Kroměříž z.s."/>
    <s v="706"/>
    <x v="1"/>
    <x v="3"/>
    <s v="Kroměříž"/>
    <s v="Kroměříž, Prusinovského 114/2, PSČ 76701"/>
    <s v="90010"/>
    <s v="Scénická umění"/>
    <m/>
    <m/>
    <m/>
    <m/>
    <m/>
    <m/>
    <m/>
    <m/>
    <m/>
    <m/>
    <m/>
    <m/>
    <m/>
    <m/>
    <m/>
    <m/>
    <m/>
  </r>
  <r>
    <s v="03160017"/>
    <s v="Divadelní spolek Neřešto"/>
    <s v="706"/>
    <x v="1"/>
    <x v="1"/>
    <s v="Police"/>
    <s v="Police 142, PSČ 75644"/>
    <s v="90010"/>
    <s v="Scénická umění"/>
    <m/>
    <m/>
    <m/>
    <m/>
    <m/>
    <m/>
    <m/>
    <m/>
    <m/>
    <m/>
    <m/>
    <m/>
    <m/>
    <m/>
    <m/>
    <m/>
    <m/>
  </r>
  <r>
    <s v="06495630"/>
    <s v="Divadelní spolek &quot;Pod lampú&quot; Bánov, z.s."/>
    <s v="706"/>
    <x v="1"/>
    <x v="2"/>
    <s v="Bánov"/>
    <s v="Bánov 700, PSČ 68754"/>
    <s v="90010"/>
    <s v="Scénická umění"/>
    <m/>
    <m/>
    <m/>
    <m/>
    <m/>
    <m/>
    <m/>
    <m/>
    <m/>
    <m/>
    <m/>
    <m/>
    <m/>
    <m/>
    <m/>
    <m/>
    <m/>
  </r>
  <r>
    <s v="22759697"/>
    <s v="“Divadelní spolek pro povznesení kulturní negramotnosti”"/>
    <s v="706"/>
    <x v="1"/>
    <x v="2"/>
    <s v="Uherské Hradiště"/>
    <s v="Uherské Hradiště, Míkovice, Na Příkopě 12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708366"/>
    <s v="Divadelní spolek Slavkov pod Hostýnem"/>
    <s v="706"/>
    <x v="1"/>
    <x v="3"/>
    <s v="Slavkov pod Hostýnem"/>
    <s v="Slavkov pod Hostýnem 57, PSČ 76861"/>
    <s v="90010"/>
    <s v="Scénická umění"/>
    <m/>
    <m/>
    <m/>
    <m/>
    <m/>
    <m/>
    <m/>
    <m/>
    <m/>
    <m/>
    <m/>
    <m/>
    <m/>
    <m/>
    <m/>
    <m/>
    <m/>
  </r>
  <r>
    <s v="67010318"/>
    <s v="Divadelní spolek Studio T, z.s."/>
    <s v="706"/>
    <x v="1"/>
    <x v="0"/>
    <s v="Zlín"/>
    <s v="Zlín, třída Tomáše Bati 204, PSČ 76001"/>
    <s v="90010"/>
    <s v="Scénická umění"/>
    <m/>
    <m/>
    <m/>
    <m/>
    <m/>
    <m/>
    <m/>
    <m/>
    <m/>
    <m/>
    <m/>
    <m/>
    <m/>
    <m/>
    <m/>
    <m/>
    <m/>
  </r>
  <r>
    <s v="22689842"/>
    <s v="Divadelní spolek UH, o.s."/>
    <s v="706"/>
    <x v="1"/>
    <x v="2"/>
    <s v="Uherské Hradiště"/>
    <s v="Uherské Hradiště, Hradební 1198, PSČ 68601"/>
    <s v="90010"/>
    <s v="Scénická umění"/>
    <m/>
    <m/>
    <m/>
    <m/>
    <m/>
    <m/>
    <m/>
    <m/>
    <m/>
    <m/>
    <m/>
    <m/>
    <m/>
    <m/>
    <m/>
    <m/>
    <m/>
  </r>
  <r>
    <s v="07577303"/>
    <s v="Divadelní studio Viktorka z.s."/>
    <s v="706"/>
    <x v="1"/>
    <x v="3"/>
    <s v="Holešov"/>
    <s v="Holešov, Všetuly, Družby 1381, PSČ 76901"/>
    <s v="90010"/>
    <s v="Scénická umění"/>
    <m/>
    <m/>
    <m/>
    <m/>
    <m/>
    <m/>
    <m/>
    <m/>
    <m/>
    <m/>
    <m/>
    <m/>
    <m/>
    <m/>
    <m/>
    <m/>
    <m/>
  </r>
  <r>
    <s v="01892487"/>
    <s v="Divadelní studio Yvetty Tannenbergerové, o.p.s."/>
    <s v="141"/>
    <x v="2"/>
    <x v="2"/>
    <s v="Uherské Hradiště"/>
    <s v="Uherské Hradiště, Tř. Maršála Malinovského 790, PSČ 68601"/>
    <s v="855"/>
    <s v="Ostatní vzdělávání"/>
    <s v="Podpůrné činnosti pro scénická umění"/>
    <m/>
    <m/>
    <m/>
    <m/>
    <m/>
    <m/>
    <m/>
    <m/>
    <m/>
    <m/>
    <m/>
    <m/>
    <m/>
    <m/>
    <m/>
    <m/>
  </r>
  <r>
    <s v="26533588"/>
    <s v="Divadlo BLIC, z. s."/>
    <s v="706"/>
    <x v="1"/>
    <x v="2"/>
    <s v="Ostrožská Nová Ves"/>
    <s v="Ostrožská Nová Ves, Záhumení 754, PSČ 68722"/>
    <s v="90010"/>
    <s v="Scénická umění"/>
    <m/>
    <m/>
    <m/>
    <m/>
    <m/>
    <m/>
    <m/>
    <m/>
    <m/>
    <m/>
    <m/>
    <m/>
    <m/>
    <m/>
    <m/>
    <m/>
    <m/>
  </r>
  <r>
    <s v="48506397"/>
    <s v="DIVADLO BROD, spolek"/>
    <s v="706"/>
    <x v="1"/>
    <x v="2"/>
    <s v="Uherský Brod"/>
    <s v="Uherský Brod, Mariánské nám. 2187, PSČ 68801"/>
    <s v="90010"/>
    <s v="Scénická umění"/>
    <m/>
    <m/>
    <m/>
    <m/>
    <m/>
    <m/>
    <m/>
    <m/>
    <m/>
    <m/>
    <m/>
    <m/>
    <m/>
    <m/>
    <m/>
    <m/>
    <m/>
  </r>
  <r>
    <s v="21289107"/>
    <s v="Divadlo Hulín z.s."/>
    <s v="706"/>
    <x v="1"/>
    <x v="3"/>
    <s v="Hulín"/>
    <s v="Hulín, Poštovní 480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0473"/>
    <s v="Divadlo kamaráda Toma"/>
    <s v="706"/>
    <x v="1"/>
    <x v="0"/>
    <s v="Valašské Klobouky"/>
    <s v="Valašské Klobouky, Cyrilometodějská 645, PSČ 76601"/>
    <s v="90010"/>
    <s v="Scénická umění"/>
    <m/>
    <m/>
    <m/>
    <m/>
    <m/>
    <m/>
    <m/>
    <m/>
    <m/>
    <m/>
    <m/>
    <m/>
    <m/>
    <m/>
    <m/>
    <m/>
    <m/>
  </r>
  <r>
    <s v="05717027"/>
    <s v="Divadlo Meteora, z.s."/>
    <s v="706"/>
    <x v="1"/>
    <x v="1"/>
    <s v="Vsetín"/>
    <s v="Vsetín, Lidická 1969, PSČ 75501"/>
    <s v="90010"/>
    <s v="Scénická umění"/>
    <m/>
    <m/>
    <m/>
    <m/>
    <m/>
    <m/>
    <m/>
    <m/>
    <m/>
    <m/>
    <m/>
    <m/>
    <m/>
    <m/>
    <m/>
    <m/>
    <m/>
  </r>
  <r>
    <s v="48471917"/>
    <s v="Divadlo OPONA, z. s."/>
    <s v="706"/>
    <x v="1"/>
    <x v="0"/>
    <s v="Želechovice nad Dřevnicí"/>
    <s v="Želechovice nad Dřevnicí, 4. května 68, PSČ 76311"/>
    <s v="90010"/>
    <s v="Scénická umění"/>
    <m/>
    <m/>
    <m/>
    <m/>
    <m/>
    <m/>
    <m/>
    <m/>
    <m/>
    <m/>
    <m/>
    <m/>
    <m/>
    <m/>
    <m/>
    <m/>
    <m/>
  </r>
  <r>
    <s v="26582678"/>
    <s v="Divadlo PAŘEZ"/>
    <s v="706"/>
    <x v="1"/>
    <x v="0"/>
    <s v="Slavičín"/>
    <s v="Slavičín, Družstevní 670, PSČ 76321"/>
    <s v="90010"/>
    <s v="Scénická umění"/>
    <m/>
    <m/>
    <m/>
    <m/>
    <m/>
    <m/>
    <m/>
    <m/>
    <m/>
    <m/>
    <m/>
    <m/>
    <m/>
    <m/>
    <m/>
    <m/>
    <m/>
  </r>
  <r>
    <s v="27029433"/>
    <s v="DIVADLO PRO RADOST"/>
    <s v="706"/>
    <x v="1"/>
    <x v="2"/>
    <s v="Uherské Hradiště"/>
    <s v="Uherské Hradiště, Mařatice, Konečná 983, PSČ 68605"/>
    <s v="90010"/>
    <s v="Scénická umění"/>
    <m/>
    <m/>
    <m/>
    <m/>
    <m/>
    <m/>
    <m/>
    <m/>
    <m/>
    <m/>
    <m/>
    <m/>
    <m/>
    <m/>
    <m/>
    <m/>
    <m/>
  </r>
  <r>
    <s v="22759310"/>
    <s v="„Divadlo Příběh Otrokovice, o.s.”"/>
    <s v="706"/>
    <x v="1"/>
    <x v="0"/>
    <s v="Otrokovice"/>
    <s v="Otrokovice, Prostřední 444, PSČ 76502"/>
    <s v="90010"/>
    <s v="Scénická umění"/>
    <m/>
    <m/>
    <m/>
    <m/>
    <m/>
    <m/>
    <m/>
    <m/>
    <m/>
    <m/>
    <m/>
    <m/>
    <m/>
    <m/>
    <m/>
    <m/>
    <m/>
  </r>
  <r>
    <s v="22764003"/>
    <s v="Divadlo Schod z.s."/>
    <s v="706"/>
    <x v="1"/>
    <x v="1"/>
    <s v="Zašová"/>
    <s v="Zašová 472, PSČ 75651"/>
    <s v="90010"/>
    <s v="Scénická umění"/>
    <m/>
    <m/>
    <m/>
    <m/>
    <m/>
    <m/>
    <m/>
    <m/>
    <m/>
    <m/>
    <m/>
    <m/>
    <m/>
    <m/>
    <m/>
    <m/>
    <m/>
  </r>
  <r>
    <s v="26583283"/>
    <s v="Divadlo v Lidovém domě, z.s."/>
    <s v="706"/>
    <x v="1"/>
    <x v="1"/>
    <s v="Vsetín"/>
    <s v="Vsetín, Mostecká 362, PSČ 75501"/>
    <s v="90010"/>
    <s v="Scénická umění"/>
    <m/>
    <m/>
    <m/>
    <m/>
    <m/>
    <m/>
    <m/>
    <m/>
    <m/>
    <m/>
    <m/>
    <m/>
    <m/>
    <m/>
    <m/>
    <m/>
    <m/>
  </r>
  <r>
    <s v="07042591"/>
    <s v="Diva-ženy, z. s."/>
    <s v="706"/>
    <x v="1"/>
    <x v="0"/>
    <s v="Brumov-Bylnice"/>
    <s v="Brumov-Bylnice, Brumov, Rozkvět 707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5360"/>
    <s v="Dívčí fotbalový klub Holešov, z.s."/>
    <s v="706"/>
    <x v="1"/>
    <x v="3"/>
    <s v="Holešov"/>
    <s v="Holešov, Tyršova 1561, PSČ 76901"/>
    <s v="93120"/>
    <s v="Činnosti sportovních klubů"/>
    <m/>
    <m/>
    <m/>
    <m/>
    <m/>
    <m/>
    <m/>
    <m/>
    <m/>
    <m/>
    <m/>
    <m/>
    <m/>
    <m/>
    <m/>
    <m/>
    <m/>
  </r>
  <r>
    <s v="49157191"/>
    <s v="Dívčí saxofonový orchestr, z.s."/>
    <s v="706"/>
    <x v="1"/>
    <x v="0"/>
    <s v="Luhačovice"/>
    <s v="Luhačovice, Leoše Janáčka 854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34410"/>
    <s v="DiveClub Vsetín, z.s."/>
    <s v="706"/>
    <x v="1"/>
    <x v="1"/>
    <s v="Vsetín"/>
    <s v="Vsetín, Josefa Sousedíka 1730, PSČ 75501"/>
    <s v="93190"/>
    <s v="Ostatní sportovní činnosti"/>
    <m/>
    <m/>
    <m/>
    <m/>
    <m/>
    <m/>
    <m/>
    <m/>
    <m/>
    <m/>
    <m/>
    <m/>
    <m/>
    <m/>
    <m/>
    <m/>
    <m/>
  </r>
  <r>
    <s v="22245928"/>
    <s v="Divinum Wallachian Choir ženský pěvecký sbor, z.s."/>
    <s v="706"/>
    <x v="1"/>
    <x v="1"/>
    <s v="Prlov"/>
    <s v="Prlov 162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8933"/>
    <s v="Dixseal, o.s."/>
    <s v="706"/>
    <x v="1"/>
    <x v="0"/>
    <s v="Zlín"/>
    <s v="Zlín, Gahurova 526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185403"/>
    <s v="D+K Valašské Meziříčí"/>
    <s v="706"/>
    <x v="1"/>
    <x v="1"/>
    <s v="Valašské Meziříčí"/>
    <s v="Valašské Meziříčí, Vsetínská 553, PSČ 75701"/>
    <s v="93190"/>
    <s v="Ostatní sportovní činnosti"/>
    <m/>
    <m/>
    <m/>
    <m/>
    <m/>
    <m/>
    <m/>
    <m/>
    <m/>
    <m/>
    <m/>
    <m/>
    <m/>
    <m/>
    <m/>
    <m/>
    <m/>
  </r>
  <r>
    <s v="08942455"/>
    <s v="Dlaně, z.s."/>
    <s v="706"/>
    <x v="1"/>
    <x v="3"/>
    <s v="Hulín"/>
    <s v="Hulín, Kostelní 139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307235"/>
    <s v="DMFM z. s."/>
    <s v="706"/>
    <x v="1"/>
    <x v="3"/>
    <s v="Morkovice-Slížany"/>
    <s v="Morkovice-Slížany, Morkovice, Nádražní 17, PSČ 76833"/>
    <s v="94991"/>
    <s v="Činnosti organizací dětí a mládeže"/>
    <m/>
    <m/>
    <m/>
    <m/>
    <m/>
    <m/>
    <m/>
    <m/>
    <m/>
    <m/>
    <m/>
    <m/>
    <m/>
    <m/>
    <m/>
    <m/>
    <m/>
  </r>
  <r>
    <s v="22829016"/>
    <s v="Dobrá nálada Vítová"/>
    <s v="706"/>
    <x v="1"/>
    <x v="0"/>
    <s v="Fryšták"/>
    <s v="Fryšták, Vítová 26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421659"/>
    <s v="DOBRÁ neziskovka z.s."/>
    <s v="706"/>
    <x v="1"/>
    <x v="0"/>
    <s v="Halenkovice"/>
    <s v="Halenkovice 680, PSČ 76363"/>
    <s v="855"/>
    <s v="Ostatní vzdělávání"/>
    <s v="Programování"/>
    <m/>
    <m/>
    <m/>
    <m/>
    <m/>
    <m/>
    <m/>
    <m/>
    <m/>
    <m/>
    <m/>
    <m/>
    <m/>
    <m/>
    <m/>
    <m/>
  </r>
  <r>
    <s v="22610448"/>
    <s v="Dobré ruce, z.s."/>
    <s v="706"/>
    <x v="1"/>
    <x v="0"/>
    <s v="Zlín"/>
    <s v="Zlín, Nad Vývozem 4822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32246"/>
    <s v="Dobrovolná záchranářská brigáda UTB"/>
    <s v="706"/>
    <x v="1"/>
    <x v="2"/>
    <s v="Uherské Hradiště"/>
    <s v="Uherské Hradiště, Mařatice, Studentské náměstí 153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9364"/>
    <s v="Dobrovolné rybářské sdružení Skaštice, z.s."/>
    <s v="706"/>
    <x v="1"/>
    <x v="3"/>
    <s v="Skaštice"/>
    <s v="Skaštice 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7111"/>
    <s v="DOCK O.S."/>
    <s v="706"/>
    <x v="1"/>
    <x v="2"/>
    <s v="Kostelany nad Moravou"/>
    <s v="Kostelany nad Moravou 72, PSČ 68601"/>
    <s v="94991"/>
    <s v="Činnosti organizací dětí a mládeže"/>
    <m/>
    <m/>
    <m/>
    <m/>
    <m/>
    <m/>
    <m/>
    <m/>
    <m/>
    <m/>
    <m/>
    <m/>
    <m/>
    <m/>
    <m/>
    <m/>
    <m/>
  </r>
  <r>
    <s v="22034757"/>
    <s v="Dodgeball Olomouc z. s."/>
    <s v="706"/>
    <x v="1"/>
    <x v="0"/>
    <s v="Zlín"/>
    <s v="Zlín, Mladcová, Návesní 14, PSČ 76001"/>
    <s v="93190"/>
    <s v="Ostatní sportovní činnosti"/>
    <m/>
    <m/>
    <m/>
    <m/>
    <m/>
    <m/>
    <m/>
    <m/>
    <m/>
    <m/>
    <m/>
    <m/>
    <m/>
    <m/>
    <m/>
    <m/>
    <m/>
  </r>
  <r>
    <s v="05419131"/>
    <s v="DOGSWELL z.s."/>
    <s v="706"/>
    <x v="1"/>
    <x v="1"/>
    <s v="Kelč"/>
    <s v="Kelč, Babice 34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806095"/>
    <s v="Dohled na dosah, z.s."/>
    <s v="706"/>
    <x v="1"/>
    <x v="1"/>
    <s v="Valašské Meziříčí"/>
    <s v="Valašské Meziříčí, Žerotínova 1421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9697"/>
    <s v="DOK"/>
    <s v="706"/>
    <x v="1"/>
    <x v="3"/>
    <s v="Kroměříž"/>
    <s v="Kroměříž, Obvodová 3789/2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673802"/>
    <s v="Dokkálfar z. s."/>
    <s v="706"/>
    <x v="1"/>
    <x v="2"/>
    <s v="Šumice"/>
    <s v="Šumice 245, PSČ 687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0652"/>
    <s v="Dokopy, zapsaný spolek"/>
    <s v="706"/>
    <x v="1"/>
    <x v="0"/>
    <s v="Vlachovice"/>
    <s v="Vlachovice 115, PSČ 76324"/>
    <s v="94995"/>
    <s v="Činnosti environmentálních a ekologických hnutí"/>
    <m/>
    <m/>
    <m/>
    <m/>
    <m/>
    <m/>
    <m/>
    <m/>
    <m/>
    <m/>
    <m/>
    <m/>
    <m/>
    <m/>
    <m/>
    <m/>
    <m/>
  </r>
  <r>
    <s v="26647371"/>
    <s v="Dolly Team Otrokovice 1992"/>
    <s v="706"/>
    <x v="1"/>
    <x v="0"/>
    <s v="Otrokovice"/>
    <s v="Otrokovice, K. Čapka 1256, PSČ 76502"/>
    <s v="93110"/>
    <s v="Provozování sportovních zařízení"/>
    <m/>
    <m/>
    <m/>
    <m/>
    <m/>
    <m/>
    <m/>
    <m/>
    <m/>
    <m/>
    <m/>
    <m/>
    <m/>
    <m/>
    <m/>
    <m/>
    <m/>
  </r>
  <r>
    <s v="22820230"/>
    <s v="&quot;Dolňáci cimbálová muzika, z.s.&quot;"/>
    <s v="706"/>
    <x v="1"/>
    <x v="2"/>
    <s v="Staré Město"/>
    <s v="Staré Město, Nerudova 1406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729089"/>
    <s v="Dolní Kudlov, z.s."/>
    <s v="706"/>
    <x v="1"/>
    <x v="3"/>
    <s v="Holešov"/>
    <s v="Holešov, Osvobození 1378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262500"/>
    <s v="Dolnolhotský triatlon, z.s."/>
    <s v="706"/>
    <x v="1"/>
    <x v="0"/>
    <s v="Dolní Lhota"/>
    <s v="Dolní Lhota 158, PSČ 76323"/>
    <s v="93190"/>
    <s v="Ostatní sportovní činnosti"/>
    <m/>
    <m/>
    <m/>
    <m/>
    <m/>
    <m/>
    <m/>
    <m/>
    <m/>
    <m/>
    <m/>
    <m/>
    <m/>
    <m/>
    <m/>
    <m/>
    <m/>
  </r>
  <r>
    <s v="23210320"/>
    <s v="Doma v srdci, z. s."/>
    <s v="706"/>
    <x v="1"/>
    <x v="2"/>
    <s v="Uherské Hradiště"/>
    <s v="Uherské Hradiště, Otakarova 152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69324"/>
    <s v="Domek - prevence, podpora, výchova, vzdělávání, terapie, z. s."/>
    <s v="706"/>
    <x v="1"/>
    <x v="0"/>
    <s v="Zlín"/>
    <s v="Zlín, Lužkovice, Pod Tvrzí 62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2476"/>
    <s v="DOMINO cz, o. p. s."/>
    <s v="141"/>
    <x v="2"/>
    <x v="0"/>
    <s v="Zlín"/>
    <s v="Zlín, třída Tomáše Bati 3244, PSČ 76001"/>
    <s v="94991"/>
    <s v="Činnosti organizací dětí a mládeže"/>
    <m/>
    <m/>
    <m/>
    <m/>
    <m/>
    <m/>
    <m/>
    <m/>
    <m/>
    <m/>
    <m/>
    <m/>
    <m/>
    <m/>
    <m/>
    <m/>
    <m/>
  </r>
  <r>
    <s v="48489522"/>
    <s v="Domkářský singulární spolek v Komni"/>
    <s v="706"/>
    <x v="1"/>
    <x v="2"/>
    <s v="Komňa"/>
    <s v="Komňa"/>
    <s v="02"/>
    <s v="Lesnictví a těžba dřeva"/>
    <m/>
    <m/>
    <m/>
    <m/>
    <m/>
    <m/>
    <m/>
    <m/>
    <m/>
    <m/>
    <m/>
    <m/>
    <m/>
    <m/>
    <m/>
    <m/>
    <m/>
  </r>
  <r>
    <s v="05292409"/>
    <s v="Domov Důstojnost  - Kout na Šumavě z.ú."/>
    <s v="161"/>
    <x v="3"/>
    <x v="3"/>
    <s v="Kroměříž"/>
    <s v="Kroměříž, náměstí Míru 3287/13, PSČ 76701"/>
    <s v="87301"/>
    <s v="Sociální péče v domovech pro seniory"/>
    <m/>
    <m/>
    <m/>
    <m/>
    <m/>
    <m/>
    <m/>
    <m/>
    <m/>
    <m/>
    <m/>
    <m/>
    <m/>
    <m/>
    <m/>
    <m/>
    <m/>
  </r>
  <r>
    <s v="05292425"/>
    <s v="Domov Důstojnost - Kroměříž z.ú."/>
    <s v="161"/>
    <x v="3"/>
    <x v="3"/>
    <s v="Kroměříž"/>
    <s v="Kroměříž, náměstí Míru 3287/13, PSČ 76701"/>
    <s v="87301"/>
    <s v="Sociální péče v domovech pro seniory"/>
    <m/>
    <m/>
    <m/>
    <m/>
    <m/>
    <m/>
    <m/>
    <m/>
    <m/>
    <m/>
    <m/>
    <m/>
    <m/>
    <m/>
    <m/>
    <m/>
    <m/>
  </r>
  <r>
    <s v="22816046"/>
    <s v="Dotační servis o.s."/>
    <s v="706"/>
    <x v="1"/>
    <x v="0"/>
    <s v="Zlín"/>
    <s v="Zlín, Prštné, Jiráskova 57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44406"/>
    <s v="Dovolte Nám platit dluhy z.s."/>
    <s v="706"/>
    <x v="1"/>
    <x v="2"/>
    <s v="Uherské Hradiště"/>
    <s v="Uherské Hradiště, náměstí Republiky 956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1645"/>
    <s v="dp Lukostřelba Zlín z.s."/>
    <s v="706"/>
    <x v="1"/>
    <x v="0"/>
    <s v="Zlín"/>
    <s v="Zlín, Osvoboditelů 3778, PSČ 76001"/>
    <s v="93190"/>
    <s v="Ostatní sportovní činnosti"/>
    <m/>
    <m/>
    <m/>
    <m/>
    <m/>
    <m/>
    <m/>
    <m/>
    <m/>
    <m/>
    <m/>
    <m/>
    <m/>
    <m/>
    <m/>
    <m/>
    <m/>
  </r>
  <r>
    <s v="22734732"/>
    <s v="Dračí lodě Ostrožská Nová Ves"/>
    <s v="706"/>
    <x v="1"/>
    <x v="2"/>
    <s v="Ostrožská Nová Ves"/>
    <s v="Ostrožská Nová Ves, Chylice, Na rybníčku 284, PSČ 68722"/>
    <s v="93110"/>
    <s v="Provozování sportovních zařízení"/>
    <m/>
    <m/>
    <m/>
    <m/>
    <m/>
    <m/>
    <m/>
    <m/>
    <m/>
    <m/>
    <m/>
    <m/>
    <m/>
    <m/>
    <m/>
    <m/>
    <m/>
  </r>
  <r>
    <s v="47935251"/>
    <s v="DRÁSAL TEAM HOLEŠOV z.s."/>
    <s v="706"/>
    <x v="1"/>
    <x v="3"/>
    <s v="Holešov"/>
    <s v="Holešov, Střelnice 208/47, PSČ 76901"/>
    <s v="931"/>
    <s v="Sportovní činnosti"/>
    <m/>
    <m/>
    <m/>
    <m/>
    <m/>
    <m/>
    <m/>
    <m/>
    <m/>
    <m/>
    <m/>
    <m/>
    <m/>
    <m/>
    <m/>
    <m/>
    <m/>
  </r>
  <r>
    <s v="46311297"/>
    <s v="Dreams Country Zlín"/>
    <s v="706"/>
    <x v="1"/>
    <x v="0"/>
    <s v="Zlín"/>
    <s v="Zlín, Na Honech 4899, PSČ 760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007427"/>
    <s v="Drgis Racing Team z.s."/>
    <s v="706"/>
    <x v="1"/>
    <x v="0"/>
    <s v="Újezd"/>
    <s v="Újezd 390, PSČ 763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26493"/>
    <s v="DRIVER ZONE"/>
    <s v="706"/>
    <x v="1"/>
    <x v="1"/>
    <s v="Valašské Meziříčí"/>
    <s v="Valašské Meziříčí, Poláškova 76/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5197"/>
    <s v="&quot;Dr.Range o.s.&quot;"/>
    <s v="706"/>
    <x v="1"/>
    <x v="2"/>
    <s v="Staré Město"/>
    <s v="Staré Město, Kopánky 1725, PSČ 68603"/>
    <s v="93110"/>
    <s v="Provozování sportovních zařízení"/>
    <m/>
    <m/>
    <m/>
    <m/>
    <m/>
    <m/>
    <m/>
    <m/>
    <m/>
    <m/>
    <m/>
    <m/>
    <m/>
    <m/>
    <m/>
    <m/>
    <m/>
  </r>
  <r>
    <s v="47930322"/>
    <s v="Družstevník Střílky, z.s."/>
    <s v="706"/>
    <x v="1"/>
    <x v="3"/>
    <s v="Střílky"/>
    <s v="Střílky, Zámecká 317, PSČ 76804"/>
    <s v="93110"/>
    <s v="Provozování sportovních zařízení"/>
    <m/>
    <m/>
    <m/>
    <m/>
    <m/>
    <m/>
    <m/>
    <m/>
    <m/>
    <m/>
    <m/>
    <m/>
    <m/>
    <m/>
    <m/>
    <m/>
    <m/>
  </r>
  <r>
    <s v="02426391"/>
    <s v="Družstvo lidového domu v Novém Hrozenkově"/>
    <s v="706"/>
    <x v="1"/>
    <x v="1"/>
    <s v="Nový Hrozenkov"/>
    <s v="Nový Hrozenkov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4909"/>
    <s v="Drymtym Holešov"/>
    <s v="706"/>
    <x v="1"/>
    <x v="3"/>
    <s v="Holešov"/>
    <s v="Holešov, Novosady 1366, PSČ 76901"/>
    <s v="93110"/>
    <s v="Provozování sportovních zařízení"/>
    <m/>
    <m/>
    <m/>
    <m/>
    <m/>
    <m/>
    <m/>
    <m/>
    <m/>
    <m/>
    <m/>
    <m/>
    <m/>
    <m/>
    <m/>
    <m/>
    <m/>
  </r>
  <r>
    <s v="22747541"/>
    <s v="Dřínovský spolek pro místní historii"/>
    <s v="706"/>
    <x v="1"/>
    <x v="3"/>
    <s v="Dřínov"/>
    <s v="Dřínov 28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55814"/>
    <s v="DS Jednička z. s."/>
    <s v="706"/>
    <x v="1"/>
    <x v="2"/>
    <s v="Staré Město"/>
    <s v="Staré Město, Salašská 2182, PSČ 68603"/>
    <s v="93120"/>
    <s v="Činnosti sportovních klubů"/>
    <s v="Velkoobchod, kromě motorových vozidel"/>
    <s v="Maloobchod, kromě motorových vozidel"/>
    <s v="Zprostředkování velkoobchodu a velkoobchod v zastoupení"/>
    <s v="Ostatní vzdělávání"/>
    <s v="Ostatní profesní, vědecké a technické činnosti j. n."/>
    <s v="Činnosti cestovních agentur"/>
    <s v="Podpůrné činnosti pro scénická umění"/>
    <s v="Ostatní sportovní činnosti"/>
    <m/>
    <m/>
    <m/>
    <m/>
    <m/>
    <m/>
    <m/>
    <m/>
    <m/>
  </r>
  <r>
    <s v="22723153"/>
    <s v="DSK Rybníček z. s."/>
    <s v="706"/>
    <x v="1"/>
    <x v="2"/>
    <s v="Staré Město"/>
    <s v="Staré Město, Salašská 2182, PSČ 68603"/>
    <s v="93110"/>
    <s v="Provozování sportovních zařízení"/>
    <s v="Výroba, obchod a služby neuvedené v přílohách 1 až 3 živnostenského zákona"/>
    <s v="Činnosti ostatních organizací sdružujících osoby za účelem prosazování společných zájmů j. n."/>
    <s v="Sociální služby poskytované dětem"/>
    <s v="Ostatní zábavní a rekreační činnosti j. n."/>
    <m/>
    <m/>
    <m/>
    <m/>
    <m/>
    <m/>
    <m/>
    <m/>
    <m/>
    <m/>
    <m/>
    <m/>
    <m/>
  </r>
  <r>
    <s v="26658453"/>
    <s v="DT Swiss Bike Team"/>
    <s v="706"/>
    <x v="1"/>
    <x v="0"/>
    <s v="Otrokovice"/>
    <s v="Otrokovice, Wolkerova 1273, PSČ 76502"/>
    <s v="93110"/>
    <s v="Provozování sportovních zařízení"/>
    <m/>
    <m/>
    <m/>
    <m/>
    <m/>
    <m/>
    <m/>
    <m/>
    <m/>
    <m/>
    <m/>
    <m/>
    <m/>
    <m/>
    <m/>
    <m/>
    <m/>
  </r>
  <r>
    <s v="02442451"/>
    <s v="DTJ Krhová-Valašské Meziříčí"/>
    <s v="706"/>
    <x v="1"/>
    <x v="1"/>
    <s v="Valašské Meziříčí"/>
    <s v="Valašské Meziříčí"/>
    <s v="93110"/>
    <s v="Provozování sportovních zařízení"/>
    <m/>
    <m/>
    <m/>
    <m/>
    <m/>
    <m/>
    <m/>
    <m/>
    <m/>
    <m/>
    <m/>
    <m/>
    <m/>
    <m/>
    <m/>
    <m/>
    <m/>
  </r>
  <r>
    <s v="02442434"/>
    <s v="DTJ Valašské Meziříčí"/>
    <s v="706"/>
    <x v="1"/>
    <x v="1"/>
    <s v="Valašské Meziříčí"/>
    <s v="Valašské Meziříčí, Sokolská 1089, PSČ 75701"/>
    <s v="93110"/>
    <s v="Provozování sportovních zařízení"/>
    <m/>
    <m/>
    <m/>
    <m/>
    <m/>
    <m/>
    <m/>
    <m/>
    <m/>
    <m/>
    <m/>
    <m/>
    <m/>
    <m/>
    <m/>
    <m/>
    <m/>
  </r>
  <r>
    <s v="02450003"/>
    <s v="DTJ Zubří"/>
    <s v="706"/>
    <x v="1"/>
    <x v="1"/>
    <s v="Zubří"/>
    <s v="Zubří"/>
    <s v="93110"/>
    <s v="Provozování sportovních zařízení"/>
    <m/>
    <m/>
    <m/>
    <m/>
    <m/>
    <m/>
    <m/>
    <m/>
    <m/>
    <m/>
    <m/>
    <m/>
    <m/>
    <m/>
    <m/>
    <m/>
    <m/>
  </r>
  <r>
    <s v="22824219"/>
    <s v="&quot;DUCHÁRNA&quot;"/>
    <s v="706"/>
    <x v="1"/>
    <x v="0"/>
    <s v="Zlín"/>
    <s v="Zlín, Družstevní 4510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7341"/>
    <s v="Duha Děti slunce"/>
    <s v="736"/>
    <x v="0"/>
    <x v="2"/>
    <s v="Kunovice"/>
    <s v="Kunovice, Záhumní 602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7201788"/>
    <s v="Duha Keška"/>
    <s v="736"/>
    <x v="0"/>
    <x v="3"/>
    <s v="Kroměříž"/>
    <s v="Kroměříž, Purkyňova 501/1C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2026"/>
    <s v="Duha Světlov Bojkovice"/>
    <s v="736"/>
    <x v="0"/>
    <x v="2"/>
    <s v="Bojkovice"/>
    <s v="Bojkovice, Štefánikova 640, PSČ 687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6311009"/>
    <s v="DUKLASPORT-Zlín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208606"/>
    <s v="Dům Ludkovice, z.s."/>
    <s v="706"/>
    <x v="1"/>
    <x v="0"/>
    <s v="Ludkovice"/>
    <s v="Ludkovice 9, PSČ 7634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6429874"/>
    <s v="Dům modlitby, z. s."/>
    <s v="706"/>
    <x v="1"/>
    <x v="1"/>
    <s v="Vsetín"/>
    <s v="Vsetín, Družby 143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134413"/>
    <s v="Duša ZEmě, z.s."/>
    <s v="706"/>
    <x v="1"/>
    <x v="1"/>
    <s v="Horní Bečva"/>
    <s v="Horní Bečva 992, PSČ 75657"/>
    <s v="9499"/>
    <s v="Činnosti ostatních organizací sdružujících osoby za účelem prosazování společných zájmů j. n."/>
    <s v="Maloobchod s převahou potravin, nápojů a tabákových výrobků v nespecializovaných prodejnách"/>
    <m/>
    <m/>
    <m/>
    <m/>
    <m/>
    <m/>
    <m/>
    <m/>
    <m/>
    <m/>
    <m/>
    <m/>
    <m/>
    <m/>
    <m/>
    <m/>
  </r>
  <r>
    <s v="01966405"/>
    <s v="DUŠE ZPÍVEJ, z.s., centrum pro podporu kulturních aktivit"/>
    <s v="706"/>
    <x v="1"/>
    <x v="0"/>
    <s v="Zlín"/>
    <s v="Zlín, A. Randýskové 173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7278"/>
    <s v="DVD Klub"/>
    <s v="706"/>
    <x v="1"/>
    <x v="1"/>
    <s v="Vsetín"/>
    <s v="Vsetín, Svornosti 166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055673"/>
    <s v="Dynamic Fryšták, z.s."/>
    <s v="706"/>
    <x v="1"/>
    <x v="0"/>
    <s v="Fryšták"/>
    <s v="Fryšták, náměstí Míru 6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722617"/>
    <s v="DYSKLUB Kroměříž"/>
    <s v="706"/>
    <x v="1"/>
    <x v="3"/>
    <s v="Kroměříž"/>
    <s v="Kroměříž, Jánská 197/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5570"/>
    <s v="Džas jekhetane jekhe dromeha"/>
    <s v="706"/>
    <x v="1"/>
    <x v="1"/>
    <s v="Valašské Meziříčí"/>
    <s v="Valašské Meziříčí, Krásno nad Bečvou, Václavkova 817, PSČ 75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5053927"/>
    <s v="Dživ Lačes z.s."/>
    <s v="706"/>
    <x v="1"/>
    <x v="1"/>
    <s v="Vsetín"/>
    <s v="Vsetín, Jiráskova 112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9040"/>
    <s v="E - line"/>
    <s v="706"/>
    <x v="1"/>
    <x v="0"/>
    <s v="Zlín"/>
    <s v="Zlín, Prštné, Nerudova 16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332240"/>
    <s v="easymove, z.s."/>
    <s v="706"/>
    <x v="1"/>
    <x v="0"/>
    <s v="Zlín"/>
    <s v="Zlín, nám. T. G. Masaryka 588, PSČ 76001"/>
    <s v="96090"/>
    <s v="Poskytování ostatních osobních služeb j. n."/>
    <s v="Velkoobchod a maloobchod; opravy a údržba motorových vozidel"/>
    <s v="Výroba, obchod a služby neuvedené v přílohách 1 až 3 živnostenského zákona"/>
    <s v="Ubytování"/>
    <s v="Ostatní vzdělávání"/>
    <s v="Činnosti reklamních agentur"/>
    <s v="Překladatelské a tlumočnické činnosti"/>
    <s v="Pronájem a leasing ostatních výrobků pro osobní potřebu a převážně pro domácnost"/>
    <m/>
    <m/>
    <m/>
    <m/>
    <m/>
    <m/>
    <m/>
    <m/>
    <m/>
    <m/>
  </r>
  <r>
    <s v="05266068"/>
    <s v="Ecce homo - Nadace na podporu hospiců"/>
    <s v="117"/>
    <x v="7"/>
    <x v="2"/>
    <s v="Staré Město"/>
    <s v="Staré Město, Huštěnovská 492, PSČ 68603"/>
    <s v="94999"/>
    <s v="Činnosti ostatních organizací j. n."/>
    <m/>
    <m/>
    <m/>
    <m/>
    <m/>
    <m/>
    <m/>
    <m/>
    <m/>
    <m/>
    <m/>
    <m/>
    <m/>
    <m/>
    <m/>
    <m/>
    <m/>
  </r>
  <r>
    <s v="22689036"/>
    <s v="ECOCENT o.s."/>
    <s v="706"/>
    <x v="1"/>
    <x v="0"/>
    <s v="Zlín"/>
    <s v="Zlín, Na honech 49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51604"/>
    <s v="ECOsmile, z.s."/>
    <s v="706"/>
    <x v="1"/>
    <x v="2"/>
    <s v="Uherské Hradiště"/>
    <s v="Uherské Hradiště, Nádražní 29, PSČ 68601"/>
    <s v="9499"/>
    <s v="Činnosti ostatních organizací sdružujících osoby za účelem prosazování společných zájmů j. n."/>
    <s v="Výroba, obchod a služby neuvedené v přílohách 1 až 3 živnostenského zákona"/>
    <s v="Výroba potravinářských výrobků"/>
    <s v="Výroba oděvů"/>
    <s v="Zpracování dřeva, výroba dřevěných, korkových, proutěných a slaměných výrobků, kromě nábytku"/>
    <s v="Výroba papíru a výrobků z papíru"/>
    <s v="Výroba chemických látek a chemických přípravků"/>
    <s v="Podpůrné činnosti pro zemědělství a posklizňové činnosti"/>
    <s v="Výroba skla a skleněných výrobků"/>
    <s v="Povrchová úprava a zušlechťování kovů; obrábění"/>
    <s v="Zprostředkování velkoobchodu a velkoobchod v zastoupení"/>
    <s v="Lesní hospodářství a jiné činnosti v oblasti lesnictví"/>
    <m/>
    <m/>
    <m/>
    <m/>
    <m/>
    <m/>
  </r>
  <r>
    <s v="09147276"/>
    <s v="Eda Nezbeda a spol., z.s."/>
    <s v="706"/>
    <x v="1"/>
    <x v="0"/>
    <s v="Zlín"/>
    <s v="Zlín, Příluky, Přílucká 411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628711"/>
    <s v="Edu Consulting, z.ú."/>
    <s v="161"/>
    <x v="3"/>
    <x v="2"/>
    <s v="Záhorovice"/>
    <s v="Záhorovice 92, PSČ 68771"/>
    <s v="85600"/>
    <s v="Podpůrné činnosti ve vzdělávání"/>
    <s v="Tisk a rozmnožování nahraných nosičů"/>
    <s v="Ostatní zpracovatelský průmysl"/>
    <s v="Vydavatelské činnosti"/>
    <s v="Výzkum a vývoj"/>
    <s v="Podpůrné činnosti pro zemědělství a posklizňové činnosti"/>
    <s v="Opravy kovodělných výrobků, strojů a zařízení"/>
    <s v="Zprostředkování velkoobchodu a velkoobchod v zastoupení"/>
    <s v="Činnosti v oblasti informačních technologií"/>
    <s v="Ostatní vzdělávání"/>
    <s v="Ostatní profesní, vědecké a technické činnosti j. n."/>
    <s v="Činnosti ostatních organizací sdružujících osoby za účelem prosazování společných zájmů j. n."/>
    <s v="Rozmnožování nahraných nosičů"/>
    <s v="Činnosti reklamních agentur"/>
    <s v="74300"/>
    <s v="Překladatelské a tlumočnické činnosti"/>
    <m/>
    <m/>
  </r>
  <r>
    <s v="22820329"/>
    <s v="EDU Rožnov z.s."/>
    <s v="706"/>
    <x v="1"/>
    <x v="1"/>
    <s v="Rožnov pod Radhoštěm"/>
    <s v="Rožnov pod Radhoštěm, Polanského 1625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427762"/>
    <s v="Educational group, z. s."/>
    <s v="706"/>
    <x v="1"/>
    <x v="0"/>
    <s v="Otrokovice"/>
    <s v="Otrokovice, Čechova 1381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3591"/>
    <s v="EDUCOL, o. p. s."/>
    <s v="141"/>
    <x v="2"/>
    <x v="0"/>
    <s v="Zlín"/>
    <s v="Zlín, třída Tomáše Bati 3244, PSČ 76001"/>
    <s v="855"/>
    <s v="Ostatní vzdělávání"/>
    <s v="Výzkum a vývoj"/>
    <m/>
    <m/>
    <m/>
    <m/>
    <m/>
    <m/>
    <m/>
    <m/>
    <m/>
    <m/>
    <m/>
    <m/>
    <m/>
    <m/>
    <m/>
    <m/>
  </r>
  <r>
    <s v="11741643"/>
    <s v="eduKačka, nadační fond"/>
    <s v="118"/>
    <x v="6"/>
    <x v="1"/>
    <s v="Kateřinice"/>
    <s v="Kateřinice 242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998260"/>
    <s v="EDUKAČNÍ CENTRUM HVĚZDA, o.p.s."/>
    <s v="141"/>
    <x v="2"/>
    <x v="0"/>
    <s v="Zlín"/>
    <s v="Zlín, Obeciny XII 3639, PSČ 76001"/>
    <s v="8559"/>
    <s v="Ostatní vzdělávání j. n."/>
    <m/>
    <m/>
    <m/>
    <m/>
    <m/>
    <m/>
    <m/>
    <m/>
    <m/>
    <m/>
    <m/>
    <m/>
    <m/>
    <m/>
    <m/>
    <m/>
    <m/>
  </r>
  <r>
    <s v="22269576"/>
    <s v="EDUKRO, z. s."/>
    <s v="706"/>
    <x v="1"/>
    <x v="3"/>
    <s v="Kroměříž"/>
    <s v="Kroměříž, U Rejdiště 3498/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03183"/>
    <s v="EDU-SCHOOL CONSULTANT, z. s."/>
    <s v="706"/>
    <x v="1"/>
    <x v="2"/>
    <s v="Uherské Hradiště"/>
    <s v="Uherské Hradiště, Jarošov, Pivovarská 273, PSČ 68601"/>
    <s v="94999"/>
    <s v="Činnosti ostatních organizací j. n."/>
    <m/>
    <m/>
    <m/>
    <m/>
    <m/>
    <m/>
    <m/>
    <m/>
    <m/>
    <m/>
    <m/>
    <m/>
    <m/>
    <m/>
    <m/>
    <m/>
    <m/>
  </r>
  <r>
    <s v="27032680"/>
    <s v="EFEKT, o.s."/>
    <s v="706"/>
    <x v="1"/>
    <x v="0"/>
    <s v="Jasenná"/>
    <s v="Jasenná 176, PSČ 76313"/>
    <s v="94995"/>
    <s v="Činnosti environmentálních a ekologických hnutí"/>
    <m/>
    <m/>
    <m/>
    <m/>
    <m/>
    <m/>
    <m/>
    <m/>
    <m/>
    <m/>
    <m/>
    <m/>
    <m/>
    <m/>
    <m/>
    <m/>
    <m/>
  </r>
  <r>
    <s v="22892133"/>
    <s v="Egeria, z. s."/>
    <s v="706"/>
    <x v="1"/>
    <x v="0"/>
    <s v="Otrokovice"/>
    <s v="Otrokovice, Obchodní 1324, PSČ 76502"/>
    <s v="94995"/>
    <s v="Činnosti environmentálních a ekologických hnutí"/>
    <m/>
    <m/>
    <m/>
    <m/>
    <m/>
    <m/>
    <m/>
    <m/>
    <m/>
    <m/>
    <m/>
    <m/>
    <m/>
    <m/>
    <m/>
    <m/>
    <m/>
  </r>
  <r>
    <s v="22904999"/>
    <s v="EK-OÁZA"/>
    <s v="706"/>
    <x v="1"/>
    <x v="2"/>
    <s v="Vápenice"/>
    <s v="Vápenice 73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0309"/>
    <s v="Ekocentrum BESKYDY"/>
    <s v="706"/>
    <x v="1"/>
    <x v="1"/>
    <s v="Rožnov pod Radhoštěm"/>
    <s v="Rožnov pod Radhoštěm, Kulturní 1764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2928"/>
    <s v="Ekologické sdružení obce Skaštice, o.s."/>
    <s v="706"/>
    <x v="1"/>
    <x v="3"/>
    <s v="Skaštice"/>
    <s v="Skaštice 10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395439"/>
    <s v="Ekologické sdružení Zahrada Moravy Boršice,  z.s."/>
    <s v="706"/>
    <x v="1"/>
    <x v="2"/>
    <s v="Boršice"/>
    <s v="Boršice 497, PSČ 68709"/>
    <s v="9499"/>
    <s v="Činnosti ostatních organizací sdružujících osoby za účelem prosazování společných zájmů j. n."/>
    <s v="Tvůrčí, umělecké a zábavní činnosti"/>
    <m/>
    <m/>
    <m/>
    <m/>
    <m/>
    <m/>
    <m/>
    <m/>
    <m/>
    <m/>
    <m/>
    <m/>
    <m/>
    <m/>
    <m/>
    <m/>
  </r>
  <r>
    <s v="22821384"/>
    <s v="Ekostudio, o.s."/>
    <s v="706"/>
    <x v="1"/>
    <x v="1"/>
    <s v="Rožnov pod Radhoštěm"/>
    <s v="Rožnov pod Radhoštěm, Letenská 118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137446"/>
    <s v="Elektrica Musica z. s."/>
    <s v="706"/>
    <x v="1"/>
    <x v="0"/>
    <s v="Tečovice"/>
    <s v="Tečovice 323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55144"/>
    <s v="Elim Vsetín, o.p.s."/>
    <s v="141"/>
    <x v="2"/>
    <x v="1"/>
    <s v="Vsetín"/>
    <s v="Vsetín, Horní Jasenka 119, PSČ 75501"/>
    <s v="8790"/>
    <s v="Ostatní pobytové služby sociální péče"/>
    <s v="Velkoobchod a maloobchod; opravy a údržba motorových vozidel"/>
    <s v="Ostatní vzdělávání"/>
    <s v="Ostatní zábavní a rekreační činnosti j. n."/>
    <m/>
    <m/>
    <m/>
    <m/>
    <m/>
    <m/>
    <m/>
    <m/>
    <m/>
    <m/>
    <m/>
    <m/>
    <m/>
    <m/>
  </r>
  <r>
    <s v="06167306"/>
    <s v="Elite swim, z.s."/>
    <s v="706"/>
    <x v="1"/>
    <x v="2"/>
    <s v="Uherské Hradiště"/>
    <s v="Uherské Hradiště, Mařatice, Slovácká 1717, PSČ 68601"/>
    <s v="93190"/>
    <s v="Ostatní sportovní činnosti"/>
    <m/>
    <m/>
    <m/>
    <m/>
    <m/>
    <m/>
    <m/>
    <m/>
    <m/>
    <m/>
    <m/>
    <m/>
    <m/>
    <m/>
    <m/>
    <m/>
    <m/>
  </r>
  <r>
    <s v="22742522"/>
    <s v="EMBAYA o.s."/>
    <s v="706"/>
    <x v="1"/>
    <x v="1"/>
    <s v="Prostřední Bečva"/>
    <s v="Prostřední Bečva 413, PSČ 756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4002"/>
    <s v="EMDEST"/>
    <s v="706"/>
    <x v="1"/>
    <x v="0"/>
    <s v="Zlín"/>
    <s v="Zlín - Kostelec 286, PSČ 763 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9734"/>
    <s v="eM-NET"/>
    <s v="706"/>
    <x v="1"/>
    <x v="2"/>
    <s v="Horní Němčí"/>
    <s v="Horní Němčí 252, PSČ 687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16235"/>
    <s v="ENDOCHIRURGIE - 31, nadační fond"/>
    <s v="118"/>
    <x v="6"/>
    <x v="0"/>
    <s v="Zlín"/>
    <s v="Zlín, Kvítková 540, PSČ 76001"/>
    <s v="855"/>
    <s v="Ostatní vzdělávání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07811179"/>
    <s v="ENDURO TEAM SLOVÁCKO z.s."/>
    <s v="706"/>
    <x v="1"/>
    <x v="2"/>
    <s v="Ořechov"/>
    <s v="Ořechov 305, PSČ 6873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688313"/>
    <s v="Energetická agentura Zlínského kraje, o.p.s."/>
    <s v="141"/>
    <x v="2"/>
    <x v="0"/>
    <s v="Zlín"/>
    <s v="Zlín, třída Tomáše Bati 21, PSČ 76001"/>
    <s v="702"/>
    <s v="Poradenství v oblasti řízení"/>
    <s v="Výroba, obchod a služby neuvedené v přílohách 1 až 3 živnostenského zákona"/>
    <s v="Ostatní profesní, vědecké a technické činnosti j. n."/>
    <s v="Ostatní vzdělávání"/>
    <s v="Podpůrné činnosti pro scénická umění"/>
    <m/>
    <m/>
    <m/>
    <m/>
    <m/>
    <m/>
    <m/>
    <m/>
    <m/>
    <m/>
    <m/>
    <m/>
    <m/>
  </r>
  <r>
    <s v="23275731"/>
    <s v="Energetické společenství Zlín, z.s."/>
    <s v="706"/>
    <x v="1"/>
    <x v="0"/>
    <s v="Zlín"/>
    <s v="Zlín, Družstevní 4651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4119"/>
    <s v="Energie pro všechny"/>
    <s v="706"/>
    <x v="1"/>
    <x v="0"/>
    <s v="Tlumačov"/>
    <s v="Tlumačov, Nádražní 204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831226"/>
    <s v="ENERKOM Buchlov, z. s."/>
    <s v="706"/>
    <x v="1"/>
    <x v="2"/>
    <s v="Buchlovice"/>
    <s v="Buchlovice, náměstí Svobody 800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115249"/>
    <s v="ENERKOM Moštěnka, z.s."/>
    <s v="706"/>
    <x v="1"/>
    <x v="3"/>
    <s v="Rymice"/>
    <s v="Rymice 4, PSČ 76901"/>
    <s v="96090"/>
    <s v="Poskytování ostatních osobních služeb j. n."/>
    <m/>
    <m/>
    <m/>
    <m/>
    <m/>
    <m/>
    <m/>
    <m/>
    <m/>
    <m/>
    <m/>
    <m/>
    <m/>
    <m/>
    <m/>
    <m/>
    <m/>
  </r>
  <r>
    <s v="19317468"/>
    <s v="ENERKOM Slovácko, z. s."/>
    <s v="706"/>
    <x v="1"/>
    <x v="2"/>
    <s v="Suchá Loz"/>
    <s v="Suchá Loz 72, PSČ 687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545703"/>
    <s v="ENERKOM Valašsko, z.s."/>
    <s v="706"/>
    <x v="1"/>
    <x v="1"/>
    <s v="Zašová"/>
    <s v="Zašová 523, PSČ 75651"/>
    <s v="9499"/>
    <s v="Činnosti ostatních organizací sdružujících osoby za účelem prosazování společných zájmů j. n."/>
    <s v="Velkoobchod a maloobchod; opravy a údržba motorových vozidel"/>
    <s v="Výroba, obchod a služby neuvedené v přílohách 1 až 3 živnostenského zákona"/>
    <s v="Výroba a rozvod elektřiny, plynu, tepla a klimatizovaného vzduchu"/>
    <s v="Výroba, přenos a rozvod elektřiny"/>
    <s v="Ostatní vzdělávání"/>
    <s v="Inženýrské činnosti a související technické poradenství"/>
    <s v="Ostatní profesní, vědecké a technické činnosti j. n."/>
    <s v="Instalace průmyslových strojů a zařízení"/>
    <s v="Obchod s elektřinou"/>
    <s v="Výstavba nebytových budov"/>
    <s v="Činnosti vedení podniků"/>
    <m/>
    <m/>
    <m/>
    <m/>
    <m/>
    <m/>
  </r>
  <r>
    <s v="14328861"/>
    <s v="ENERSOL CZECH, z. s."/>
    <s v="706"/>
    <x v="1"/>
    <x v="3"/>
    <s v="Ludslavice"/>
    <s v="Ludslavice 133, PSČ 768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048781"/>
    <s v="ENVIROMENTAL PROTECTION ENTITY z.s."/>
    <s v="706"/>
    <x v="1"/>
    <x v="2"/>
    <s v="Suchá Loz"/>
    <s v="Suchá Loz 421, PSČ 687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522940"/>
    <s v="Environmentální ústav KOTVICE, z.ú."/>
    <s v="161"/>
    <x v="3"/>
    <x v="3"/>
    <s v="Kroměříž"/>
    <s v="Kroměříž, Havlíčkova 2788/135, PSČ 76701"/>
    <s v="94995"/>
    <s v="Činnosti environmentálních a ekologických hnutí"/>
    <s v="Výroba, obchod a služby neuvedené v přílohách 1 až 3 živnostenského zákona"/>
    <s v="Zprostředkování velkoobchodu a velkoobchod v zastoupení"/>
    <s v="Ostatní vzdělávání"/>
    <s v="Ostatní profesní, vědecké a technické činnosti j. n."/>
    <s v="Činnosti reklamních agentur"/>
    <s v="Univerzální administrativní činnosti"/>
    <s v="Podpůrné činnosti pro scénická umění"/>
    <m/>
    <m/>
    <m/>
    <m/>
    <m/>
    <m/>
    <m/>
    <m/>
    <m/>
    <m/>
  </r>
  <r>
    <s v="01593749"/>
    <s v="„Envitrio - zdravé Mysločovice o.s.”"/>
    <s v="706"/>
    <x v="1"/>
    <x v="0"/>
    <s v="Mysločovice"/>
    <s v="Mysločovice 119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6710"/>
    <s v="EPS aktivity, z.s."/>
    <s v="706"/>
    <x v="1"/>
    <x v="2"/>
    <s v="Kunovice"/>
    <s v="Kunovice, V Pastouškách 205, PSČ 68604"/>
    <s v="9499"/>
    <s v="Činnosti ostatních organizací sdružujících osoby za účelem prosazování společných zájmů j. n."/>
    <s v="Výroba, obchod a služby neuvedené v přílohách 1 až 3 živnostenského zákona"/>
    <s v="Geologický průzkum"/>
    <m/>
    <m/>
    <m/>
    <m/>
    <m/>
    <m/>
    <m/>
    <m/>
    <m/>
    <m/>
    <m/>
    <m/>
    <m/>
    <m/>
    <m/>
  </r>
  <r>
    <s v="19084749"/>
    <s v="EQUIFEED TEAM z. s."/>
    <s v="706"/>
    <x v="1"/>
    <x v="3"/>
    <s v="Holešov"/>
    <s v="Holešov, Všetuly, Sokolská 506, PSČ 76901"/>
    <s v="93190"/>
    <s v="Ostatní sportovní činnosti"/>
    <m/>
    <m/>
    <m/>
    <m/>
    <m/>
    <m/>
    <m/>
    <m/>
    <m/>
    <m/>
    <m/>
    <m/>
    <m/>
    <m/>
    <m/>
    <m/>
    <m/>
  </r>
  <r>
    <s v="07006811"/>
    <s v="Erasmus Student Network Zlin, z.s."/>
    <s v="706"/>
    <x v="1"/>
    <x v="0"/>
    <s v="Zlín"/>
    <s v="Zlín, Růmy 404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765387"/>
    <s v="eridani energy, z.s."/>
    <s v="706"/>
    <x v="1"/>
    <x v="1"/>
    <s v="Vsetín"/>
    <s v="Vsetín, Horní náměstí 3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08441"/>
    <s v="E-RIVALS z.s."/>
    <s v="706"/>
    <x v="1"/>
    <x v="2"/>
    <s v="Nivnice"/>
    <s v="Nivnice, Sadová 202, PSČ 68751"/>
    <s v="93190"/>
    <s v="Ostatní sportovní činnosti"/>
    <m/>
    <m/>
    <m/>
    <m/>
    <m/>
    <m/>
    <m/>
    <m/>
    <m/>
    <m/>
    <m/>
    <m/>
    <m/>
    <m/>
    <m/>
    <m/>
    <m/>
  </r>
  <r>
    <s v="14228106"/>
    <s v="ERKO Esports z. s."/>
    <s v="706"/>
    <x v="1"/>
    <x v="0"/>
    <s v="Napajedla"/>
    <s v="Napajedla, Smetanova 1500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353861"/>
    <s v="ES Česko z. s."/>
    <s v="706"/>
    <x v="1"/>
    <x v="2"/>
    <s v="Uherské Hradiště"/>
    <s v="Uherské Hradiště, Stojanova 508, PSČ 68601"/>
    <s v="9499"/>
    <s v="Činnosti ostatních organizací sdružujících osoby za účelem prosazování společných zájmů j. n."/>
    <s v="Ostatní profesní, vědecké a technické činnosti j. n."/>
    <s v="Univerzální administrativní činnosti"/>
    <m/>
    <m/>
    <m/>
    <m/>
    <m/>
    <m/>
    <m/>
    <m/>
    <m/>
    <m/>
    <m/>
    <m/>
    <m/>
    <m/>
    <m/>
  </r>
  <r>
    <s v="22563679"/>
    <s v="ES Česko z.s. pobočný spolek Electra"/>
    <s v="736"/>
    <x v="0"/>
    <x v="2"/>
    <s v="Uherské Hradiště"/>
    <s v="Uherské Hradiště, Stojanova 50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370213"/>
    <s v="Escargot, o.p.s."/>
    <s v="141"/>
    <x v="2"/>
    <x v="0"/>
    <s v="Zlín"/>
    <s v="Zlín, Prštné, Nábřeží 216, PSČ 76001"/>
    <s v="8559"/>
    <s v="Ostatní vzdělávání j. n."/>
    <s v="Podpůrné činnosti ve vzdělávání"/>
    <s v="Podpůrné činnosti pro scénická umění"/>
    <s v="Ostatní zábavní a rekreační činnosti j. n."/>
    <m/>
    <m/>
    <m/>
    <m/>
    <m/>
    <m/>
    <m/>
    <m/>
    <m/>
    <m/>
    <m/>
    <m/>
    <m/>
    <m/>
  </r>
  <r>
    <s v="17994802"/>
    <s v="EUnity z. s."/>
    <s v="706"/>
    <x v="1"/>
    <x v="2"/>
    <s v="Hluk"/>
    <s v="Hluk, Novoveská 987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5321"/>
    <s v="EUNOMIE"/>
    <s v="706"/>
    <x v="1"/>
    <x v="0"/>
    <s v="Zlín"/>
    <s v="Zlín, Obeciny XII 363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7583"/>
    <s v="Euro RC Rally Challenge z. s."/>
    <s v="706"/>
    <x v="1"/>
    <x v="0"/>
    <s v="Valašské Klobouky"/>
    <s v="Valašské Klobouky, Žaboskřeky 530, PSČ 76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885731"/>
    <s v="EUROČÍNSKÁ ASOCIACE, z.s."/>
    <s v="706"/>
    <x v="1"/>
    <x v="0"/>
    <s v="Zlín"/>
    <s v="Zlín, třída Tomáše Bati 87, PSČ 76001"/>
    <s v="9499"/>
    <s v="Činnosti ostatních organizací sdružujících osoby za účelem prosazování společných zájmů j. n."/>
    <s v="Zprostředkování velkoobchodu a velkoobchod v zastoupení"/>
    <s v="Nespecializovaný velkoobchod"/>
    <m/>
    <m/>
    <m/>
    <m/>
    <m/>
    <m/>
    <m/>
    <m/>
    <m/>
    <m/>
    <m/>
    <m/>
    <m/>
    <m/>
    <m/>
  </r>
  <r>
    <s v="28277074"/>
    <s v="EUROFACTUM o.p.s."/>
    <s v="141"/>
    <x v="2"/>
    <x v="2"/>
    <s v="Suchá Loz"/>
    <s v="Suchá Loz 37, PSČ 68753"/>
    <s v="8559"/>
    <s v="Ostatní vzdělávání j. n."/>
    <s v="Ostatní profesní, vědecké a technické činnosti"/>
    <s v="Poradenství v oblasti řízení"/>
    <s v="Reklamní činnosti"/>
    <m/>
    <m/>
    <m/>
    <m/>
    <m/>
    <m/>
    <m/>
    <m/>
    <m/>
    <m/>
    <m/>
    <m/>
    <m/>
    <m/>
  </r>
  <r>
    <s v="26561727"/>
    <s v="EURO-WALLACHIA"/>
    <s v="706"/>
    <x v="1"/>
    <x v="1"/>
    <s v="Valašské Meziříčí"/>
    <s v="Valašské Meziříčí, Tolstého 466/1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2515"/>
    <s v="Eurythmea z.s."/>
    <s v="706"/>
    <x v="1"/>
    <x v="0"/>
    <s v="Zlín"/>
    <s v="Zlín, Prštné, K. Světlé 488, PSČ 76001"/>
    <s v="94120"/>
    <s v="Činnosti profesních organizací"/>
    <m/>
    <m/>
    <m/>
    <m/>
    <m/>
    <m/>
    <m/>
    <m/>
    <m/>
    <m/>
    <m/>
    <m/>
    <m/>
    <m/>
    <m/>
    <m/>
    <m/>
  </r>
  <r>
    <s v="28358201"/>
    <s v="EVENTIS, o.p.s."/>
    <s v="141"/>
    <x v="2"/>
    <x v="0"/>
    <s v="Kelníky"/>
    <s v="Kelníky 6, PSČ 76307"/>
    <s v="8559"/>
    <s v="Ostatní vzdělávání j. n."/>
    <m/>
    <m/>
    <m/>
    <m/>
    <m/>
    <m/>
    <m/>
    <m/>
    <m/>
    <m/>
    <m/>
    <m/>
    <m/>
    <m/>
    <m/>
    <m/>
    <m/>
  </r>
  <r>
    <s v="22813934"/>
    <s v="EVOLVE GLOBAL, z. s."/>
    <s v="706"/>
    <x v="1"/>
    <x v="3"/>
    <s v="Koryčany"/>
    <s v="Koryčany, Blišice 151, PSČ 76805"/>
    <s v="93190"/>
    <s v="Ostatní sportovní činnosti"/>
    <m/>
    <m/>
    <m/>
    <m/>
    <m/>
    <m/>
    <m/>
    <m/>
    <m/>
    <m/>
    <m/>
    <m/>
    <m/>
    <m/>
    <m/>
    <m/>
    <m/>
  </r>
  <r>
    <s v="08465355"/>
    <s v="Evropa doma z.s."/>
    <s v="706"/>
    <x v="1"/>
    <x v="3"/>
    <s v="Kroměříž"/>
    <s v="Kroměříž, Malý val 1539/4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3052"/>
    <s v="Evropská asociace výrobců lehkých letadel"/>
    <s v="706"/>
    <x v="1"/>
    <x v="0"/>
    <s v="Slušovice"/>
    <s v="Slušovice, Zahradní 603, PSČ 7631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20558"/>
    <s v="EWH REJNOCI Zlín o.s."/>
    <s v="706"/>
    <x v="1"/>
    <x v="1"/>
    <s v="Vsetín"/>
    <s v="Vsetín, Luh 1806, PSČ 75501"/>
    <s v="94999"/>
    <s v="Činnosti ostatních organizací j. n."/>
    <m/>
    <m/>
    <m/>
    <m/>
    <m/>
    <m/>
    <m/>
    <m/>
    <m/>
    <m/>
    <m/>
    <m/>
    <m/>
    <m/>
    <m/>
    <m/>
    <m/>
  </r>
  <r>
    <s v="02484137"/>
    <s v="„EXEFIS„"/>
    <s v="706"/>
    <x v="1"/>
    <x v="0"/>
    <s v="Zlín"/>
    <s v="Zlín, Malenovice, I. Veselkové 984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70411"/>
    <s v="Expeleo z. s."/>
    <s v="706"/>
    <x v="1"/>
    <x v="0"/>
    <s v="Luhačovice"/>
    <s v="Luhačovice, Družstevní 90, PSČ 76326"/>
    <s v="9499"/>
    <s v="Činnosti ostatních organizací sdružujících osoby za účelem prosazování společných zájmů j. n."/>
    <s v="Maloobchod, kromě motorových vozidel"/>
    <s v="Ostatní vzdělávání"/>
    <m/>
    <m/>
    <m/>
    <m/>
    <m/>
    <m/>
    <m/>
    <m/>
    <m/>
    <m/>
    <m/>
    <m/>
    <m/>
    <m/>
    <m/>
  </r>
  <r>
    <s v="21315604"/>
    <s v="Experiments.cz, z. s."/>
    <s v="706"/>
    <x v="1"/>
    <x v="2"/>
    <s v="Ořechov"/>
    <s v="Ořechov 305, PSČ 68737"/>
    <s v="9499"/>
    <s v="Činnosti ostatních organizací sdružujících osoby za účelem prosazování společných zájmů j. n."/>
    <s v="Ostatní vzdělávání"/>
    <s v="Podpůrné činnosti pro scénická umění"/>
    <m/>
    <m/>
    <m/>
    <m/>
    <m/>
    <m/>
    <m/>
    <m/>
    <m/>
    <m/>
    <m/>
    <m/>
    <m/>
    <m/>
    <m/>
  </r>
  <r>
    <s v="04244168"/>
    <s v="Extreme Wheels Rožnov, z.s."/>
    <s v="706"/>
    <x v="1"/>
    <x v="1"/>
    <s v="Rožnov pod Radhoštěm"/>
    <s v="Rožnov pod Radhoštěm, Horská 1735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301866"/>
    <s v="FACE HOLEŠOV o.p.s."/>
    <s v="141"/>
    <x v="2"/>
    <x v="3"/>
    <s v="Holešov"/>
    <s v="Holešov, Nerudova 320/18, PSČ 76901"/>
    <s v="8899"/>
    <s v="Ostatní ambulantní nebo terénní sociální služby j. n.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22610189"/>
    <s v="Fair Play Fryšták z.s."/>
    <s v="706"/>
    <x v="1"/>
    <x v="0"/>
    <s v="Fryšták"/>
    <s v="Fryšták, Holešovská 380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14767"/>
    <s v="Falcon Klub, z. s."/>
    <s v="706"/>
    <x v="1"/>
    <x v="3"/>
    <s v="Kvasice"/>
    <s v="Kvasice, Včelín 168, PSČ 76821"/>
    <s v="93120"/>
    <s v="Činnosti sportovních klubů"/>
    <m/>
    <m/>
    <m/>
    <m/>
    <m/>
    <m/>
    <m/>
    <m/>
    <m/>
    <m/>
    <m/>
    <m/>
    <m/>
    <m/>
    <m/>
    <m/>
    <m/>
  </r>
  <r>
    <s v="22708821"/>
    <s v="Fan club Panthers Otrokovice"/>
    <s v="706"/>
    <x v="1"/>
    <x v="3"/>
    <s v="Holešov"/>
    <s v="Holešov, Havlíčkova 1220/8, PSČ 76901"/>
    <s v="93190"/>
    <s v="Ostatní sportovní činnosti"/>
    <m/>
    <m/>
    <m/>
    <m/>
    <m/>
    <m/>
    <m/>
    <m/>
    <m/>
    <m/>
    <m/>
    <m/>
    <m/>
    <m/>
    <m/>
    <m/>
    <m/>
  </r>
  <r>
    <s v="01366262"/>
    <s v="Fan klub EXARGEMA 1982-89, o.s."/>
    <s v="706"/>
    <x v="1"/>
    <x v="2"/>
    <s v="Tupesy"/>
    <s v="Tupesy 268, PSČ 687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4351"/>
    <s v="FanClub Slovácko, z.s."/>
    <s v="706"/>
    <x v="1"/>
    <x v="2"/>
    <s v="Uherský Brod"/>
    <s v="Uherský Brod, Kpt. Kubíčka 1634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6407"/>
    <s v="FAN-HOR Nezdenice"/>
    <s v="706"/>
    <x v="1"/>
    <x v="2"/>
    <s v="Nezdenice"/>
    <s v="Nezdenice 191, PSČ 687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184436"/>
    <s v="FAN´S CLUB HOKEJOVÉHO KLUBU VSETÍN"/>
    <s v="706"/>
    <x v="1"/>
    <x v="1"/>
    <s v="Vsetín"/>
    <s v="Vsetín"/>
    <s v="9499"/>
    <s v="Činnosti ostatních organizací sdružujících osoby za účelem prosazování společných zájmů j. n."/>
    <s v="Maloobchod v nespecializovaných prodejnách"/>
    <s v="Reklamní činnosti"/>
    <m/>
    <m/>
    <m/>
    <m/>
    <m/>
    <m/>
    <m/>
    <m/>
    <m/>
    <m/>
    <m/>
    <m/>
    <m/>
    <m/>
    <m/>
  </r>
  <r>
    <s v="26543231"/>
    <s v="FANTASIA"/>
    <s v="706"/>
    <x v="1"/>
    <x v="0"/>
    <s v="Zlín"/>
    <s v="Zlín, Malenovice, třída Svobody 775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1327"/>
    <s v="Fantasy klub Dračí oko"/>
    <s v="706"/>
    <x v="1"/>
    <x v="3"/>
    <s v="Koryčany"/>
    <s v="Koryčany, Kyjovská 83, PSČ 768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31081"/>
    <s v="Farma pod Hostýnem z.s."/>
    <s v="706"/>
    <x v="1"/>
    <x v="3"/>
    <s v="Osíčko"/>
    <s v="Osíčko 160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44601"/>
    <s v="Farma pod Janovou horou z.s."/>
    <s v="706"/>
    <x v="1"/>
    <x v="0"/>
    <s v="Vizovice"/>
    <s v="Vizovice, Janova hora 466, PSČ 76312"/>
    <s v="93190"/>
    <s v="Ostatní sportovní činnosti"/>
    <m/>
    <m/>
    <m/>
    <m/>
    <m/>
    <m/>
    <m/>
    <m/>
    <m/>
    <m/>
    <m/>
    <m/>
    <m/>
    <m/>
    <m/>
    <m/>
    <m/>
  </r>
  <r>
    <s v="45211299"/>
    <s v="Farní sbor Českobratrské církve evangelické v Hošťálkové u Vsetína"/>
    <s v="722"/>
    <x v="5"/>
    <x v="1"/>
    <s v="Hošťálková"/>
    <s v="Hošťálková 23, PSČ 75622"/>
    <s v="94910"/>
    <s v="Činnosti náboženských organizací"/>
    <m/>
    <m/>
    <m/>
    <m/>
    <m/>
    <m/>
    <m/>
    <m/>
    <m/>
    <m/>
    <m/>
    <m/>
    <m/>
    <m/>
    <m/>
    <m/>
    <m/>
  </r>
  <r>
    <s v="49563165"/>
    <s v="Farní sbor Českobratrské církve evangelické v Huslenkách"/>
    <s v="722"/>
    <x v="5"/>
    <x v="1"/>
    <s v="Huslenky"/>
    <s v="Huslenky 439, PSČ 75602"/>
    <s v="94910"/>
    <s v="Činnosti náboženských organizací"/>
    <m/>
    <m/>
    <m/>
    <m/>
    <m/>
    <m/>
    <m/>
    <m/>
    <m/>
    <m/>
    <m/>
    <m/>
    <m/>
    <m/>
    <m/>
    <m/>
    <m/>
  </r>
  <r>
    <s v="44740891"/>
    <s v="Farní sbor Českobratrské církve evangelické v Jablůnce"/>
    <s v="722"/>
    <x v="5"/>
    <x v="1"/>
    <s v="Jablůnka"/>
    <s v="Jablůnka 45, PSČ 75623"/>
    <s v="94910"/>
    <s v="Činnosti náboženských organizací"/>
    <m/>
    <m/>
    <m/>
    <m/>
    <m/>
    <m/>
    <m/>
    <m/>
    <m/>
    <m/>
    <m/>
    <m/>
    <m/>
    <m/>
    <m/>
    <m/>
    <m/>
  </r>
  <r>
    <s v="18757642"/>
    <s v="Farní sbor Českobratrské církve evangelické v Jasenné"/>
    <s v="722"/>
    <x v="5"/>
    <x v="0"/>
    <s v="Jasenná"/>
    <s v="Jasenná 108, PSČ 76313"/>
    <s v="94910"/>
    <s v="Činnosti náboženských organizací"/>
    <m/>
    <m/>
    <m/>
    <m/>
    <m/>
    <m/>
    <m/>
    <m/>
    <m/>
    <m/>
    <m/>
    <m/>
    <m/>
    <m/>
    <m/>
    <m/>
    <m/>
  </r>
  <r>
    <s v="47659327"/>
    <s v="Farní sbor Českobratrské církve evangelické v Kateřinicích"/>
    <s v="722"/>
    <x v="5"/>
    <x v="1"/>
    <s v="Kateřinice"/>
    <s v="Kateřinice 226, PSČ 75621"/>
    <s v="94910"/>
    <s v="Činnosti náboženských organizací"/>
    <m/>
    <m/>
    <m/>
    <m/>
    <m/>
    <m/>
    <m/>
    <m/>
    <m/>
    <m/>
    <m/>
    <m/>
    <m/>
    <m/>
    <m/>
    <m/>
    <m/>
  </r>
  <r>
    <s v="60382805"/>
    <s v="Farní sbor Českobratrské církve evangelické v Kroměříži"/>
    <s v="722"/>
    <x v="5"/>
    <x v="3"/>
    <s v="Kroměříž"/>
    <s v="Kroměříž, Riegrovo náměstí 147/37, PSČ 76701"/>
    <s v="94910"/>
    <s v="Činnosti náboženských organizací"/>
    <m/>
    <m/>
    <m/>
    <m/>
    <m/>
    <m/>
    <m/>
    <m/>
    <m/>
    <m/>
    <m/>
    <m/>
    <m/>
    <m/>
    <m/>
    <m/>
    <m/>
  </r>
  <r>
    <s v="49563173"/>
    <s v="Farní sbor Českobratrské církve evangelické v Leskovci"/>
    <s v="722"/>
    <x v="5"/>
    <x v="1"/>
    <s v="Leskovec"/>
    <s v="Leskovec 156, PSČ 75611"/>
    <s v="94910"/>
    <s v="Činnosti náboženských organizací"/>
    <m/>
    <m/>
    <m/>
    <m/>
    <m/>
    <m/>
    <m/>
    <m/>
    <m/>
    <m/>
    <m/>
    <m/>
    <m/>
    <m/>
    <m/>
    <m/>
    <m/>
  </r>
  <r>
    <s v="45211248"/>
    <s v="Farní sbor Českobratrské církve evangelické v Liptálu"/>
    <s v="722"/>
    <x v="5"/>
    <x v="1"/>
    <s v="Liptál"/>
    <s v="Liptál 8, PSČ 75631"/>
    <s v="94910"/>
    <s v="Činnosti náboženských organizací"/>
    <m/>
    <m/>
    <m/>
    <m/>
    <m/>
    <m/>
    <m/>
    <m/>
    <m/>
    <m/>
    <m/>
    <m/>
    <m/>
    <m/>
    <m/>
    <m/>
    <m/>
  </r>
  <r>
    <s v="48772801"/>
    <s v="Farní sbor Českobratrské církve evangelické v Pozděchově"/>
    <s v="722"/>
    <x v="5"/>
    <x v="1"/>
    <s v="Pozděchov"/>
    <s v="Pozděchov 121, PSČ 75611"/>
    <s v="94910"/>
    <s v="Činnosti náboženských organizací"/>
    <m/>
    <m/>
    <m/>
    <m/>
    <m/>
    <m/>
    <m/>
    <m/>
    <m/>
    <m/>
    <m/>
    <m/>
    <m/>
    <m/>
    <m/>
    <m/>
    <m/>
  </r>
  <r>
    <s v="18190073"/>
    <s v="Farní sbor Českobratrské církve evangelické v Prusinovicích"/>
    <s v="722"/>
    <x v="5"/>
    <x v="3"/>
    <s v="Prusinovice"/>
    <s v="Prusinovice, Přerovská 174, PSČ 76842"/>
    <s v="94910"/>
    <s v="Činnosti náboženských organizací"/>
    <m/>
    <m/>
    <m/>
    <m/>
    <m/>
    <m/>
    <m/>
    <m/>
    <m/>
    <m/>
    <m/>
    <m/>
    <m/>
    <m/>
    <m/>
    <m/>
    <m/>
  </r>
  <r>
    <s v="62335014"/>
    <s v="Farní sbor Českobratrské církve evangelické v Pržně"/>
    <s v="722"/>
    <x v="5"/>
    <x v="1"/>
    <s v="Pržno"/>
    <s v="Pržno 32, PSČ 75623"/>
    <s v="94910"/>
    <s v="Činnosti náboženských organizací"/>
    <m/>
    <m/>
    <m/>
    <m/>
    <m/>
    <m/>
    <m/>
    <m/>
    <m/>
    <m/>
    <m/>
    <m/>
    <m/>
    <m/>
    <m/>
    <m/>
    <m/>
  </r>
  <r>
    <s v="48772992"/>
    <s v="Farní sbor Českobratrské církve evangelické v Ratiboři u Vsetína"/>
    <s v="722"/>
    <x v="5"/>
    <x v="1"/>
    <s v="Ratiboř"/>
    <s v="Ratiboř 221, PSČ 75621"/>
    <s v="94910"/>
    <s v="Činnosti náboženských organizací"/>
    <m/>
    <m/>
    <m/>
    <m/>
    <m/>
    <m/>
    <m/>
    <m/>
    <m/>
    <m/>
    <m/>
    <m/>
    <m/>
    <m/>
    <m/>
    <m/>
    <m/>
  </r>
  <r>
    <s v="46998063"/>
    <s v="Farní sbor Českobratrské církve evangelické v Rusavě"/>
    <s v="722"/>
    <x v="5"/>
    <x v="3"/>
    <s v="Rusava"/>
    <s v="Rusava 28, PSČ 76841"/>
    <s v="94910"/>
    <s v="Činnosti náboženských organizací"/>
    <m/>
    <m/>
    <m/>
    <m/>
    <m/>
    <m/>
    <m/>
    <m/>
    <m/>
    <m/>
    <m/>
    <m/>
    <m/>
    <m/>
    <m/>
    <m/>
    <m/>
  </r>
  <r>
    <s v="45211337"/>
    <s v="Farní sbor Českobratrské církve evangelické v Růžďce"/>
    <s v="722"/>
    <x v="5"/>
    <x v="1"/>
    <s v="Růžďka"/>
    <s v="Růžďka 138, PSČ 75625"/>
    <s v="94910"/>
    <s v="Činnosti náboženských organizací"/>
    <m/>
    <m/>
    <m/>
    <m/>
    <m/>
    <m/>
    <m/>
    <m/>
    <m/>
    <m/>
    <m/>
    <m/>
    <m/>
    <m/>
    <m/>
    <m/>
    <m/>
  </r>
  <r>
    <s v="46256300"/>
    <s v="Farní sbor Českobratrské církve evangelické v Uherském Hradišti"/>
    <s v="722"/>
    <x v="5"/>
    <x v="2"/>
    <s v="Uherské Hradiště"/>
    <s v="Uherské Hradiště, Jana Blahoslava 419, PSČ 68601"/>
    <s v="94910"/>
    <s v="Činnosti náboženských organizací"/>
    <s v="Rekreační a ostatní krátkodobé ubytování"/>
    <m/>
    <m/>
    <m/>
    <m/>
    <m/>
    <m/>
    <m/>
    <m/>
    <m/>
    <m/>
    <m/>
    <m/>
    <m/>
    <m/>
    <m/>
    <m/>
  </r>
  <r>
    <s v="46311050"/>
    <s v="Farní sbor Českobratrské církve evangelické v Zádveřicích - Rakové"/>
    <s v="722"/>
    <x v="5"/>
    <x v="0"/>
    <s v="Zádveřice-Raková"/>
    <s v="Zádveřice-Raková, Zádveřice 139, PSČ 76312"/>
    <s v="94910"/>
    <s v="Činnosti náboženských organizací"/>
    <m/>
    <m/>
    <m/>
    <m/>
    <m/>
    <m/>
    <m/>
    <m/>
    <m/>
    <m/>
    <m/>
    <m/>
    <m/>
    <m/>
    <m/>
    <m/>
    <m/>
  </r>
  <r>
    <s v="47658983"/>
    <s v="Farní sbor Českobratrské církve evangelické ve Stříteži nad Bečvou"/>
    <s v="722"/>
    <x v="5"/>
    <x v="1"/>
    <s v="Střítež nad Bečvou"/>
    <s v="Střítež nad Bečvou 120, PSČ 75652"/>
    <s v="94910"/>
    <s v="Činnosti náboženských organizací"/>
    <m/>
    <m/>
    <m/>
    <m/>
    <m/>
    <m/>
    <m/>
    <m/>
    <m/>
    <m/>
    <m/>
    <m/>
    <m/>
    <m/>
    <m/>
    <m/>
    <m/>
  </r>
  <r>
    <s v="47658355"/>
    <s v="Farní sbor Českobratrské církve evangelické ve Valašském Meziříčí"/>
    <s v="722"/>
    <x v="5"/>
    <x v="1"/>
    <s v="Valašské Meziříčí"/>
    <s v="Valašské Meziříčí, Blahoslavova 430/3, PSČ 75701"/>
    <s v="94910"/>
    <s v="Činnosti náboženských organizací"/>
    <m/>
    <m/>
    <m/>
    <m/>
    <m/>
    <m/>
    <m/>
    <m/>
    <m/>
    <m/>
    <m/>
    <m/>
    <m/>
    <m/>
    <m/>
    <m/>
    <m/>
  </r>
  <r>
    <s v="47658347"/>
    <s v="Farní sbor Českobratrské církve evangelické ve Velké Lhotě"/>
    <s v="722"/>
    <x v="5"/>
    <x v="1"/>
    <s v="Velká Lhota"/>
    <s v="Velká Lhota 30, PSČ 75701"/>
    <s v="94910"/>
    <s v="Činnosti náboženských organizací"/>
    <m/>
    <m/>
    <m/>
    <m/>
    <m/>
    <m/>
    <m/>
    <m/>
    <m/>
    <m/>
    <m/>
    <m/>
    <m/>
    <m/>
    <m/>
    <m/>
    <m/>
  </r>
  <r>
    <s v="46276815"/>
    <s v="Farní sbor Českobratrské církve evangelické ve Vizovicích"/>
    <s v="722"/>
    <x v="5"/>
    <x v="0"/>
    <s v="Vizovice"/>
    <s v="Vizovice, Palackého Nám. 364, PSČ 76312"/>
    <s v="94910"/>
    <s v="Činnosti náboženských organizací"/>
    <m/>
    <m/>
    <m/>
    <m/>
    <m/>
    <m/>
    <m/>
    <m/>
    <m/>
    <m/>
    <m/>
    <m/>
    <m/>
    <m/>
    <m/>
    <m/>
    <m/>
  </r>
  <r>
    <s v="47659068"/>
    <s v="Farní sbor Českobratrské církve evangelické ve Vsetíně (dolní sbor)"/>
    <s v="722"/>
    <x v="5"/>
    <x v="1"/>
    <s v="Vsetín"/>
    <s v="Vsetín, Palackého 153, PSČ 75501"/>
    <s v="94910"/>
    <s v="Činnosti náboženských organizací"/>
    <m/>
    <m/>
    <m/>
    <m/>
    <m/>
    <m/>
    <m/>
    <m/>
    <m/>
    <m/>
    <m/>
    <m/>
    <m/>
    <m/>
    <m/>
    <m/>
    <m/>
  </r>
  <r>
    <s v="47658657"/>
    <s v="Farní sbor Českobratrské církve evangelické ve Vsetíně (horní sbor)"/>
    <s v="722"/>
    <x v="5"/>
    <x v="1"/>
    <s v="Vsetín"/>
    <s v="Vsetín, Palackého 156, PSČ 75501"/>
    <s v="94910"/>
    <s v="Činnosti náboženských organizací"/>
    <m/>
    <m/>
    <m/>
    <m/>
    <m/>
    <m/>
    <m/>
    <m/>
    <m/>
    <m/>
    <m/>
    <m/>
    <m/>
    <m/>
    <m/>
    <m/>
    <m/>
  </r>
  <r>
    <s v="46311432"/>
    <s v="Farní sbor Českobratrské církve evangelické ve Zlíně"/>
    <s v="722"/>
    <x v="5"/>
    <x v="0"/>
    <s v="Zlín"/>
    <s v="Zlín, Slovenská 3063, PSČ 76001"/>
    <s v="94910"/>
    <s v="Činnosti náboženských organizací"/>
    <m/>
    <m/>
    <m/>
    <m/>
    <m/>
    <m/>
    <m/>
    <m/>
    <m/>
    <m/>
    <m/>
    <m/>
    <m/>
    <m/>
    <m/>
    <m/>
    <m/>
  </r>
  <r>
    <s v="07870221"/>
    <s v="Fast piston's Bynina, spolek"/>
    <s v="706"/>
    <x v="1"/>
    <x v="1"/>
    <s v="Valašské Meziříčí"/>
    <s v="Valašské Meziříčí, Bynina 202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0385"/>
    <s v="Fauna park - dětský ráj, z.s."/>
    <s v="706"/>
    <x v="1"/>
    <x v="1"/>
    <s v="Valašské Meziříčí"/>
    <s v="Valašské Meziříčí, Ve Stráni 34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7083"/>
    <s v="FAVORIT, sportovní cyklistický klub"/>
    <s v="706"/>
    <x v="1"/>
    <x v="2"/>
    <s v="Kunovice"/>
    <s v="Kunovice, Letecká 1110, PSČ 68604"/>
    <s v="93120"/>
    <s v="Činnosti sportovních klubů"/>
    <m/>
    <m/>
    <m/>
    <m/>
    <m/>
    <m/>
    <m/>
    <m/>
    <m/>
    <m/>
    <m/>
    <m/>
    <m/>
    <m/>
    <m/>
    <m/>
    <m/>
  </r>
  <r>
    <s v="27036022"/>
    <s v="FbC Dolní Němčí"/>
    <s v="706"/>
    <x v="1"/>
    <x v="2"/>
    <s v="Dolní Němčí"/>
    <s v="Dolní Němčí, Na Výsluní III 704, PSČ 68762"/>
    <s v="93110"/>
    <s v="Provozování sportovních zařízení"/>
    <m/>
    <m/>
    <m/>
    <m/>
    <m/>
    <m/>
    <m/>
    <m/>
    <m/>
    <m/>
    <m/>
    <m/>
    <m/>
    <m/>
    <m/>
    <m/>
    <m/>
  </r>
  <r>
    <s v="22743766"/>
    <s v="FBC SLOVÁCKO"/>
    <s v="706"/>
    <x v="1"/>
    <x v="2"/>
    <s v="Uherské Hradiště"/>
    <s v="Uherské Hradiště, Revoluční 747, PSČ 68606"/>
    <s v="93110"/>
    <s v="Provozování sportovních zařízení"/>
    <m/>
    <m/>
    <m/>
    <m/>
    <m/>
    <m/>
    <m/>
    <m/>
    <m/>
    <m/>
    <m/>
    <m/>
    <m/>
    <m/>
    <m/>
    <m/>
    <m/>
  </r>
  <r>
    <s v="01734903"/>
    <s v="FBC Slušovice, z.s."/>
    <s v="706"/>
    <x v="1"/>
    <x v="0"/>
    <s v="Slušovice"/>
    <s v="Slušovice, Slunečná 310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8575"/>
    <s v="FBK Valašské Meziříčí z.s."/>
    <s v="706"/>
    <x v="1"/>
    <x v="1"/>
    <s v="Valašské Meziříčí"/>
    <s v="Valašské Meziříčí, Šafaříkova 726/9, PSČ 75701"/>
    <s v="93190"/>
    <s v="Ostatní sportovní činnosti"/>
    <m/>
    <m/>
    <m/>
    <m/>
    <m/>
    <m/>
    <m/>
    <m/>
    <m/>
    <m/>
    <m/>
    <m/>
    <m/>
    <m/>
    <m/>
    <m/>
    <m/>
  </r>
  <r>
    <s v="47934395"/>
    <s v="FC AJAX Bezměrov z.s."/>
    <s v="706"/>
    <x v="1"/>
    <x v="3"/>
    <s v="Bezměrov"/>
    <s v="Bezměrov 224, PSČ 76701"/>
    <s v="93110"/>
    <s v="Provozování sportovních zařízení"/>
    <m/>
    <m/>
    <m/>
    <m/>
    <m/>
    <m/>
    <m/>
    <m/>
    <m/>
    <m/>
    <m/>
    <m/>
    <m/>
    <m/>
    <m/>
    <m/>
    <m/>
  </r>
  <r>
    <s v="60370220"/>
    <s v="FC Bánov z.s."/>
    <s v="706"/>
    <x v="1"/>
    <x v="2"/>
    <s v="Bánov"/>
    <s v="Bánov 677, PSČ 68754"/>
    <s v="93110"/>
    <s v="Provozování sportovních zařízení"/>
    <m/>
    <m/>
    <m/>
    <m/>
    <m/>
    <m/>
    <m/>
    <m/>
    <m/>
    <m/>
    <m/>
    <m/>
    <m/>
    <m/>
    <m/>
    <m/>
    <m/>
  </r>
  <r>
    <s v="22863991"/>
    <s v="„FC Berry Zlín”, o.s."/>
    <s v="706"/>
    <x v="1"/>
    <x v="0"/>
    <s v="Zlín"/>
    <s v="Zlín, Na Honech I 4901, PSČ 76005"/>
    <s v="93120"/>
    <s v="Činnosti sportovních klubů"/>
    <m/>
    <m/>
    <m/>
    <m/>
    <m/>
    <m/>
    <m/>
    <m/>
    <m/>
    <m/>
    <m/>
    <m/>
    <m/>
    <m/>
    <m/>
    <m/>
    <m/>
  </r>
  <r>
    <s v="21885982"/>
    <s v="FC Bizoni Uherské Hradiště, z.s."/>
    <s v="706"/>
    <x v="1"/>
    <x v="2"/>
    <s v="Uherské Hradiště"/>
    <s v="Uherské Hradiště, Sady, Tř. Maršála Malinovského 884, PSČ 68601"/>
    <s v="93120"/>
    <s v="Činnosti sportovních klubů"/>
    <m/>
    <m/>
    <m/>
    <m/>
    <m/>
    <m/>
    <m/>
    <m/>
    <m/>
    <m/>
    <m/>
    <m/>
    <m/>
    <m/>
    <m/>
    <m/>
    <m/>
  </r>
  <r>
    <s v="18810721"/>
    <s v="FC Brumov, z.s."/>
    <s v="706"/>
    <x v="1"/>
    <x v="0"/>
    <s v="Brumov-Bylnice"/>
    <s v="Brumov-Bylnice, Brumov, Družba 1177, PSČ 76331"/>
    <s v="93120"/>
    <s v="Činnosti sportovních klubů"/>
    <m/>
    <m/>
    <m/>
    <m/>
    <m/>
    <m/>
    <m/>
    <m/>
    <m/>
    <m/>
    <m/>
    <m/>
    <m/>
    <m/>
    <m/>
    <m/>
    <m/>
  </r>
  <r>
    <s v="67727883"/>
    <s v="FC Dolní Bečva, spolek"/>
    <s v="706"/>
    <x v="1"/>
    <x v="1"/>
    <s v="Dolní Bečva"/>
    <s v="Dolní Bečva 340, PSČ 75655"/>
    <s v="93120"/>
    <s v="Činnosti sportovních klubů"/>
    <m/>
    <m/>
    <m/>
    <m/>
    <m/>
    <m/>
    <m/>
    <m/>
    <m/>
    <m/>
    <m/>
    <m/>
    <m/>
    <m/>
    <m/>
    <m/>
    <m/>
  </r>
  <r>
    <s v="44004257"/>
    <s v="FC Doubravy, z.s."/>
    <s v="706"/>
    <x v="1"/>
    <x v="0"/>
    <s v="Doubravy"/>
    <s v="Doubravy 45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334697"/>
    <s v="FC Fastav Vsetín, z.s."/>
    <s v="706"/>
    <x v="1"/>
    <x v="1"/>
    <s v="Vsetín"/>
    <s v="Vsetín, Tyršova 2237, PSČ 75501"/>
    <s v="93110"/>
    <s v="Provozování sportovních zařízení"/>
    <m/>
    <m/>
    <m/>
    <m/>
    <m/>
    <m/>
    <m/>
    <m/>
    <m/>
    <m/>
    <m/>
    <m/>
    <m/>
    <m/>
    <m/>
    <m/>
    <m/>
  </r>
  <r>
    <s v="65792157"/>
    <s v="FC Fryšták, z.s."/>
    <s v="706"/>
    <x v="1"/>
    <x v="0"/>
    <s v="Fryšták"/>
    <s v="Fryšták, Zlínská 260, PSČ 76316"/>
    <s v="931"/>
    <s v="Sportovní činnosti"/>
    <m/>
    <m/>
    <m/>
    <m/>
    <m/>
    <m/>
    <m/>
    <m/>
    <m/>
    <m/>
    <m/>
    <m/>
    <m/>
    <m/>
    <m/>
    <m/>
    <m/>
  </r>
  <r>
    <s v="27000907"/>
    <s v="FC Koryčany z.s."/>
    <s v="706"/>
    <x v="1"/>
    <x v="3"/>
    <s v="Koryčany"/>
    <s v="Koryčany, Nad Zahradami 722, PSČ 76805"/>
    <s v="93110"/>
    <s v="Provozování sportovních zařízení"/>
    <m/>
    <m/>
    <m/>
    <m/>
    <m/>
    <m/>
    <m/>
    <m/>
    <m/>
    <m/>
    <m/>
    <m/>
    <m/>
    <m/>
    <m/>
    <m/>
    <m/>
  </r>
  <r>
    <s v="17252393"/>
    <s v="FC Krhová 1940 z. s."/>
    <s v="706"/>
    <x v="1"/>
    <x v="1"/>
    <s v="Krhová"/>
    <s v="Krhová, Bří Podmolů 441, PSČ 75663"/>
    <s v="93110"/>
    <s v="Provozování sportovních zařízení"/>
    <m/>
    <m/>
    <m/>
    <m/>
    <m/>
    <m/>
    <m/>
    <m/>
    <m/>
    <m/>
    <m/>
    <m/>
    <m/>
    <m/>
    <m/>
    <m/>
    <m/>
  </r>
  <r>
    <s v="18189873"/>
    <s v="FC Kvasice z.s."/>
    <s v="706"/>
    <x v="1"/>
    <x v="3"/>
    <s v="Kvasice"/>
    <s v="Kvasice, Tlumačovská 681, PSČ 76821"/>
    <s v="93110"/>
    <s v="Provozování sportovních zařízení"/>
    <m/>
    <m/>
    <m/>
    <m/>
    <m/>
    <m/>
    <m/>
    <m/>
    <m/>
    <m/>
    <m/>
    <m/>
    <m/>
    <m/>
    <m/>
    <m/>
    <m/>
  </r>
  <r>
    <s v="70886725"/>
    <s v="FC Lhota u Vsetína, z.s."/>
    <s v="706"/>
    <x v="1"/>
    <x v="1"/>
    <s v="Lhota u Vsetína"/>
    <s v="Lhota u Vsetína 269, PSČ 75501"/>
    <s v="93120"/>
    <s v="Činnosti sportovních klubů"/>
    <m/>
    <m/>
    <m/>
    <m/>
    <m/>
    <m/>
    <m/>
    <m/>
    <m/>
    <m/>
    <m/>
    <m/>
    <m/>
    <m/>
    <m/>
    <m/>
    <m/>
  </r>
  <r>
    <s v="70909814"/>
    <s v="FC Lhotka n.B., z.s."/>
    <s v="706"/>
    <x v="1"/>
    <x v="1"/>
    <s v="Lešná"/>
    <s v="Lešná 36, PSČ 75641"/>
    <s v="93120"/>
    <s v="Činnosti sportovních klubů"/>
    <m/>
    <m/>
    <m/>
    <m/>
    <m/>
    <m/>
    <m/>
    <m/>
    <m/>
    <m/>
    <m/>
    <m/>
    <m/>
    <m/>
    <m/>
    <m/>
    <m/>
  </r>
  <r>
    <s v="26642727"/>
    <s v="FC Malenovice, z.s."/>
    <s v="706"/>
    <x v="1"/>
    <x v="0"/>
    <s v="Zlín"/>
    <s v="Zlín, Malenovice, třída Svobody 737, PSČ 76302"/>
    <s v="93110"/>
    <s v="Provozování sportovních zařízení"/>
    <m/>
    <m/>
    <m/>
    <m/>
    <m/>
    <m/>
    <m/>
    <m/>
    <m/>
    <m/>
    <m/>
    <m/>
    <m/>
    <m/>
    <m/>
    <m/>
    <m/>
  </r>
  <r>
    <s v="47935316"/>
    <s v="FC Morkovice, z.s."/>
    <s v="706"/>
    <x v="1"/>
    <x v="3"/>
    <s v="Morkovice-Slížany"/>
    <s v="Morkovice-Slížany, Morkovice, Kolaříkova 692, PSČ 76833"/>
    <s v="93110"/>
    <s v="Provozování sportovních zařízení"/>
    <s v="Ostatní maloobchod v nespecializovaných prodejnách"/>
    <m/>
    <m/>
    <m/>
    <m/>
    <m/>
    <m/>
    <m/>
    <m/>
    <m/>
    <m/>
    <m/>
    <m/>
    <m/>
    <m/>
    <m/>
    <m/>
  </r>
  <r>
    <s v="64422551"/>
    <s v="F.C. OLDSTARS Kroměříž"/>
    <s v="736"/>
    <x v="0"/>
    <x v="3"/>
    <s v="Kroměříž"/>
    <s v="Kroměříž, Francouzská 4021/4, PSČ 76701"/>
    <s v="93110"/>
    <s v="Provozování sportovních zařízení"/>
    <m/>
    <m/>
    <m/>
    <m/>
    <m/>
    <m/>
    <m/>
    <m/>
    <m/>
    <m/>
    <m/>
    <m/>
    <m/>
    <m/>
    <m/>
    <m/>
    <m/>
  </r>
  <r>
    <s v="65270215"/>
    <s v="FC Plačkov"/>
    <s v="736"/>
    <x v="0"/>
    <x v="3"/>
    <s v="Kroměříž"/>
    <s v="Kroměříž, Nerudova 452/9, PSČ 76701"/>
    <s v="93120"/>
    <s v="Činnosti sportovních klubů"/>
    <m/>
    <m/>
    <m/>
    <m/>
    <m/>
    <m/>
    <m/>
    <m/>
    <m/>
    <m/>
    <m/>
    <m/>
    <m/>
    <m/>
    <m/>
    <m/>
    <m/>
  </r>
  <r>
    <s v="15531546"/>
    <s v="FC RAK Provodov, z.s."/>
    <s v="706"/>
    <x v="1"/>
    <x v="0"/>
    <s v="Provodov"/>
    <s v="Provodov 28, PSČ 76345"/>
    <s v="93120"/>
    <s v="Činnosti sportovních klubů"/>
    <m/>
    <m/>
    <m/>
    <m/>
    <m/>
    <m/>
    <m/>
    <m/>
    <m/>
    <m/>
    <m/>
    <m/>
    <m/>
    <m/>
    <m/>
    <m/>
    <m/>
  </r>
  <r>
    <s v="68898657"/>
    <s v="FC Semetín, z.s."/>
    <s v="706"/>
    <x v="1"/>
    <x v="1"/>
    <s v="Vsetín"/>
    <s v="Vsetín, Semetín 1656, PSČ 75501"/>
    <s v="93120"/>
    <s v="Činnosti sportovních klubů"/>
    <m/>
    <m/>
    <m/>
    <m/>
    <m/>
    <m/>
    <m/>
    <m/>
    <m/>
    <m/>
    <m/>
    <m/>
    <m/>
    <m/>
    <m/>
    <m/>
    <m/>
  </r>
  <r>
    <s v="22761209"/>
    <s v="FC Slovácko z.s."/>
    <s v="706"/>
    <x v="1"/>
    <x v="2"/>
    <s v="Uherské Hradiště"/>
    <s v="Uherské Hradiště, Stonky 566, PSČ 68601"/>
    <s v="93110"/>
    <s v="Provozování sportovních zařízení"/>
    <m/>
    <m/>
    <m/>
    <m/>
    <m/>
    <m/>
    <m/>
    <m/>
    <m/>
    <m/>
    <m/>
    <m/>
    <m/>
    <m/>
    <m/>
    <m/>
    <m/>
  </r>
  <r>
    <s v="64467163"/>
    <s v="FC Slušovice z.s."/>
    <s v="706"/>
    <x v="1"/>
    <x v="0"/>
    <s v="Slušovice"/>
    <s v="Slušovice, Dlouhá 680"/>
    <s v="93120"/>
    <s v="Činnosti sportovních klubů"/>
    <m/>
    <m/>
    <m/>
    <m/>
    <m/>
    <m/>
    <m/>
    <m/>
    <m/>
    <m/>
    <m/>
    <m/>
    <m/>
    <m/>
    <m/>
    <m/>
    <m/>
  </r>
  <r>
    <s v="46310801"/>
    <s v="FC START Mirošov, z.s."/>
    <s v="706"/>
    <x v="1"/>
    <x v="0"/>
    <s v="Valašské Klobouky"/>
    <s v="Valašské Klobouky, Mirošov 29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6541"/>
    <s v="FC Strání z.s."/>
    <s v="706"/>
    <x v="1"/>
    <x v="2"/>
    <s v="Strání"/>
    <s v="Strání, Rubanice 1093, PSČ 68765"/>
    <s v="93110"/>
    <s v="Provozování sportovních zařízení"/>
    <m/>
    <m/>
    <m/>
    <m/>
    <m/>
    <m/>
    <m/>
    <m/>
    <m/>
    <m/>
    <m/>
    <m/>
    <m/>
    <m/>
    <m/>
    <m/>
    <m/>
  </r>
  <r>
    <s v="61716006"/>
    <s v="FC TOPOL OTROKOVICE"/>
    <s v="706"/>
    <x v="1"/>
    <x v="0"/>
    <s v="Otrokovice"/>
    <s v="Otrokovice, Dr. Stojana 492, PSČ 76502"/>
    <s v="93120"/>
    <s v="Činnosti sportovních klubů"/>
    <m/>
    <m/>
    <m/>
    <m/>
    <m/>
    <m/>
    <m/>
    <m/>
    <m/>
    <m/>
    <m/>
    <m/>
    <m/>
    <m/>
    <m/>
    <m/>
    <m/>
  </r>
  <r>
    <s v="49157345"/>
    <s v="FC TVD Slavičín z.s."/>
    <s v="706"/>
    <x v="1"/>
    <x v="0"/>
    <s v="Slavičín"/>
    <s v="Slavičín, Školní 881, PSČ 76321"/>
    <s v="93120"/>
    <s v="Činnosti sportovních klubů"/>
    <m/>
    <m/>
    <m/>
    <m/>
    <m/>
    <m/>
    <m/>
    <m/>
    <m/>
    <m/>
    <m/>
    <m/>
    <m/>
    <m/>
    <m/>
    <m/>
    <m/>
  </r>
  <r>
    <s v="70891362"/>
    <s v="FC Valašské Příkazy, z.s."/>
    <s v="706"/>
    <x v="1"/>
    <x v="0"/>
    <s v="Valašské Příkazy"/>
    <s v="Valašské Příkazy 50, PSČ 75612"/>
    <s v="93120"/>
    <s v="Činnosti sportovních klubů"/>
    <m/>
    <m/>
    <m/>
    <m/>
    <m/>
    <m/>
    <m/>
    <m/>
    <m/>
    <m/>
    <m/>
    <m/>
    <m/>
    <m/>
    <m/>
    <m/>
    <m/>
  </r>
  <r>
    <s v="70640378"/>
    <s v="FC Velké Karlovice + Karolinka z.s."/>
    <s v="706"/>
    <x v="1"/>
    <x v="1"/>
    <s v="Velké Karlovice"/>
    <s v="Velké Karlovice 1, PSČ 75606"/>
    <s v="93120"/>
    <s v="Činnosti sportovních klubů"/>
    <m/>
    <m/>
    <m/>
    <m/>
    <m/>
    <m/>
    <m/>
    <m/>
    <m/>
    <m/>
    <m/>
    <m/>
    <m/>
    <m/>
    <m/>
    <m/>
    <m/>
  </r>
  <r>
    <s v="47930365"/>
    <s v="F.C. VICTORIA KROMĚŘÍŽ"/>
    <s v="736"/>
    <x v="0"/>
    <x v="3"/>
    <s v="Kroměříž"/>
    <s v="Kroměříž, Rumunská 4046/12, PSČ 76701"/>
    <s v="93110"/>
    <s v="Provozování sportovních zařízení"/>
    <m/>
    <m/>
    <m/>
    <m/>
    <m/>
    <m/>
    <m/>
    <m/>
    <m/>
    <m/>
    <m/>
    <m/>
    <m/>
    <m/>
    <m/>
    <m/>
    <m/>
  </r>
  <r>
    <s v="22893474"/>
    <s v="FC Vodafix Žítková, z.s."/>
    <s v="706"/>
    <x v="1"/>
    <x v="2"/>
    <s v="Žítková"/>
    <s v="Žítková 194, PSČ 68774"/>
    <s v="93110"/>
    <s v="Provozování sportovních zařízení"/>
    <m/>
    <m/>
    <m/>
    <m/>
    <m/>
    <m/>
    <m/>
    <m/>
    <m/>
    <m/>
    <m/>
    <m/>
    <m/>
    <m/>
    <m/>
    <m/>
    <m/>
  </r>
  <r>
    <s v="46308792"/>
    <s v="FC ZLÍNSKO, spolek"/>
    <s v="706"/>
    <x v="1"/>
    <x v="0"/>
    <s v="Otrokovice"/>
    <s v="Otrokovice, Kvítkovice, Zlínská 240, PSČ 76502"/>
    <s v="9499"/>
    <s v="Činnosti ostatních organizací sdružujících osoby za účelem prosazování společných zájmů j. n."/>
    <s v="Ubytování"/>
    <s v="Činnosti v oblasti nemovitostí"/>
    <s v="Podpůrné činnosti pro scénická umění"/>
    <s v="Destilace, rektifikace a míchání lihovin"/>
    <s v="Stravování v restauracích, u stánků a v mobilních zařízeních"/>
    <s v="Ostatní sportovní činnosti"/>
    <s v="Poskytování ostatních osobních služeb j. n."/>
    <m/>
    <m/>
    <m/>
    <m/>
    <m/>
    <m/>
    <m/>
    <m/>
    <m/>
    <m/>
  </r>
  <r>
    <s v="65891546"/>
    <s v="FC ZUBŘÍ, z.s."/>
    <s v="706"/>
    <x v="1"/>
    <x v="1"/>
    <s v="Zubří"/>
    <s v="Zubří, Sídliště 6. května 491, PSČ 75654"/>
    <s v="93110"/>
    <s v="Provozování sportovních zařízení"/>
    <m/>
    <m/>
    <m/>
    <m/>
    <m/>
    <m/>
    <m/>
    <m/>
    <m/>
    <m/>
    <m/>
    <m/>
    <m/>
    <m/>
    <m/>
    <m/>
    <m/>
  </r>
  <r>
    <s v="62182731"/>
    <s v="FC Žlutava, z.s."/>
    <s v="706"/>
    <x v="1"/>
    <x v="0"/>
    <s v="Žlutava"/>
    <s v="Žlutava 191, PSČ 76361"/>
    <s v="93110"/>
    <s v="Provozování sportovních zařízení"/>
    <m/>
    <m/>
    <m/>
    <m/>
    <m/>
    <m/>
    <m/>
    <m/>
    <m/>
    <m/>
    <m/>
    <m/>
    <m/>
    <m/>
    <m/>
    <m/>
    <m/>
  </r>
  <r>
    <s v="22665081"/>
    <s v="F-dur jazzband z. s."/>
    <s v="706"/>
    <x v="1"/>
    <x v="0"/>
    <s v="Zlín"/>
    <s v="Zlín, Štefánikova 2987/9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8470"/>
    <s v="Fechtl team Břestek o.s."/>
    <s v="706"/>
    <x v="1"/>
    <x v="2"/>
    <s v="Břestek"/>
    <s v="Břestek 182, PSČ 6870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6804365"/>
    <s v="Federation of Bobcross International z.s."/>
    <s v="706"/>
    <x v="1"/>
    <x v="1"/>
    <s v="Rožnov pod Radhoštěm"/>
    <s v="Rožnov pod Radhoštěm, Pionýrská 2819, PSČ 75661"/>
    <s v="94993"/>
    <s v="Činnosti organizací na podporu rekreační a zájmové činnosti"/>
    <s v="Výroba, obchod a služby neuvedené v přílohách 1 až 3 živnostenského zákona"/>
    <m/>
    <m/>
    <m/>
    <m/>
    <m/>
    <m/>
    <m/>
    <m/>
    <m/>
    <m/>
    <m/>
    <m/>
    <m/>
    <m/>
    <m/>
    <m/>
  </r>
  <r>
    <s v="62829866"/>
    <s v="FÉNIX Kunovice - modelářský klub p. s."/>
    <s v="736"/>
    <x v="0"/>
    <x v="2"/>
    <s v="Kunovice"/>
    <s v="Kunovice, Novoveská 170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084903"/>
    <s v="Férové informace spotřebitelům, z.s."/>
    <s v="706"/>
    <x v="1"/>
    <x v="0"/>
    <s v="Zlín"/>
    <s v="Zlín, Prštné, Vinohrady 6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651434"/>
    <s v="&quot;FEST&quot;"/>
    <s v="706"/>
    <x v="1"/>
    <x v="0"/>
    <s v="Otrokovice"/>
    <s v="Otrokovice, Hložkova 394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169551"/>
    <s v="FESŤÁČEK z.s."/>
    <s v="706"/>
    <x v="1"/>
    <x v="1"/>
    <s v="Liptál"/>
    <s v="Liptál 395, PSČ 756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51604"/>
    <s v="Festival světel Valašsko z.s."/>
    <s v="706"/>
    <x v="1"/>
    <x v="1"/>
    <s v="Valašské Meziříčí"/>
    <s v="Valašské Meziříčí, Krásno nad Bečvou, Hranická 9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73163"/>
    <s v="FG DRIFT, z. s."/>
    <s v="706"/>
    <x v="1"/>
    <x v="0"/>
    <s v="Brumov-Bylnice"/>
    <s v="Brumov-Bylnice, Brumov, J. Středovského 1078, PSČ 76331"/>
    <s v="93190"/>
    <s v="Ostatní sportovní činnosti"/>
    <m/>
    <m/>
    <m/>
    <m/>
    <m/>
    <m/>
    <m/>
    <m/>
    <m/>
    <m/>
    <m/>
    <m/>
    <m/>
    <m/>
    <m/>
    <m/>
    <m/>
  </r>
  <r>
    <s v="22902015"/>
    <s v="Fifty-Fifty z.s."/>
    <s v="706"/>
    <x v="1"/>
    <x v="0"/>
    <s v="Zlín"/>
    <s v="Zlín, Větrná 4663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45062"/>
    <s v="Fighters centrum Spartakus Vsetín, spolek"/>
    <s v="706"/>
    <x v="1"/>
    <x v="1"/>
    <s v="Vsetín"/>
    <s v="Vsetín, Na Hrázi 1570, PSČ 75501"/>
    <s v="93110"/>
    <s v="Provozování sportovních zařízení"/>
    <m/>
    <m/>
    <m/>
    <m/>
    <m/>
    <m/>
    <m/>
    <m/>
    <m/>
    <m/>
    <m/>
    <m/>
    <m/>
    <m/>
    <m/>
    <m/>
    <m/>
  </r>
  <r>
    <s v="27673286"/>
    <s v="Filharmonie Bohuslava Martinů, o.p.s."/>
    <s v="141"/>
    <x v="2"/>
    <x v="0"/>
    <s v="Zlín"/>
    <s v="Zlín, nám. T. G. Masaryka 5556, PSČ 76001"/>
    <s v="90010"/>
    <s v="Scénická umění"/>
    <s v="Ostatní profesní, vědecké a technické činnosti"/>
    <s v="Reklamní činnosti"/>
    <s v="Zprostředkovatelské činnosti realitních agentur"/>
    <m/>
    <m/>
    <m/>
    <m/>
    <m/>
    <m/>
    <m/>
    <m/>
    <m/>
    <m/>
    <m/>
    <m/>
    <m/>
    <m/>
  </r>
  <r>
    <s v="29462495"/>
    <s v="Filia centrum, o.p.s."/>
    <s v="141"/>
    <x v="2"/>
    <x v="1"/>
    <s v="Leskovec"/>
    <s v="Leskovec 210, PSČ 75611"/>
    <s v="855"/>
    <s v="Ostatní vzdělávání"/>
    <s v="Zprostředkování velkoobchodu a velkoobchod v zastoupení"/>
    <s v="Ostatní profesní, vědecké a technické činnosti j. n."/>
    <s v="Podpůrné činnosti pro scénická umění"/>
    <m/>
    <m/>
    <m/>
    <m/>
    <m/>
    <m/>
    <m/>
    <m/>
    <m/>
    <m/>
    <m/>
    <m/>
    <m/>
    <m/>
  </r>
  <r>
    <s v="26531488"/>
    <s v="Filmový klub Polešovice"/>
    <s v="706"/>
    <x v="1"/>
    <x v="2"/>
    <s v="Polešovice"/>
    <s v="Polešovice 141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469542"/>
    <s v="Filmový klub ve Vsetíně z.s."/>
    <s v="706"/>
    <x v="1"/>
    <x v="1"/>
    <s v="Vsetín"/>
    <s v="Vsetín, nám. Svobody 207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5227"/>
    <s v="Filmový klub Zlín o.s."/>
    <s v="706"/>
    <x v="1"/>
    <x v="0"/>
    <s v="Zlín"/>
    <s v="Zlín, nám. T. G. Masaryka 514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11017"/>
    <s v="Fireside Gatherings, z. s."/>
    <s v="706"/>
    <x v="1"/>
    <x v="0"/>
    <s v="Napajedla"/>
    <s v="Napajedla, třída Tomáše Bati 946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7879"/>
    <s v="Fish Team Dorado o.s."/>
    <s v="706"/>
    <x v="1"/>
    <x v="2"/>
    <s v="Ostrožská Nová Ves"/>
    <s v="Ostrožská Nová Ves, Chylice, Na hrázi 275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4937"/>
    <s v="FIT JANA DANCE,z.s."/>
    <s v="706"/>
    <x v="1"/>
    <x v="3"/>
    <s v="Bystřice pod Hostýnem"/>
    <s v="Bystřice pod Hostýnem, Rychlov, Přerovská 165, PSČ 76861"/>
    <s v="93110"/>
    <s v="Provozování sportovních zařízení"/>
    <m/>
    <m/>
    <m/>
    <m/>
    <m/>
    <m/>
    <m/>
    <m/>
    <m/>
    <m/>
    <m/>
    <m/>
    <m/>
    <m/>
    <m/>
    <m/>
    <m/>
  </r>
  <r>
    <s v="70841641"/>
    <s v="Fit klub Santa Monica"/>
    <s v="706"/>
    <x v="1"/>
    <x v="3"/>
    <s v="Soběsuky"/>
    <s v="Soběsuky 18, PSČ 76802"/>
    <s v="93120"/>
    <s v="Činnosti sportovních klubů"/>
    <m/>
    <m/>
    <m/>
    <m/>
    <m/>
    <m/>
    <m/>
    <m/>
    <m/>
    <m/>
    <m/>
    <m/>
    <m/>
    <m/>
    <m/>
    <m/>
    <m/>
  </r>
  <r>
    <s v="09204661"/>
    <s v="Fit packy Kudlov, z.s."/>
    <s v="706"/>
    <x v="1"/>
    <x v="0"/>
    <s v="Zlín"/>
    <s v="Zlín, Kudlov 97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70461"/>
    <s v="FIT-K.O. klub kulturistiky, fitness a bojových sportů z.s."/>
    <s v="706"/>
    <x v="1"/>
    <x v="2"/>
    <s v="Staré Město"/>
    <s v="Staré Město, Hradišťská 1955, PSČ 68603"/>
    <s v="93190"/>
    <s v="Ostatní sportovní činnosti"/>
    <m/>
    <m/>
    <m/>
    <m/>
    <m/>
    <m/>
    <m/>
    <m/>
    <m/>
    <m/>
    <m/>
    <m/>
    <m/>
    <m/>
    <m/>
    <m/>
    <m/>
  </r>
  <r>
    <s v="01520270"/>
    <s v="Fitness Trinity Holešov"/>
    <s v="706"/>
    <x v="1"/>
    <x v="3"/>
    <s v="Holešov"/>
    <s v="Holešov, Novosady 470/23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750714"/>
    <s v="Fit4life, z. s."/>
    <s v="706"/>
    <x v="1"/>
    <x v="2"/>
    <s v="Uherské Hradiště"/>
    <s v="Uherské Hradiště, Tyršovo náměstí 470, PSČ 68601"/>
    <s v="93190"/>
    <s v="Ostatní sportovní činnosti"/>
    <m/>
    <m/>
    <m/>
    <m/>
    <m/>
    <m/>
    <m/>
    <m/>
    <m/>
    <m/>
    <m/>
    <m/>
    <m/>
    <m/>
    <m/>
    <m/>
    <m/>
  </r>
  <r>
    <s v="01282115"/>
    <s v="FK - NEMATANT"/>
    <s v="706"/>
    <x v="1"/>
    <x v="3"/>
    <s v="Hulín"/>
    <s v="Hulín, U Stavu II 1251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3191"/>
    <s v="FK ARSENAL, o. s."/>
    <s v="706"/>
    <x v="1"/>
    <x v="1"/>
    <s v="Rožnov pod Radhoštěm"/>
    <s v="Rožnov pod Radhoštěm, Čs. armády 1242, PSČ 75661"/>
    <s v="93110"/>
    <s v="Provozování sportovních zařízení"/>
    <m/>
    <m/>
    <m/>
    <m/>
    <m/>
    <m/>
    <m/>
    <m/>
    <m/>
    <m/>
    <m/>
    <m/>
    <m/>
    <m/>
    <m/>
    <m/>
    <m/>
  </r>
  <r>
    <s v="61704156"/>
    <s v="FK Boršice u Blatnice z.s."/>
    <s v="706"/>
    <x v="1"/>
    <x v="2"/>
    <s v="Boršice u Blatnice"/>
    <s v="Boršice u Blatnice 5, PSČ 68763"/>
    <s v="93110"/>
    <s v="Provozování sportovních zařízení"/>
    <m/>
    <m/>
    <m/>
    <m/>
    <m/>
    <m/>
    <m/>
    <m/>
    <m/>
    <m/>
    <m/>
    <m/>
    <m/>
    <m/>
    <m/>
    <m/>
    <m/>
  </r>
  <r>
    <s v="46956875"/>
    <s v="FK Březová z.s."/>
    <s v="706"/>
    <x v="1"/>
    <x v="2"/>
    <s v="Březová"/>
    <s v="Březová 379, PSČ 68767"/>
    <s v="93110"/>
    <s v="Provozování sportovních zařízení"/>
    <m/>
    <m/>
    <m/>
    <m/>
    <m/>
    <m/>
    <m/>
    <m/>
    <m/>
    <m/>
    <m/>
    <m/>
    <m/>
    <m/>
    <m/>
    <m/>
    <m/>
  </r>
  <r>
    <s v="67009841"/>
    <s v="FK Bystřice pod Hostýnem, z.s."/>
    <s v="706"/>
    <x v="1"/>
    <x v="3"/>
    <s v="Bystřice pod Hostýnem"/>
    <s v="Bystřice pod Hostýnem, Sportovní 1560, PSČ 76861"/>
    <s v="931"/>
    <s v="Sportovní činnosti"/>
    <m/>
    <m/>
    <m/>
    <m/>
    <m/>
    <m/>
    <m/>
    <m/>
    <m/>
    <m/>
    <m/>
    <m/>
    <m/>
    <m/>
    <m/>
    <m/>
    <m/>
  </r>
  <r>
    <s v="46956611"/>
    <s v="FK Dolní Němčí, z.s."/>
    <s v="706"/>
    <x v="1"/>
    <x v="2"/>
    <s v="Dolní Němčí"/>
    <s v="Dolní Němčí, U Stadionu 880, PSČ 68762"/>
    <s v="93110"/>
    <s v="Provozování sportovních zařízení"/>
    <s v="Silniční nákladní doprava"/>
    <m/>
    <m/>
    <m/>
    <m/>
    <m/>
    <m/>
    <m/>
    <m/>
    <m/>
    <m/>
    <m/>
    <m/>
    <m/>
    <m/>
    <m/>
    <m/>
  </r>
  <r>
    <s v="70835411"/>
    <s v="FK Hřiban Salaš"/>
    <s v="706"/>
    <x v="1"/>
    <x v="2"/>
    <s v="Salaš"/>
    <s v="Salaš 145, Velehrad"/>
    <s v="931"/>
    <s v="Sportovní činnosti"/>
    <m/>
    <m/>
    <m/>
    <m/>
    <m/>
    <m/>
    <m/>
    <m/>
    <m/>
    <m/>
    <m/>
    <m/>
    <m/>
    <m/>
    <m/>
    <m/>
    <m/>
  </r>
  <r>
    <s v="19374437"/>
    <s v="FK Hřiban Salaš 2022 z. s."/>
    <s v="706"/>
    <x v="1"/>
    <x v="2"/>
    <s v="Salaš"/>
    <s v="Salaš 85, PSČ 68706"/>
    <s v="93110"/>
    <s v="Provozování sportovních zařízení"/>
    <m/>
    <m/>
    <m/>
    <m/>
    <m/>
    <m/>
    <m/>
    <m/>
    <m/>
    <m/>
    <m/>
    <m/>
    <m/>
    <m/>
    <m/>
    <m/>
    <m/>
  </r>
  <r>
    <s v="21376808"/>
    <s v="FK Javořina, z.s."/>
    <s v="706"/>
    <x v="1"/>
    <x v="2"/>
    <s v="Slavkov"/>
    <s v="Slavkov 114, PSČ 68764"/>
    <s v="93110"/>
    <s v="Provozování sportovních zařízení"/>
    <m/>
    <m/>
    <m/>
    <m/>
    <m/>
    <m/>
    <m/>
    <m/>
    <m/>
    <m/>
    <m/>
    <m/>
    <m/>
    <m/>
    <m/>
    <m/>
    <m/>
  </r>
  <r>
    <s v="26611546"/>
    <s v="FK Komárno-Osíčko, z. s."/>
    <s v="706"/>
    <x v="1"/>
    <x v="3"/>
    <s v="Komárno"/>
    <s v="Komárno 49, PSČ 76871"/>
    <s v="93110"/>
    <s v="Provozování sportovních zařízení"/>
    <m/>
    <m/>
    <m/>
    <m/>
    <m/>
    <m/>
    <m/>
    <m/>
    <m/>
    <m/>
    <m/>
    <m/>
    <m/>
    <m/>
    <m/>
    <m/>
    <m/>
  </r>
  <r>
    <s v="44119283"/>
    <s v="FK Lhota, z. s."/>
    <s v="706"/>
    <x v="1"/>
    <x v="0"/>
    <s v="Lhota"/>
    <s v="Lhota 247, PSČ 76302"/>
    <s v="93110"/>
    <s v="Provozování sportovních zařízení"/>
    <s v="Stravování v restauracích, u stánků a v mobilních zařízeních"/>
    <s v="Destilace, rektifikace a míchání lihovin"/>
    <m/>
    <m/>
    <m/>
    <m/>
    <m/>
    <m/>
    <m/>
    <m/>
    <m/>
    <m/>
    <m/>
    <m/>
    <m/>
    <m/>
    <m/>
  </r>
  <r>
    <s v="46308326"/>
    <s v="FK Luhačovice, z.s."/>
    <s v="706"/>
    <x v="1"/>
    <x v="0"/>
    <s v="Luhačovice"/>
    <s v="Luhačovice, Hradisko 1029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6982"/>
    <s v="FK Lutonina, z.s."/>
    <s v="706"/>
    <x v="1"/>
    <x v="0"/>
    <s v="Lutonina"/>
    <s v="Lutonina 158, PSČ 76312"/>
    <s v="931"/>
    <s v="Sportovní činnosti"/>
    <s v="Stravování v restauracích, u stánků a v mobilních zařízeních"/>
    <s v="Ostatní sportovní činnosti"/>
    <s v="Destilace, rektifikace a míchání lihovin"/>
    <m/>
    <m/>
    <m/>
    <m/>
    <m/>
    <m/>
    <m/>
    <m/>
    <m/>
    <m/>
    <m/>
    <m/>
    <m/>
    <m/>
  </r>
  <r>
    <s v="42340667"/>
    <s v="FK Lužkovice - Želechovice, z.s."/>
    <s v="706"/>
    <x v="1"/>
    <x v="0"/>
    <s v="Zlín"/>
    <s v="Zlín, Lužkovice, Pod Kopcem 234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6087"/>
    <s v="FK Ostrožská Nová Ves,z.s."/>
    <s v="706"/>
    <x v="1"/>
    <x v="2"/>
    <s v="Ostrožská Nová Ves"/>
    <s v="Ostrožská Nová Ves, Nádražní 842, PSČ 68722"/>
    <s v="93110"/>
    <s v="Provozování sportovních zařízení"/>
    <m/>
    <m/>
    <m/>
    <m/>
    <m/>
    <m/>
    <m/>
    <m/>
    <m/>
    <m/>
    <m/>
    <m/>
    <m/>
    <m/>
    <m/>
    <m/>
    <m/>
  </r>
  <r>
    <s v="15545849"/>
    <s v="FK Poteč z.s."/>
    <s v="706"/>
    <x v="1"/>
    <x v="0"/>
    <s v="Poteč"/>
    <s v="Poteč 276, PSČ 76601"/>
    <s v="931"/>
    <s v="Sportovní činnosti"/>
    <m/>
    <m/>
    <m/>
    <m/>
    <m/>
    <m/>
    <m/>
    <m/>
    <m/>
    <m/>
    <m/>
    <m/>
    <m/>
    <m/>
    <m/>
    <m/>
    <m/>
  </r>
  <r>
    <s v="48773930"/>
    <s v="FK Prostřední Bečva, z.s."/>
    <s v="706"/>
    <x v="1"/>
    <x v="1"/>
    <s v="Prostřední Bečva"/>
    <s v="Prostřední Bečva 427, PSČ 75656"/>
    <s v="93110"/>
    <s v="Provozování sportovních zařízení"/>
    <m/>
    <m/>
    <m/>
    <m/>
    <m/>
    <m/>
    <m/>
    <m/>
    <m/>
    <m/>
    <m/>
    <m/>
    <m/>
    <m/>
    <m/>
    <m/>
    <m/>
  </r>
  <r>
    <s v="18757821"/>
    <s v="FK Příluky,spolek"/>
    <s v="706"/>
    <x v="1"/>
    <x v="0"/>
    <s v="Zlín"/>
    <s v="Zlín, Příluky, Cecilka 125, PSČ 76001"/>
    <s v="931"/>
    <s v="Sportovní činnosti"/>
    <m/>
    <m/>
    <m/>
    <m/>
    <m/>
    <m/>
    <m/>
    <m/>
    <m/>
    <m/>
    <m/>
    <m/>
    <m/>
    <m/>
    <m/>
    <m/>
    <m/>
  </r>
  <r>
    <s v="22848991"/>
    <s v="FK Regmont Valašské Meziříčí"/>
    <s v="706"/>
    <x v="1"/>
    <x v="1"/>
    <s v="Střítež nad Bečvou"/>
    <s v="Střítež nad Bečvou 242, PSČ 75652"/>
    <s v="93110"/>
    <s v="Provozování sportovních zařízení"/>
    <m/>
    <m/>
    <m/>
    <m/>
    <m/>
    <m/>
    <m/>
    <m/>
    <m/>
    <m/>
    <m/>
    <m/>
    <m/>
    <m/>
    <m/>
    <m/>
    <m/>
  </r>
  <r>
    <s v="49157094"/>
    <s v="FK SMOLINA z.s."/>
    <s v="706"/>
    <x v="1"/>
    <x v="0"/>
    <s v="Valašské Klobouky"/>
    <s v="Valašské Klobouky, Smolina 90, PSČ 76601"/>
    <s v="931"/>
    <s v="Sportovní činnosti"/>
    <m/>
    <m/>
    <m/>
    <m/>
    <m/>
    <m/>
    <m/>
    <m/>
    <m/>
    <m/>
    <m/>
    <m/>
    <m/>
    <m/>
    <m/>
    <m/>
    <m/>
  </r>
  <r>
    <s v="61704334"/>
    <s v="FK Starý Hrozenkov, z.s."/>
    <s v="706"/>
    <x v="1"/>
    <x v="2"/>
    <s v="Starý Hrozenkov"/>
    <s v="Starý Hrozenkov 1, PSČ 68774"/>
    <s v="93110"/>
    <s v="Provozování sportovních zařízení"/>
    <m/>
    <m/>
    <m/>
    <m/>
    <m/>
    <m/>
    <m/>
    <m/>
    <m/>
    <m/>
    <m/>
    <m/>
    <m/>
    <m/>
    <m/>
    <m/>
    <m/>
  </r>
  <r>
    <s v="62181491"/>
    <s v="FK Štípa, z.s."/>
    <s v="706"/>
    <x v="1"/>
    <x v="0"/>
    <s v="Zlín"/>
    <s v="Zlín, Štípa, Ke Hřišti 665, PSČ 76314"/>
    <s v="93120"/>
    <s v="Činnosti sportovních klubů"/>
    <s v="Maloobchod v nespecializovaných prodejnách"/>
    <s v="Destilace, rektifikace a míchání lihovin"/>
    <m/>
    <m/>
    <m/>
    <m/>
    <m/>
    <m/>
    <m/>
    <m/>
    <m/>
    <m/>
    <m/>
    <m/>
    <m/>
    <m/>
    <m/>
  </r>
  <r>
    <s v="28558022"/>
    <s v="FK Uherský Ostroh, z.s."/>
    <s v="706"/>
    <x v="1"/>
    <x v="2"/>
    <s v="Uherský Ostroh"/>
    <s v="Uherský Ostroh, Ostrožské Předměstí, Na Zámecké 868, PSČ 68724"/>
    <s v="93110"/>
    <s v="Provozování sportovních zařízení"/>
    <m/>
    <m/>
    <m/>
    <m/>
    <m/>
    <m/>
    <m/>
    <m/>
    <m/>
    <m/>
    <m/>
    <m/>
    <m/>
    <m/>
    <m/>
    <m/>
    <m/>
  </r>
  <r>
    <s v="48773328"/>
    <s v="FK Vigantice z. s."/>
    <s v="706"/>
    <x v="1"/>
    <x v="1"/>
    <s v="Vigantice"/>
    <s v="Vigantice 44, PSČ 75661"/>
    <s v="93110"/>
    <s v="Provozování sportovních zařízení"/>
    <m/>
    <m/>
    <m/>
    <m/>
    <m/>
    <m/>
    <m/>
    <m/>
    <m/>
    <m/>
    <m/>
    <m/>
    <m/>
    <m/>
    <m/>
    <m/>
    <m/>
  </r>
  <r>
    <s v="19902794"/>
    <s v="FLK Zlechov z.s."/>
    <s v="706"/>
    <x v="1"/>
    <x v="2"/>
    <s v="Zlechov"/>
    <s v="Zlechov 331, PSČ 68710"/>
    <s v="93190"/>
    <s v="Ostatní sportovní činnosti"/>
    <m/>
    <m/>
    <m/>
    <m/>
    <m/>
    <m/>
    <m/>
    <m/>
    <m/>
    <m/>
    <m/>
    <m/>
    <m/>
    <m/>
    <m/>
    <m/>
    <m/>
  </r>
  <r>
    <s v="19695659"/>
    <s v="Floorball Club Jablůnka, z. s."/>
    <s v="706"/>
    <x v="1"/>
    <x v="1"/>
    <s v="Jablůnka"/>
    <s v="Jablůnka 365, PSČ 75623"/>
    <s v="93110"/>
    <s v="Provozování sportovních zařízení"/>
    <m/>
    <m/>
    <m/>
    <m/>
    <m/>
    <m/>
    <m/>
    <m/>
    <m/>
    <m/>
    <m/>
    <m/>
    <m/>
    <m/>
    <m/>
    <m/>
    <m/>
  </r>
  <r>
    <s v="26536072"/>
    <s v="Florbal Holešov, z.s."/>
    <s v="706"/>
    <x v="1"/>
    <x v="3"/>
    <s v="Holešov"/>
    <s v="Holešov, Sadová 1548, PSČ 76901"/>
    <s v="93110"/>
    <s v="Provozování sportovních zařízení"/>
    <m/>
    <m/>
    <m/>
    <m/>
    <m/>
    <m/>
    <m/>
    <m/>
    <m/>
    <m/>
    <m/>
    <m/>
    <m/>
    <m/>
    <m/>
    <m/>
    <m/>
  </r>
  <r>
    <s v="08753857"/>
    <s v="Florbal Snipers Slavičín, z.s."/>
    <s v="706"/>
    <x v="1"/>
    <x v="0"/>
    <s v="Slavičín"/>
    <s v="Slavičín, Osvobození 255, PSČ 76321"/>
    <s v="93190"/>
    <s v="Ostatní sportovní činnosti"/>
    <m/>
    <m/>
    <m/>
    <m/>
    <m/>
    <m/>
    <m/>
    <m/>
    <m/>
    <m/>
    <m/>
    <m/>
    <m/>
    <m/>
    <m/>
    <m/>
    <m/>
  </r>
  <r>
    <s v="03977731"/>
    <s v="Florbal Vsetín, z.s."/>
    <s v="706"/>
    <x v="1"/>
    <x v="1"/>
    <s v="Vsetín"/>
    <s v="Vsetín, Lázky 652, PSČ 75501"/>
    <s v="93190"/>
    <s v="Ostatní sportovní činnosti"/>
    <m/>
    <m/>
    <m/>
    <m/>
    <m/>
    <m/>
    <m/>
    <m/>
    <m/>
    <m/>
    <m/>
    <m/>
    <m/>
    <m/>
    <m/>
    <m/>
    <m/>
  </r>
  <r>
    <s v="22902783"/>
    <s v="„Florbalový klub Bánov, o. s.”"/>
    <s v="706"/>
    <x v="1"/>
    <x v="2"/>
    <s v="Bánov"/>
    <s v="Bánov 659, PSČ 68754"/>
    <s v="93120"/>
    <s v="Činnosti sportovních klubů"/>
    <m/>
    <m/>
    <m/>
    <m/>
    <m/>
    <m/>
    <m/>
    <m/>
    <m/>
    <m/>
    <m/>
    <m/>
    <m/>
    <m/>
    <m/>
    <m/>
    <m/>
  </r>
  <r>
    <s v="02197677"/>
    <s v="Florbalový klub FbC Kohouti Olomouc o.s."/>
    <s v="706"/>
    <x v="1"/>
    <x v="3"/>
    <s v="Třebětice"/>
    <s v="Třebětice 15, PSČ 76901"/>
    <s v="93110"/>
    <s v="Provozování sportovních zařízení"/>
    <m/>
    <m/>
    <m/>
    <m/>
    <m/>
    <m/>
    <m/>
    <m/>
    <m/>
    <m/>
    <m/>
    <m/>
    <m/>
    <m/>
    <m/>
    <m/>
    <m/>
  </r>
  <r>
    <s v="70289361"/>
    <s v="Florbalový klub PANTHERS OTROKOVICE, z.s."/>
    <s v="706"/>
    <x v="1"/>
    <x v="0"/>
    <s v="Otrokovice"/>
    <s v="Otrokovice, Mánesova 665, PSČ 76502"/>
    <s v="93120"/>
    <s v="Činnosti sportovních klubů"/>
    <m/>
    <m/>
    <m/>
    <m/>
    <m/>
    <m/>
    <m/>
    <m/>
    <m/>
    <m/>
    <m/>
    <m/>
    <m/>
    <m/>
    <m/>
    <m/>
    <m/>
  </r>
  <r>
    <s v="03075486"/>
    <s v="Florbalový klub Zlín Lions, z. s."/>
    <s v="706"/>
    <x v="1"/>
    <x v="0"/>
    <s v="Zlín"/>
    <s v="Zlín, Prštné, K. Světlé 422, PSČ 76001"/>
    <s v="93190"/>
    <s v="Ostatní sportovní činnosti"/>
    <m/>
    <m/>
    <m/>
    <m/>
    <m/>
    <m/>
    <m/>
    <m/>
    <m/>
    <m/>
    <m/>
    <m/>
    <m/>
    <m/>
    <m/>
    <m/>
    <m/>
  </r>
  <r>
    <s v="26654075"/>
    <s v="Florbalový klub Zlín, z.s."/>
    <s v="706"/>
    <x v="1"/>
    <x v="0"/>
    <s v="Zlín"/>
    <s v="Zlín, Malenovice, Sokolovská 1154, PSČ 76302"/>
    <s v="93110"/>
    <s v="Provozování sportovních zařízení"/>
    <m/>
    <m/>
    <m/>
    <m/>
    <m/>
    <m/>
    <m/>
    <m/>
    <m/>
    <m/>
    <m/>
    <m/>
    <m/>
    <m/>
    <m/>
    <m/>
    <m/>
  </r>
  <r>
    <s v="26566125"/>
    <s v="FogoHogo z.s."/>
    <s v="706"/>
    <x v="1"/>
    <x v="3"/>
    <s v="Holešov"/>
    <s v="Holešov, U Letiště 1149/5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42590"/>
    <s v="Folklor a kultura v Podolí - Spolek"/>
    <s v="706"/>
    <x v="1"/>
    <x v="2"/>
    <s v="Podolí"/>
    <s v="Podolí 190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8499"/>
    <s v="Folklorní agentura Buchlov"/>
    <s v="706"/>
    <x v="1"/>
    <x v="2"/>
    <s v="Buchlovice"/>
    <s v="Buchlovice, Rechtorka 544, PSČ 68708"/>
    <s v="93110"/>
    <s v="Provozování sportovních zařízení"/>
    <m/>
    <m/>
    <m/>
    <m/>
    <m/>
    <m/>
    <m/>
    <m/>
    <m/>
    <m/>
    <m/>
    <m/>
    <m/>
    <m/>
    <m/>
    <m/>
    <m/>
  </r>
  <r>
    <s v="68081944"/>
    <s v="FOLKLÓRNÍ SDRUŽENÍ BABICA"/>
    <s v="706"/>
    <x v="1"/>
    <x v="2"/>
    <s v="Hluk"/>
    <s v="Hluk, Růžová 1122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5246"/>
    <s v="Folklórní sdružení CM Rusava"/>
    <s v="706"/>
    <x v="1"/>
    <x v="3"/>
    <s v="Bystřice pod Hostýnem"/>
    <s v="Bystřice pod Hostýnem, Palackého 575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2248"/>
    <s v="Folklórní sdružení Polešovice, z.s."/>
    <s v="706"/>
    <x v="1"/>
    <x v="2"/>
    <s v="Polešovice"/>
    <s v="Polešovice 658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2307"/>
    <s v="Folklorní sdružení Prameny Fryšták"/>
    <s v="706"/>
    <x v="1"/>
    <x v="0"/>
    <s v="Fryšták"/>
    <s v="Fryšták, náměstí Míru 2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21682"/>
    <s v="Folklorní sdružení Uherskobrodska"/>
    <s v="706"/>
    <x v="1"/>
    <x v="2"/>
    <s v="Uherský Brod"/>
    <s v="Uherský Brod, Mariánské nám. 218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5268"/>
    <s v="Folklorní skupina Míkovice, z. s."/>
    <s v="706"/>
    <x v="1"/>
    <x v="2"/>
    <s v="Uherské Hradiště"/>
    <s v="Uherské Hradiště, Míkovice, Hlavní 292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02530"/>
    <s v="Folklorní soubor Cifra Uherské Hradiště, z.s."/>
    <s v="706"/>
    <x v="1"/>
    <x v="2"/>
    <s v="Uherské Hradiště"/>
    <s v="Uherské Hradiště, Hradební 1198, PSČ 68601"/>
    <s v="90010"/>
    <s v="Scénická umění"/>
    <m/>
    <m/>
    <m/>
    <m/>
    <m/>
    <m/>
    <m/>
    <m/>
    <m/>
    <m/>
    <m/>
    <m/>
    <m/>
    <m/>
    <m/>
    <m/>
    <m/>
  </r>
  <r>
    <s v="22904395"/>
    <s v="„Folklórní soubor Doliňáci”"/>
    <s v="706"/>
    <x v="1"/>
    <x v="2"/>
    <s v="Staré Město"/>
    <s v="Staré Město, Sées 1992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07258"/>
    <s v="Folklorní soubor Horněmčí, z.s."/>
    <s v="706"/>
    <x v="1"/>
    <x v="2"/>
    <s v="Horní Němčí"/>
    <s v="Horní Němčí 108, PSČ 687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3507"/>
    <s v="Folklorní soubor KALINA, z. s."/>
    <s v="706"/>
    <x v="1"/>
    <x v="2"/>
    <s v="Babice"/>
    <s v="Babice 508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3691"/>
    <s v="Folklorní soubor Kohútek, z. s."/>
    <s v="706"/>
    <x v="1"/>
    <x v="2"/>
    <s v="Bánov"/>
    <s v="Bánov 700, PSČ 687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93063"/>
    <s v="Folklorní soubor Kunovjan, z.s."/>
    <s v="706"/>
    <x v="1"/>
    <x v="2"/>
    <s v="Uherské Hradiště"/>
    <s v="Uherské Hradiště, Hradební 119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4921"/>
    <s v="Folklorní soubor Lintava, z.s."/>
    <s v="706"/>
    <x v="1"/>
    <x v="2"/>
    <s v="Kunovice"/>
    <s v="Kunovice, Hliněná 1646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8437"/>
    <s v="Folklorní soubor Míkovjan z. s."/>
    <s v="706"/>
    <x v="1"/>
    <x v="2"/>
    <s v="Uherské Hradiště"/>
    <s v="Uherské Hradiště, Míkovice, Hlavní 233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8497"/>
    <s v="Folklorní soubor PENTLA, spolek"/>
    <s v="706"/>
    <x v="1"/>
    <x v="2"/>
    <s v="Boršice"/>
    <s v="Boršice 161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5876"/>
    <s v="Folklórní soubor Střešňa, z. s."/>
    <s v="706"/>
    <x v="1"/>
    <x v="2"/>
    <s v="Jalubí"/>
    <s v="Jalubí 392, PSČ 687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1682"/>
    <s v="Folklorní soubor SVĚTLOVAN, z.s."/>
    <s v="706"/>
    <x v="1"/>
    <x v="2"/>
    <s v="Bojkovice"/>
    <s v="Bojkovice, Husova 684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018835"/>
    <s v="Folklorní soubor Včelaran, z.s."/>
    <s v="706"/>
    <x v="1"/>
    <x v="2"/>
    <s v="Bílovice"/>
    <s v="Bílovice 70, PSČ 68712"/>
    <s v="9499"/>
    <s v="Činnosti ostatních organizací sdružujících osoby za účelem prosazování společných zájmů j. n."/>
    <s v="Destilace, rektifikace a míchání lihovin"/>
    <s v="Stravování v restauracích, u stánků a v mobilních zařízeních"/>
    <m/>
    <m/>
    <m/>
    <m/>
    <m/>
    <m/>
    <m/>
    <m/>
    <m/>
    <m/>
    <m/>
    <m/>
    <m/>
    <m/>
    <m/>
  </r>
  <r>
    <s v="08590877"/>
    <s v="Folklórní soubor VONICA 80 z.s."/>
    <s v="706"/>
    <x v="1"/>
    <x v="0"/>
    <s v="Zlín"/>
    <s v="Zlín, třída Tomáše Bati 204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754156"/>
    <s v="Folklorní spolek Holomňa"/>
    <s v="706"/>
    <x v="1"/>
    <x v="2"/>
    <s v="Prakšice"/>
    <s v="Prakšice 167, PSČ 687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26241"/>
    <s v="Folklorní spolek Jankovice"/>
    <s v="706"/>
    <x v="1"/>
    <x v="2"/>
    <s v="Jankovice"/>
    <s v="Jankovice 15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184398"/>
    <s v="Folklorní spolek Jasénka"/>
    <s v="706"/>
    <x v="1"/>
    <x v="1"/>
    <s v="Vsetín"/>
    <s v="Vsetín, Svárov 1055, PSČ 75501"/>
    <s v="9499"/>
    <s v="Činnosti ostatních organizací sdružujících osoby za účelem prosazování společných zájmů j. n."/>
    <s v="Činnosti občanských iniciativ, protestních hnutí"/>
    <m/>
    <m/>
    <m/>
    <m/>
    <m/>
    <m/>
    <m/>
    <m/>
    <m/>
    <m/>
    <m/>
    <m/>
    <m/>
    <m/>
    <m/>
    <m/>
  </r>
  <r>
    <s v="26523752"/>
    <s v="Folklorní spolek Lipta Liptál"/>
    <s v="706"/>
    <x v="1"/>
    <x v="1"/>
    <s v="Liptál"/>
    <s v="Liptál 83, PSČ 756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8144"/>
    <s v="Folklórní spolek NOVOVEŠŤAN"/>
    <s v="706"/>
    <x v="1"/>
    <x v="2"/>
    <s v="Ostrožská Nová Ves"/>
    <s v="Ostrožská Nová Ves, Dědina 161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7249"/>
    <s v="Folklórní spolek Ořechov"/>
    <s v="706"/>
    <x v="1"/>
    <x v="2"/>
    <s v="Ořechov"/>
    <s v="Ořechov 217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072502"/>
    <s v="Folklorní spolek Vážany, z.s."/>
    <s v="706"/>
    <x v="1"/>
    <x v="2"/>
    <s v="Vážany"/>
    <s v="Vážany 20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184207"/>
    <s v="Folklorní spolek Vsacan"/>
    <s v="706"/>
    <x v="1"/>
    <x v="1"/>
    <s v="Vsetín"/>
    <s v="Vsetín, Svárov 1055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13710"/>
    <s v="Folklorní studio Buchlovice z.s."/>
    <s v="706"/>
    <x v="1"/>
    <x v="2"/>
    <s v="Buchlovice"/>
    <s v="Buchlovice, Brněnská 16, PSČ 6870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789996"/>
    <s v="Fonto, z. s."/>
    <s v="706"/>
    <x v="1"/>
    <x v="0"/>
    <s v="Zlín"/>
    <s v="Zlín, Nivy I 43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372171"/>
    <s v="FoosForLife Team z.s."/>
    <s v="706"/>
    <x v="1"/>
    <x v="1"/>
    <s v="Rožnov pod Radhoštěm"/>
    <s v="Rožnov pod Radhoštěm, Meziříčská 2304, PSČ 75661"/>
    <s v="93110"/>
    <s v="Provozování sportovních zařízení"/>
    <m/>
    <m/>
    <m/>
    <m/>
    <m/>
    <m/>
    <m/>
    <m/>
    <m/>
    <m/>
    <m/>
    <m/>
    <m/>
    <m/>
    <m/>
    <m/>
    <m/>
  </r>
  <r>
    <s v="26633388"/>
    <s v="FOROS z.s."/>
    <s v="706"/>
    <x v="1"/>
    <x v="1"/>
    <s v="Valašské Meziříčí"/>
    <s v="Valašské Meziříčí, Dvořákova 887/1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1277"/>
    <s v="FOTBAL KUNOVICE z. s."/>
    <s v="706"/>
    <x v="1"/>
    <x v="2"/>
    <s v="Kunovice"/>
    <s v="Kunovice, Panská 1140, PSČ 68604"/>
    <s v="93110"/>
    <s v="Provozování sportovních zařízení"/>
    <m/>
    <m/>
    <m/>
    <m/>
    <m/>
    <m/>
    <m/>
    <m/>
    <m/>
    <m/>
    <m/>
    <m/>
    <m/>
    <m/>
    <m/>
    <m/>
    <m/>
  </r>
  <r>
    <s v="03968952"/>
    <s v="Fotbalová akademie GOFotbal Zlín, z.s."/>
    <s v="706"/>
    <x v="1"/>
    <x v="0"/>
    <s v="Zlín"/>
    <s v="Zlín, Budovatelská 4798, PSČ 76005"/>
    <s v="93110"/>
    <s v="Provozování sportovních zařízení"/>
    <m/>
    <m/>
    <m/>
    <m/>
    <m/>
    <m/>
    <m/>
    <m/>
    <m/>
    <m/>
    <m/>
    <m/>
    <m/>
    <m/>
    <m/>
    <m/>
    <m/>
  </r>
  <r>
    <s v="22712551"/>
    <s v="Fotbalová akademie Luhačovice o.s."/>
    <s v="706"/>
    <x v="1"/>
    <x v="0"/>
    <s v="Doubravy"/>
    <s v="Doubravy 178, PSČ 76345"/>
    <s v="93110"/>
    <s v="Provozování sportovních zařízení"/>
    <m/>
    <m/>
    <m/>
    <m/>
    <m/>
    <m/>
    <m/>
    <m/>
    <m/>
    <m/>
    <m/>
    <m/>
    <m/>
    <m/>
    <m/>
    <m/>
    <m/>
  </r>
  <r>
    <s v="22516638"/>
    <s v="Fotbalová akademie Milana Petržely, z.s."/>
    <s v="706"/>
    <x v="1"/>
    <x v="2"/>
    <s v="Kněžpole"/>
    <s v="Kněžpole 1, PSČ 68712"/>
    <s v="93190"/>
    <s v="Ostatní sportovní činnosti"/>
    <m/>
    <m/>
    <m/>
    <m/>
    <m/>
    <m/>
    <m/>
    <m/>
    <m/>
    <m/>
    <m/>
    <m/>
    <m/>
    <m/>
    <m/>
    <m/>
    <m/>
  </r>
  <r>
    <s v="01207644"/>
    <s v="Fotbalová akademie Zlechov z.s."/>
    <s v="706"/>
    <x v="1"/>
    <x v="2"/>
    <s v="Zlechov"/>
    <s v="Zlechov 118, PSČ 68710"/>
    <s v="93110"/>
    <s v="Provozování sportovních zařízení"/>
    <m/>
    <m/>
    <m/>
    <m/>
    <m/>
    <m/>
    <m/>
    <m/>
    <m/>
    <m/>
    <m/>
    <m/>
    <m/>
    <m/>
    <m/>
    <m/>
    <m/>
  </r>
  <r>
    <s v="22346635"/>
    <s v="Fotbalová kultura Bystřička, z. s."/>
    <s v="706"/>
    <x v="1"/>
    <x v="1"/>
    <s v="Bystřička"/>
    <s v="Bystřička 140, PSČ 756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728"/>
    <s v="Fotbalový club FC Rožnov pod Radhoštěm, z.s."/>
    <s v="706"/>
    <x v="1"/>
    <x v="1"/>
    <s v="Rožnov pod Radhoštěm"/>
    <s v="Rožnov pod Radhoštěm, Pod strání 2268, PSČ 75661"/>
    <s v="93120"/>
    <s v="Činnosti sportovních klubů"/>
    <m/>
    <m/>
    <m/>
    <m/>
    <m/>
    <m/>
    <m/>
    <m/>
    <m/>
    <m/>
    <m/>
    <m/>
    <m/>
    <m/>
    <m/>
    <m/>
    <m/>
  </r>
  <r>
    <s v="67008127"/>
    <s v="Fotbalový club Zlín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70801860"/>
    <s v="Fotbalový klub Chropyně, z.s."/>
    <s v="706"/>
    <x v="1"/>
    <x v="3"/>
    <s v="Chropyně"/>
    <s v="Chropyně, Hanácké náměstí 551, PSČ 76811"/>
    <s v="93120"/>
    <s v="Činnosti sportovních klubů"/>
    <m/>
    <m/>
    <m/>
    <m/>
    <m/>
    <m/>
    <m/>
    <m/>
    <m/>
    <m/>
    <m/>
    <m/>
    <m/>
    <m/>
    <m/>
    <m/>
    <m/>
  </r>
  <r>
    <s v="61704121"/>
    <s v="Fotbalový klub FC Babice z. s."/>
    <s v="706"/>
    <x v="1"/>
    <x v="2"/>
    <s v="Babice"/>
    <s v="Babice 87, PSČ 68703"/>
    <s v="93110"/>
    <s v="Provozování sportovních zařízení"/>
    <m/>
    <m/>
    <m/>
    <m/>
    <m/>
    <m/>
    <m/>
    <m/>
    <m/>
    <m/>
    <m/>
    <m/>
    <m/>
    <m/>
    <m/>
    <m/>
    <m/>
  </r>
  <r>
    <s v="27031144"/>
    <s v="Fotbalový klub Holešovské holky z.s."/>
    <s v="706"/>
    <x v="1"/>
    <x v="3"/>
    <s v="Holešov"/>
    <s v="Holešov, nám. Svobody 128/25, PSČ 76901"/>
    <s v="93110"/>
    <s v="Provozování sportovních zařízení"/>
    <m/>
    <m/>
    <m/>
    <m/>
    <m/>
    <m/>
    <m/>
    <m/>
    <m/>
    <m/>
    <m/>
    <m/>
    <m/>
    <m/>
    <m/>
    <m/>
    <m/>
  </r>
  <r>
    <s v="01593480"/>
    <s v="Fotbalový klub Jablůnka z.s."/>
    <s v="706"/>
    <x v="1"/>
    <x v="1"/>
    <s v="Jablůnka"/>
    <s v="Jablůnka 365, PSČ 75623"/>
    <s v="93110"/>
    <s v="Provozování sportovních zařízení"/>
    <m/>
    <m/>
    <m/>
    <m/>
    <m/>
    <m/>
    <m/>
    <m/>
    <m/>
    <m/>
    <m/>
    <m/>
    <m/>
    <m/>
    <m/>
    <m/>
    <m/>
  </r>
  <r>
    <s v="70821186"/>
    <s v="Fotbalový klub Komňa, z.s."/>
    <s v="706"/>
    <x v="1"/>
    <x v="2"/>
    <s v="Komňa"/>
    <s v="Komňa 299, PSČ 68771"/>
    <s v="931"/>
    <s v="Sportovní činnosti"/>
    <m/>
    <m/>
    <m/>
    <m/>
    <m/>
    <m/>
    <m/>
    <m/>
    <m/>
    <m/>
    <m/>
    <m/>
    <m/>
    <m/>
    <m/>
    <m/>
    <m/>
  </r>
  <r>
    <s v="68898436"/>
    <s v="Fotbalový klub Leskovec, z.s."/>
    <s v="706"/>
    <x v="1"/>
    <x v="1"/>
    <s v="Leskovec"/>
    <s v="Leskovec 67, PSČ 75611"/>
    <s v="93120"/>
    <s v="Činnosti sportovních klubů"/>
    <s v="Maloobchod, kromě motorových vozidel"/>
    <s v="Destilace, rektifikace a míchání lihovin"/>
    <s v="Stravování v restauracích, u stánků a v mobilních zařízeních"/>
    <s v="Činnosti reklamních agentur"/>
    <s v="Podpůrné činnosti pro scénická umění"/>
    <s v="Ostatní sportovní činnosti"/>
    <m/>
    <m/>
    <m/>
    <m/>
    <m/>
    <m/>
    <m/>
    <m/>
    <m/>
    <m/>
    <m/>
  </r>
  <r>
    <s v="65888081"/>
    <s v="Fotbalový klub Liptál, z.s."/>
    <s v="706"/>
    <x v="1"/>
    <x v="1"/>
    <s v="Liptál"/>
    <s v="Liptál 493, PSČ 75631"/>
    <s v="93110"/>
    <s v="Provozování sportovních zařízení"/>
    <m/>
    <m/>
    <m/>
    <m/>
    <m/>
    <m/>
    <m/>
    <m/>
    <m/>
    <m/>
    <m/>
    <m/>
    <m/>
    <m/>
    <m/>
    <m/>
    <m/>
  </r>
  <r>
    <s v="47934018"/>
    <s v="Fotbalový klub Lubná 1959, z. s."/>
    <s v="706"/>
    <x v="1"/>
    <x v="3"/>
    <s v="Lubná"/>
    <s v="Lubná 177, PSČ 76701"/>
    <s v="93110"/>
    <s v="Provozování sportovních zařízení"/>
    <m/>
    <m/>
    <m/>
    <m/>
    <m/>
    <m/>
    <m/>
    <m/>
    <m/>
    <m/>
    <m/>
    <m/>
    <m/>
    <m/>
    <m/>
    <m/>
    <m/>
  </r>
  <r>
    <s v="46276351"/>
    <s v="Fotbalový klub Mladcová, z. s."/>
    <s v="706"/>
    <x v="1"/>
    <x v="0"/>
    <s v="Zlín"/>
    <s v="Zlín, Mladcová, U Hřiště 276, PSČ 76001"/>
    <s v="93110"/>
    <s v="Provozování sportovních zařízení"/>
    <m/>
    <m/>
    <m/>
    <m/>
    <m/>
    <m/>
    <m/>
    <m/>
    <m/>
    <m/>
    <m/>
    <m/>
    <m/>
    <m/>
    <m/>
    <m/>
    <m/>
  </r>
  <r>
    <s v="70870608"/>
    <s v="Fotbalový klub Rychlov-Lipová United"/>
    <s v="706"/>
    <x v="1"/>
    <x v="3"/>
    <s v="Bystřice pod Hostýnem"/>
    <s v="Bystřice pod Hostýnem, Rychlov, Trávníky 267, PSČ 76861"/>
    <s v="93120"/>
    <s v="Činnosti sportovních klubů"/>
    <m/>
    <m/>
    <m/>
    <m/>
    <m/>
    <m/>
    <m/>
    <m/>
    <m/>
    <m/>
    <m/>
    <m/>
    <m/>
    <m/>
    <m/>
    <m/>
    <m/>
  </r>
  <r>
    <s v="45211477"/>
    <s v="Foto-film-klub RPR"/>
    <s v="706"/>
    <x v="1"/>
    <x v="1"/>
    <s v="Vsetín"/>
    <s v="Vset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5202"/>
    <s v="Fotoklub Beseda Otrokovice z.s."/>
    <s v="706"/>
    <x v="1"/>
    <x v="0"/>
    <s v="Otrokovice"/>
    <s v="Otrokovice, nám. 3. května 1302, Otrokovická Beseda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4185"/>
    <s v="&quot;Fotoklub DK Kroměříž&quot;, z.s."/>
    <s v="706"/>
    <x v="1"/>
    <x v="3"/>
    <s v="Kroměříž"/>
    <s v="Kroměříž, Tovačovského 2828/2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2425"/>
    <s v="Fotoklub KFA Brumov-Bylnice, z. s."/>
    <s v="706"/>
    <x v="1"/>
    <x v="0"/>
    <s v="Brumov-Bylnice"/>
    <s v="Brumov-Bylnice, Brumov, Na Vyhlídce 792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6624"/>
    <s v="Fotoklub Vsetín, z.s."/>
    <s v="706"/>
    <x v="1"/>
    <x v="1"/>
    <s v="Vsetín"/>
    <s v="Vsetín, Sychrov 5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8571"/>
    <s v="FotoMosty"/>
    <s v="706"/>
    <x v="1"/>
    <x v="2"/>
    <s v="Hluk"/>
    <s v="Hluk, Antonínská 634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9105"/>
    <s v="Fotoskupina ANDROMEDA Brumov-Bylnice"/>
    <s v="706"/>
    <x v="1"/>
    <x v="0"/>
    <s v="Brumov-Bylnice"/>
    <s v="Brumov-Bylnice, Brumov, Družba 1210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835487"/>
    <s v="Francovka o.p.s."/>
    <s v="141"/>
    <x v="2"/>
    <x v="1"/>
    <s v="Francova Lhota"/>
    <s v="Francova Lhota 377, PSČ 75614"/>
    <s v="74"/>
    <s v="Ostatní profesní, vědecké a technické činnosti"/>
    <s v="Podpůrné činnosti pro zemědělství a posklizňové činnosti"/>
    <s v="Ostatní vzdělávání j. n."/>
    <s v="Provozování kulturních zařízení"/>
    <s v="Ostatní zábavní a rekreační činnosti j. n."/>
    <m/>
    <m/>
    <m/>
    <m/>
    <m/>
    <m/>
    <m/>
    <m/>
    <m/>
    <m/>
    <m/>
    <m/>
    <m/>
  </r>
  <r>
    <s v="68688181"/>
    <s v="Fryštácká Javořina z.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8577"/>
    <s v="Fryštácké mažoretky, z.s."/>
    <s v="706"/>
    <x v="1"/>
    <x v="0"/>
    <s v="Fryšták"/>
    <s v="Fryšták, Potoky 283, PSČ 76316"/>
    <s v="93120"/>
    <s v="Činnosti sportovních klubů"/>
    <m/>
    <m/>
    <m/>
    <m/>
    <m/>
    <m/>
    <m/>
    <m/>
    <m/>
    <m/>
    <m/>
    <m/>
    <m/>
    <m/>
    <m/>
    <m/>
    <m/>
  </r>
  <r>
    <s v="06145191"/>
    <s v="Fryšták dětem z.s."/>
    <s v="706"/>
    <x v="1"/>
    <x v="0"/>
    <s v="Fryšták"/>
    <s v="Fryšták, Dolní Ves, Stolařská 40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309310"/>
    <s v="Fryšták jede! z.s."/>
    <s v="706"/>
    <x v="1"/>
    <x v="0"/>
    <s v="Fryšták"/>
    <s v="Fryšták, Horní Ves, Ke Skalce 335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098294"/>
    <s v="FS Oldněmčan z.s."/>
    <s v="706"/>
    <x v="1"/>
    <x v="2"/>
    <s v="Dolní Němčí"/>
    <s v="Dolní Němčí, Hlucká 108, PSČ 687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018967"/>
    <s v="FS ROZMARÝN, z. s."/>
    <s v="706"/>
    <x v="1"/>
    <x v="2"/>
    <s v="Uherský Brod"/>
    <s v="Uherský Brod, Těšov, Těšovská 170, PSČ 6873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419514"/>
    <s v="Fuerza del Fuego, z.s."/>
    <s v="706"/>
    <x v="1"/>
    <x v="2"/>
    <s v="Uherský Brod"/>
    <s v="Uherský Brod, Mariánské nám. 218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71503"/>
    <s v="Fujaré, z. s."/>
    <s v="706"/>
    <x v="1"/>
    <x v="1"/>
    <s v="Rožnov pod Radhoštěm"/>
    <s v="Rožnov pod Radhoštěm, Javornická 686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0423"/>
    <s v="Futsal klub Kroměříž, občanské sdružení"/>
    <s v="706"/>
    <x v="1"/>
    <x v="3"/>
    <s v="Kroměříž"/>
    <s v="Kroměříž, Kazimíra Rudého 3841/48, PSČ 76701"/>
    <s v="93110"/>
    <s v="Provozování sportovních zařízení"/>
    <m/>
    <m/>
    <m/>
    <m/>
    <m/>
    <m/>
    <m/>
    <m/>
    <m/>
    <m/>
    <m/>
    <m/>
    <m/>
    <m/>
    <m/>
    <m/>
    <m/>
  </r>
  <r>
    <s v="22855190"/>
    <s v="Futsal Zlín z. s."/>
    <s v="706"/>
    <x v="1"/>
    <x v="0"/>
    <s v="Zlín"/>
    <s v="Zlín, Kostelec, Jetelová 580, PSČ 76314"/>
    <s v="93120"/>
    <s v="Činnosti sportovních klubů"/>
    <m/>
    <m/>
    <m/>
    <m/>
    <m/>
    <m/>
    <m/>
    <m/>
    <m/>
    <m/>
    <m/>
    <m/>
    <m/>
    <m/>
    <m/>
    <m/>
    <m/>
  </r>
  <r>
    <s v="03263011"/>
    <s v="Future of Europe, z.s."/>
    <s v="706"/>
    <x v="1"/>
    <x v="0"/>
    <s v="Ublo"/>
    <s v="Ublo 121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562217"/>
    <s v="GAIA OTROKOVICE z.s."/>
    <s v="706"/>
    <x v="1"/>
    <x v="0"/>
    <s v="Otrokovice"/>
    <s v="Otrokovice, Kvítkovice, Kpt. Nálepky 1227, PSČ 76502"/>
    <s v="9499"/>
    <s v="Činnosti ostatních organizací sdružujících osoby za účelem prosazování společných zájmů j. n."/>
    <s v="Tvůrčí, umělecké a zábavní činnosti"/>
    <s v="Ostatní vzdělávání"/>
    <m/>
    <m/>
    <m/>
    <m/>
    <m/>
    <m/>
    <m/>
    <m/>
    <m/>
    <m/>
    <m/>
    <m/>
    <m/>
    <m/>
    <m/>
  </r>
  <r>
    <s v="26560372"/>
    <s v="Galerie FARA TĚŠNOVICE"/>
    <s v="706"/>
    <x v="1"/>
    <x v="3"/>
    <s v="Kroměříž"/>
    <s v="Kroměříž, FARA Těšnovice č.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3329"/>
    <s v="Galerie Jako doma, z.s."/>
    <s v="706"/>
    <x v="1"/>
    <x v="1"/>
    <s v="Valašské Meziříčí"/>
    <s v="Valašské Meziříčí, Smetanova 975/4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31661"/>
    <s v="Galerie mínus jedna z.s."/>
    <s v="706"/>
    <x v="1"/>
    <x v="0"/>
    <s v="Zlín"/>
    <s v="Zlín, Družstevní 4516, PSČ 76005"/>
    <s v="9499"/>
    <s v="Činnosti ostatních organizací sdružujících osoby za účelem prosazování společných zájmů j. n."/>
    <s v="Velkoobchod a maloobchod; opravy a údržba motorových vozidel"/>
    <s v="Specializované návrhářské činnosti"/>
    <m/>
    <m/>
    <m/>
    <m/>
    <m/>
    <m/>
    <m/>
    <m/>
    <m/>
    <m/>
    <m/>
    <m/>
    <m/>
    <m/>
    <m/>
  </r>
  <r>
    <s v="28557425"/>
    <s v="GALERIE ORLOVNA z.s."/>
    <s v="706"/>
    <x v="1"/>
    <x v="3"/>
    <s v="Kroměříž"/>
    <s v="Kroměříž, Na Sladovnách 1492/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6537"/>
    <s v="Galuškovo Slovácko"/>
    <s v="706"/>
    <x v="1"/>
    <x v="2"/>
    <s v="Uherský Ostroh"/>
    <s v="Uherský Ostroh, Třebízského 216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97957"/>
    <s v="Game of life"/>
    <s v="706"/>
    <x v="1"/>
    <x v="1"/>
    <s v="Rožnov pod Radhoštěm"/>
    <s v="Rožnov pod Radhoštěm, Masarykovo náměstí 128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1746"/>
    <s v="&quot;Garáže - Luční&quot;"/>
    <s v="706"/>
    <x v="1"/>
    <x v="0"/>
    <s v="Valašské Klobouky"/>
    <s v="Valašské Klobouky, Luční 91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05848"/>
    <s v="GARÁŽE Stará Tenice spolek"/>
    <s v="706"/>
    <x v="1"/>
    <x v="2"/>
    <s v="Uherské Hradiště"/>
    <s v="Uherské Hradiště, Stará Tenice č. ev. 112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46445"/>
    <s v="GaSe, o. s."/>
    <s v="706"/>
    <x v="1"/>
    <x v="0"/>
    <s v="Zlín"/>
    <s v="Zlín, Slezská 525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8330"/>
    <s v="Gaso Motor Sport klub v AČR"/>
    <s v="736"/>
    <x v="0"/>
    <x v="0"/>
    <s v="Slušovice"/>
    <s v="Slušovice, Školní 618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959860"/>
    <s v="GB Draculino Kroměříž, z.s."/>
    <s v="706"/>
    <x v="1"/>
    <x v="3"/>
    <s v="Kroměříž"/>
    <s v="Kroměříž, Spáčilova 3337/40, PSČ 76701"/>
    <s v="93190"/>
    <s v="Ostatní sportovní činnosti"/>
    <m/>
    <m/>
    <m/>
    <m/>
    <m/>
    <m/>
    <m/>
    <m/>
    <m/>
    <m/>
    <m/>
    <m/>
    <m/>
    <m/>
    <m/>
    <m/>
    <m/>
  </r>
  <r>
    <s v="01923528"/>
    <s v="GB Draculino Zlín, z.s."/>
    <s v="706"/>
    <x v="1"/>
    <x v="3"/>
    <s v="Holešov"/>
    <s v="Holešov, Partyzánská 1104/2, PSČ 76901"/>
    <s v="93190"/>
    <s v="Ostatní sportovní činnosti"/>
    <m/>
    <m/>
    <m/>
    <m/>
    <m/>
    <m/>
    <m/>
    <m/>
    <m/>
    <m/>
    <m/>
    <m/>
    <m/>
    <m/>
    <m/>
    <m/>
    <m/>
  </r>
  <r>
    <s v="21505551"/>
    <s v="Geimi z.s."/>
    <s v="706"/>
    <x v="1"/>
    <x v="0"/>
    <s v="Luhačovice"/>
    <s v="Luhačovice, Polichno 36, PSČ 763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68041"/>
    <s v="GEMMA MARATHON ORIENTEERING"/>
    <s v="706"/>
    <x v="1"/>
    <x v="0"/>
    <s v="Vizovice"/>
    <s v="Vizovice, nám. TGM 119"/>
    <s v="931"/>
    <s v="Sportovní činnosti"/>
    <m/>
    <m/>
    <m/>
    <m/>
    <m/>
    <m/>
    <m/>
    <m/>
    <m/>
    <m/>
    <m/>
    <m/>
    <m/>
    <m/>
    <m/>
    <m/>
    <m/>
  </r>
  <r>
    <s v="19292864"/>
    <s v="GeoSlovácko, z.s."/>
    <s v="706"/>
    <x v="1"/>
    <x v="2"/>
    <s v="Uherské Hradiště"/>
    <s v="Uherské Hradiště, Kollárova 44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877996"/>
    <s v="GERANIE, z. s."/>
    <s v="706"/>
    <x v="1"/>
    <x v="0"/>
    <s v="Zlín"/>
    <s v="Zlín, Bratří Sousedíků 602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7170"/>
    <s v="GET ART!, z.s."/>
    <s v="706"/>
    <x v="1"/>
    <x v="3"/>
    <s v="Kroměříž"/>
    <s v="Kroměříž, Obvodová 3789/28, PSČ 76701"/>
    <s v="9499"/>
    <s v="Činnosti ostatních organizací sdružujících osoby za účelem prosazování společných zájmů j. n."/>
    <s v="Podpůrné činnosti pro scénická umění"/>
    <m/>
    <m/>
    <m/>
    <m/>
    <m/>
    <m/>
    <m/>
    <m/>
    <m/>
    <m/>
    <m/>
    <m/>
    <m/>
    <m/>
    <m/>
    <m/>
  </r>
  <r>
    <s v="02140543"/>
    <s v="GH 100 Holešov, z.s."/>
    <s v="706"/>
    <x v="1"/>
    <x v="3"/>
    <s v="Holešov"/>
    <s v="Holešov, Masarykova 65/3, PSČ 76901"/>
    <s v="94999"/>
    <s v="Činnosti ostatních organizací j. n."/>
    <m/>
    <m/>
    <m/>
    <m/>
    <m/>
    <m/>
    <m/>
    <m/>
    <m/>
    <m/>
    <m/>
    <m/>
    <m/>
    <m/>
    <m/>
    <m/>
    <m/>
  </r>
  <r>
    <s v="08172161"/>
    <s v="Gitano Drom, z.s."/>
    <s v="706"/>
    <x v="1"/>
    <x v="1"/>
    <s v="Valašské Meziříčí"/>
    <s v="Valašské Meziříčí, Bynina 10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0395"/>
    <s v="Gnothi, o. s."/>
    <s v="706"/>
    <x v="1"/>
    <x v="1"/>
    <s v="Valašská Bystřice"/>
    <s v="Valašská Bystřice 261, PSČ 7562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8428"/>
    <s v="GODZZILABIKES"/>
    <s v="706"/>
    <x v="1"/>
    <x v="1"/>
    <s v="Vsetín"/>
    <s v="Vsetín, Svornosti 181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865639"/>
    <s v="GO-ED!, z.s."/>
    <s v="706"/>
    <x v="1"/>
    <x v="3"/>
    <s v="Kroměříž"/>
    <s v="Kroměříž, Spáčilova 3372/4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7340"/>
    <s v="Golf a Tenis o.s."/>
    <s v="706"/>
    <x v="1"/>
    <x v="3"/>
    <s v="Kroměříž"/>
    <s v="Kroměříž, Švabinského 2025"/>
    <s v="93120"/>
    <s v="Činnosti sportovních klubů"/>
    <m/>
    <m/>
    <m/>
    <m/>
    <m/>
    <m/>
    <m/>
    <m/>
    <m/>
    <m/>
    <m/>
    <m/>
    <m/>
    <m/>
    <m/>
    <m/>
    <m/>
  </r>
  <r>
    <s v="27048098"/>
    <s v="Golf Club Horal Velké Karlovice z. s."/>
    <s v="706"/>
    <x v="1"/>
    <x v="0"/>
    <s v="Zlín"/>
    <s v="Zlín, náměstí Práce 2523, PSČ 76001"/>
    <s v="93110"/>
    <s v="Provozování sportovních zařízení"/>
    <m/>
    <m/>
    <m/>
    <m/>
    <m/>
    <m/>
    <m/>
    <m/>
    <m/>
    <m/>
    <m/>
    <m/>
    <m/>
    <m/>
    <m/>
    <m/>
    <m/>
  </r>
  <r>
    <s v="26614979"/>
    <s v="Golf Club Lázně Kostelec u Zlína, spolek"/>
    <s v="706"/>
    <x v="1"/>
    <x v="0"/>
    <s v="Zlín"/>
    <s v="Zlín, Kostelec, Lázně 493, PSČ 76314"/>
    <s v="93110"/>
    <s v="Provozování sportovních zařízení"/>
    <s v="Činnosti reklamních agentur"/>
    <s v="Pronájem a leasing ostatních výrobků pro osobní potřebu a převážně pro domácnost"/>
    <m/>
    <m/>
    <m/>
    <m/>
    <m/>
    <m/>
    <m/>
    <m/>
    <m/>
    <m/>
    <m/>
    <m/>
    <m/>
    <m/>
    <m/>
  </r>
  <r>
    <s v="27025306"/>
    <s v="Golf club Uherské Hradiště z.s."/>
    <s v="706"/>
    <x v="1"/>
    <x v="2"/>
    <s v="Ostrožská Nová Ves"/>
    <s v="Ostrožská Nová Ves, Nádražní 982, PSČ 68722"/>
    <s v="93120"/>
    <s v="Činnosti sportovních klubů"/>
    <m/>
    <m/>
    <m/>
    <m/>
    <m/>
    <m/>
    <m/>
    <m/>
    <m/>
    <m/>
    <m/>
    <m/>
    <m/>
    <m/>
    <m/>
    <m/>
    <m/>
  </r>
  <r>
    <s v="21150443"/>
    <s v="Golf Klub Komárno, z. s."/>
    <s v="706"/>
    <x v="1"/>
    <x v="1"/>
    <s v="Vsetín"/>
    <s v="Vsetín, Ohýřov 2125, PSČ 75501"/>
    <s v="93190"/>
    <s v="Ostatní sportovní činnosti"/>
    <s v="Činnosti sportovních klubů"/>
    <m/>
    <m/>
    <m/>
    <m/>
    <m/>
    <m/>
    <m/>
    <m/>
    <m/>
    <m/>
    <m/>
    <m/>
    <m/>
    <m/>
    <m/>
    <m/>
  </r>
  <r>
    <s v="01365738"/>
    <s v="Golf klub Valmez, z.s."/>
    <s v="706"/>
    <x v="1"/>
    <x v="1"/>
    <s v="Valašské Meziříčí"/>
    <s v="Valašské Meziříčí, Kouty 1280, PSČ 75701"/>
    <s v="93190"/>
    <s v="Ostatní sportovní činnosti"/>
    <m/>
    <m/>
    <m/>
    <m/>
    <m/>
    <m/>
    <m/>
    <m/>
    <m/>
    <m/>
    <m/>
    <m/>
    <m/>
    <m/>
    <m/>
    <m/>
    <m/>
  </r>
  <r>
    <s v="70281670"/>
    <s v="GOLF SPORT CLUB ZLÍN z.s."/>
    <s v="706"/>
    <x v="1"/>
    <x v="0"/>
    <s v="Zlín"/>
    <s v="Zlín, Čepkovská 1792, PSČ 76001"/>
    <s v="93120"/>
    <s v="Činnosti sportovních klubů"/>
    <m/>
    <m/>
    <m/>
    <m/>
    <m/>
    <m/>
    <m/>
    <m/>
    <m/>
    <m/>
    <m/>
    <m/>
    <m/>
    <m/>
    <m/>
    <m/>
    <m/>
  </r>
  <r>
    <s v="26577691"/>
    <s v="Golfový klub Holešov z.s."/>
    <s v="706"/>
    <x v="1"/>
    <x v="3"/>
    <s v="Holešov"/>
    <s v="Holešov, Žopy 191, PSČ 76901"/>
    <s v="93120"/>
    <s v="Činnosti sportovních klubů"/>
    <m/>
    <m/>
    <m/>
    <m/>
    <m/>
    <m/>
    <m/>
    <m/>
    <m/>
    <m/>
    <m/>
    <m/>
    <m/>
    <m/>
    <m/>
    <m/>
    <m/>
  </r>
  <r>
    <s v="05220190"/>
    <s v="Gombík z.s."/>
    <s v="706"/>
    <x v="1"/>
    <x v="2"/>
    <s v="Staré Město"/>
    <s v="Staré Město, Sochorcova 94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229315"/>
    <s v="GRADDO, nadační fond"/>
    <s v="118"/>
    <x v="6"/>
    <x v="0"/>
    <s v="Zlín"/>
    <s v="Zlín, Růmy 159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11584"/>
    <s v="Gradual consulting z.s."/>
    <s v="706"/>
    <x v="1"/>
    <x v="0"/>
    <s v="Brumov-Bylnice"/>
    <s v="Brumov-Bylnice, Sidonie 110, PSČ 7633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6545446"/>
    <s v="Granum, z.s."/>
    <s v="706"/>
    <x v="1"/>
    <x v="3"/>
    <s v="Kroměříž"/>
    <s v="Kroměříž, Koperníkova 1429/2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3622"/>
    <s v="GREEN POKER CLUB o.s."/>
    <s v="706"/>
    <x v="1"/>
    <x v="2"/>
    <s v="Uherské Hradiště"/>
    <s v="Uherské Hradiště, Jiřího z Poděbrad 31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7418"/>
    <s v="GREEN REGIMENT z.s."/>
    <s v="706"/>
    <x v="1"/>
    <x v="2"/>
    <s v="Uherské Hradiště"/>
    <s v="Uherské Hradiště, Sady, Pod Lipkami 327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731698"/>
    <s v="GRUNT"/>
    <s v="706"/>
    <x v="1"/>
    <x v="0"/>
    <s v="Zlín"/>
    <s v="Zlín, Štefánikova 381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9044"/>
    <s v="GS4Adventure o.s."/>
    <s v="706"/>
    <x v="1"/>
    <x v="0"/>
    <s v="Otrokovice"/>
    <s v="Otrokovice, Tylova 1203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174610"/>
    <s v="GYM - K. O., zapsaný spolek"/>
    <s v="706"/>
    <x v="1"/>
    <x v="2"/>
    <s v="Uherské Hradiště"/>
    <s v="Uherské Hradiště, Zelené náměstí 1290, PSČ 68601"/>
    <s v="93190"/>
    <s v="Ostatní sportovní činnosti"/>
    <m/>
    <m/>
    <m/>
    <m/>
    <m/>
    <m/>
    <m/>
    <m/>
    <m/>
    <m/>
    <m/>
    <m/>
    <m/>
    <m/>
    <m/>
    <m/>
    <m/>
  </r>
  <r>
    <s v="07648235"/>
    <s v="GYMNASTICKÝ AEROBIK - BK - OTROKOVICE, z.s."/>
    <s v="706"/>
    <x v="1"/>
    <x v="0"/>
    <s v="Otrokovice"/>
    <s v="Otrokovice, Kvítkovice, Hlavní 1247, PSČ 76502"/>
    <s v="93190"/>
    <s v="Ostatní sportovní činnosti"/>
    <m/>
    <m/>
    <m/>
    <m/>
    <m/>
    <m/>
    <m/>
    <m/>
    <m/>
    <m/>
    <m/>
    <m/>
    <m/>
    <m/>
    <m/>
    <m/>
    <m/>
  </r>
  <r>
    <s v="47934638"/>
    <s v="GYMNASTICKÝ KLUB HULÍN z.s."/>
    <s v="706"/>
    <x v="1"/>
    <x v="3"/>
    <s v="Hulín"/>
    <s v="Hulín, Komenského 239, PSČ 76824"/>
    <s v="93110"/>
    <s v="Provozování sportovních zařízení"/>
    <m/>
    <m/>
    <m/>
    <m/>
    <m/>
    <m/>
    <m/>
    <m/>
    <m/>
    <m/>
    <m/>
    <m/>
    <m/>
    <m/>
    <m/>
    <m/>
    <m/>
  </r>
  <r>
    <s v="21850305"/>
    <s v="Gymnastika ValMez, z.s."/>
    <s v="706"/>
    <x v="1"/>
    <x v="1"/>
    <s v="Valašské Meziříčí"/>
    <s v="Valašské Meziříčí, Krásno nad Bečvou, U Apolla 801, PSČ 75701"/>
    <s v="93120"/>
    <s v="Činnosti sportovních klubů"/>
    <m/>
    <m/>
    <m/>
    <m/>
    <m/>
    <m/>
    <m/>
    <m/>
    <m/>
    <m/>
    <m/>
    <m/>
    <m/>
    <m/>
    <m/>
    <m/>
    <m/>
  </r>
  <r>
    <s v="26983761"/>
    <s v="Gymnastika Zlín z.s."/>
    <s v="706"/>
    <x v="1"/>
    <x v="0"/>
    <s v="Zlín"/>
    <s v="Zlín, Kvítková 419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557631"/>
    <s v="Gympleři Vsetín, o.p.s."/>
    <s v="141"/>
    <x v="2"/>
    <x v="1"/>
    <s v="Vsetín"/>
    <s v="Vsetín, Rokytnice, Okružní 454, PSČ 75501"/>
    <s v="9002"/>
    <s v="Podpůrné činnosti pro scénická umění"/>
    <s v="Ostatní zábavní a rekreační činnosti"/>
    <m/>
    <m/>
    <m/>
    <m/>
    <m/>
    <m/>
    <m/>
    <m/>
    <m/>
    <m/>
    <m/>
    <m/>
    <m/>
    <m/>
    <m/>
    <m/>
  </r>
  <r>
    <s v="08614873"/>
    <s v="Gymzl Alumni z.s."/>
    <s v="706"/>
    <x v="1"/>
    <x v="0"/>
    <s v="Zlín"/>
    <s v="Zlín, Na Kopci 519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175435"/>
    <s v="GyroFly Services z.s."/>
    <s v="706"/>
    <x v="1"/>
    <x v="3"/>
    <s v="Soběsuky"/>
    <s v="Soběsuky, Milovice 86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49775"/>
    <s v="HáBéCéčko, nadační fond"/>
    <s v="118"/>
    <x v="6"/>
    <x v="1"/>
    <s v="Vsetín"/>
    <s v="Vsetín, Lesní 2176, PSČ 75501"/>
    <s v="94991"/>
    <s v="Činnosti organizací dětí a mládeže"/>
    <m/>
    <m/>
    <m/>
    <m/>
    <m/>
    <m/>
    <m/>
    <m/>
    <m/>
    <m/>
    <m/>
    <m/>
    <m/>
    <m/>
    <m/>
    <m/>
    <m/>
  </r>
  <r>
    <s v="04596439"/>
    <s v="HaBe.net z.s."/>
    <s v="706"/>
    <x v="1"/>
    <x v="1"/>
    <s v="Horní Bečva"/>
    <s v="Horní Bečva 959, PSČ 7565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3117"/>
    <s v="Háčko z.s."/>
    <s v="706"/>
    <x v="1"/>
    <x v="0"/>
    <s v="Brumov-Bylnice"/>
    <s v="Brumov-Bylnice, Brumov, Družba 1196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7204"/>
    <s v="HADRON CLUB o.s."/>
    <s v="706"/>
    <x v="1"/>
    <x v="0"/>
    <s v="Luhačovice"/>
    <s v="Luhačovice, Družstevní 35, PSČ 76326"/>
    <s v="93120"/>
    <s v="Činnosti sportovních klubů"/>
    <m/>
    <m/>
    <m/>
    <m/>
    <m/>
    <m/>
    <m/>
    <m/>
    <m/>
    <m/>
    <m/>
    <m/>
    <m/>
    <m/>
    <m/>
    <m/>
    <m/>
  </r>
  <r>
    <s v="22899766"/>
    <s v="HAFERA z Nového Hrozenkova, z.s."/>
    <s v="706"/>
    <x v="1"/>
    <x v="1"/>
    <s v="Nový Hrozenkov"/>
    <s v="Nový Hrozenkov 304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13879"/>
    <s v="Halenkovjani z. s."/>
    <s v="706"/>
    <x v="1"/>
    <x v="1"/>
    <s v="Halenkov"/>
    <s v="Halenkov 621, PSČ 75603"/>
    <s v="94995"/>
    <s v="Činnosti environmentálních a ekologických hnutí"/>
    <m/>
    <m/>
    <m/>
    <m/>
    <m/>
    <m/>
    <m/>
    <m/>
    <m/>
    <m/>
    <m/>
    <m/>
    <m/>
    <m/>
    <m/>
    <m/>
    <m/>
  </r>
  <r>
    <s v="08888299"/>
    <s v="Halenky z.s."/>
    <s v="706"/>
    <x v="1"/>
    <x v="0"/>
    <s v="Halenkovice"/>
    <s v="Halenkovice 252, PSČ 763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625042"/>
    <s v="Hanácké sóbor Kroměříž, z.s."/>
    <s v="706"/>
    <x v="1"/>
    <x v="3"/>
    <s v="Kroměříž"/>
    <s v="Kroměříž, Slov. nár. povstání 3988/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5794"/>
    <s v="Hanačka, z. s."/>
    <s v="706"/>
    <x v="1"/>
    <x v="3"/>
    <s v="Břest"/>
    <s v="Břest 72, PSČ 768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582"/>
    <s v="Handball club Zlín, z.s."/>
    <s v="706"/>
    <x v="1"/>
    <x v="0"/>
    <s v="Zlín"/>
    <s v="Zlín, U Zimního stadionu 4286, PSČ 76001"/>
    <s v="93120"/>
    <s v="Činnosti sportovních klubů"/>
    <m/>
    <m/>
    <m/>
    <m/>
    <m/>
    <m/>
    <m/>
    <m/>
    <m/>
    <m/>
    <m/>
    <m/>
    <m/>
    <m/>
    <m/>
    <m/>
    <m/>
  </r>
  <r>
    <s v="46531378"/>
    <s v="Handball club Zubří z. s."/>
    <s v="706"/>
    <x v="1"/>
    <x v="1"/>
    <s v="Zubří"/>
    <s v="Zubří, Hlavní 492, PSČ 75654"/>
    <s v="93120"/>
    <s v="Činnosti sportovních klubů"/>
    <m/>
    <m/>
    <m/>
    <m/>
    <m/>
    <m/>
    <m/>
    <m/>
    <m/>
    <m/>
    <m/>
    <m/>
    <m/>
    <m/>
    <m/>
    <m/>
    <m/>
  </r>
  <r>
    <s v="22770267"/>
    <s v="HANDICAP SPORT, z.s."/>
    <s v="706"/>
    <x v="1"/>
    <x v="0"/>
    <s v="Zlín"/>
    <s v="Zlín, Malenovice, Tyršova 930, PSČ 76302"/>
    <s v="93110"/>
    <s v="Provozování sportovních zařízení"/>
    <m/>
    <m/>
    <m/>
    <m/>
    <m/>
    <m/>
    <m/>
    <m/>
    <m/>
    <m/>
    <m/>
    <m/>
    <m/>
    <m/>
    <m/>
    <m/>
    <m/>
  </r>
  <r>
    <s v="46277633"/>
    <s v="Handicap Zlín, z.s."/>
    <s v="706"/>
    <x v="1"/>
    <x v="0"/>
    <s v="Zlín"/>
    <s v="Zlín, Padělky VI 1367, PSČ 76001"/>
    <s v="9499"/>
    <s v="Činnosti ostatních organizací sdružujících osoby za účelem prosazování společných zájmů j. n."/>
    <s v="Maloobchod v nespecializovaných prodejnách"/>
    <s v="Ambulantní nebo terénní sociální služby pro seniory a osoby se zdravotním postižením"/>
    <m/>
    <m/>
    <m/>
    <m/>
    <m/>
    <m/>
    <m/>
    <m/>
    <m/>
    <m/>
    <m/>
    <m/>
    <m/>
    <m/>
    <m/>
  </r>
  <r>
    <s v="08650811"/>
    <s v="HandicapCats z. s."/>
    <s v="706"/>
    <x v="1"/>
    <x v="1"/>
    <s v="Vsetín"/>
    <s v="Vsetín, Rokytnice, Janišov 61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45351"/>
    <s v="Handrlák z.s."/>
    <s v="706"/>
    <x v="1"/>
    <x v="2"/>
    <s v="Kunovice"/>
    <s v="Kunovice, Osvobození 590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4163"/>
    <s v="Handy - osobní asistence"/>
    <s v="706"/>
    <x v="1"/>
    <x v="3"/>
    <s v="Hulín"/>
    <s v="Hulín, U Stavu 1070, PSČ 768 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7502"/>
    <s v="Happy Agility Friends Beskydy o.s."/>
    <s v="706"/>
    <x v="1"/>
    <x v="1"/>
    <s v="Rožnov pod Radhoštěm"/>
    <s v="Rožnov pod Radhoštěm, Beskydská 1322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55701"/>
    <s v="Harafica z.s."/>
    <s v="706"/>
    <x v="1"/>
    <x v="2"/>
    <s v="Uherské Hradiště"/>
    <s v="Uherské Hradiště, Sady, Vřesová 1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728071"/>
    <s v="Harmonické rodičovství z.s."/>
    <s v="706"/>
    <x v="1"/>
    <x v="1"/>
    <s v="Rožnov pod Radhoštěm"/>
    <s v="Rožnov pod Radhoštěm, Ostravská č. ev. 26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0321"/>
    <s v="HARMONIE - spolek přátel Střední zdravotnické školy a Vyšší odborné školy zdravotnické Kroměříž"/>
    <s v="706"/>
    <x v="1"/>
    <x v="3"/>
    <s v="Kroměříž"/>
    <s v="Kroměříž, Albertova 4261/25A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4839"/>
    <s v="Harmonie, vzdělávací centrum z.s."/>
    <s v="706"/>
    <x v="1"/>
    <x v="1"/>
    <s v="Valašské Meziříčí"/>
    <s v="Valašské Meziříčí, Kardinála Bauera 147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6847"/>
    <s v="Harmonizační centrum, z.s."/>
    <s v="706"/>
    <x v="1"/>
    <x v="1"/>
    <s v="Valašské Meziříčí"/>
    <s v="Valašské Meziříčí, Krásno nad Bečvou, Janáčkova 592/1, PSČ 75701"/>
    <s v="94999"/>
    <s v="Činnosti ostatních organizací j. n."/>
    <m/>
    <m/>
    <m/>
    <m/>
    <m/>
    <m/>
    <m/>
    <m/>
    <m/>
    <m/>
    <m/>
    <m/>
    <m/>
    <m/>
    <m/>
    <m/>
    <m/>
  </r>
  <r>
    <s v="22717684"/>
    <s v="Hasiči Bánov, o.s."/>
    <s v="706"/>
    <x v="1"/>
    <x v="2"/>
    <s v="Bánov"/>
    <s v="Bánov 700, PSČ 687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30410"/>
    <s v="Hasičský sportovní klub okresu Uherské Hradiště, z.s."/>
    <s v="706"/>
    <x v="1"/>
    <x v="2"/>
    <s v="Uherské Hradiště"/>
    <s v="Uherské Hradiště, Boženy Němcové 834, PSČ 68601"/>
    <s v="93120"/>
    <s v="Činnosti sportovních klubů"/>
    <m/>
    <m/>
    <m/>
    <m/>
    <m/>
    <m/>
    <m/>
    <m/>
    <m/>
    <m/>
    <m/>
    <m/>
    <m/>
    <m/>
    <m/>
    <m/>
    <m/>
  </r>
  <r>
    <s v="64123626"/>
    <s v="Hasičský sportovní klub Vsetín, z.s."/>
    <s v="706"/>
    <x v="1"/>
    <x v="1"/>
    <s v="Valašské Meziříčí"/>
    <s v="Valašské Meziříčí, Železničního vojska 1347, PSČ 75701"/>
    <s v="93120"/>
    <s v="Činnosti sportovních klubů"/>
    <m/>
    <m/>
    <m/>
    <m/>
    <m/>
    <m/>
    <m/>
    <m/>
    <m/>
    <m/>
    <m/>
    <m/>
    <m/>
    <m/>
    <m/>
    <m/>
    <m/>
  </r>
  <r>
    <s v="26656451"/>
    <s v="HAŠTERA, z.s."/>
    <s v="706"/>
    <x v="1"/>
    <x v="2"/>
    <s v="Uherský Ostroh"/>
    <s v="Uherský Ostroh, Zámecká 24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95057"/>
    <s v="Hayča Thiyošpaye"/>
    <s v="706"/>
    <x v="1"/>
    <x v="1"/>
    <s v="Valašské Meziříčí"/>
    <s v="Valašské Meziříčí"/>
    <s v="94999"/>
    <s v="Činnosti ostatních organizací j. n."/>
    <m/>
    <m/>
    <m/>
    <m/>
    <m/>
    <m/>
    <m/>
    <m/>
    <m/>
    <m/>
    <m/>
    <m/>
    <m/>
    <m/>
    <m/>
    <m/>
    <m/>
  </r>
  <r>
    <s v="09476750"/>
    <s v="Házená Vsetín, z.s."/>
    <s v="706"/>
    <x v="1"/>
    <x v="1"/>
    <s v="Vsetín"/>
    <s v="Vsetín, Palackého 258, PSČ 75501"/>
    <s v="93190"/>
    <s v="Ostatní sportovní činnosti"/>
    <m/>
    <m/>
    <m/>
    <m/>
    <m/>
    <m/>
    <m/>
    <m/>
    <m/>
    <m/>
    <m/>
    <m/>
    <m/>
    <m/>
    <m/>
    <m/>
    <m/>
  </r>
  <r>
    <s v="26614324"/>
    <s v="Házenkářský sportovní klub Bánov"/>
    <s v="706"/>
    <x v="1"/>
    <x v="2"/>
    <s v="Kunovice"/>
    <s v="Kunovice, Úvoz 439, PSČ 68604"/>
    <s v="93110"/>
    <s v="Provozování sportovních zařízení"/>
    <m/>
    <m/>
    <m/>
    <m/>
    <m/>
    <m/>
    <m/>
    <m/>
    <m/>
    <m/>
    <m/>
    <m/>
    <m/>
    <m/>
    <m/>
    <m/>
    <m/>
  </r>
  <r>
    <s v="26551241"/>
    <s v="Házenkářský sportovní klub Kunovice"/>
    <s v="706"/>
    <x v="1"/>
    <x v="2"/>
    <s v="Kunovice"/>
    <s v="Kunovice, Panská 9, PSČ 68604"/>
    <s v="93110"/>
    <s v="Provozování sportovních zařízení"/>
    <m/>
    <m/>
    <m/>
    <m/>
    <m/>
    <m/>
    <m/>
    <m/>
    <m/>
    <m/>
    <m/>
    <m/>
    <m/>
    <m/>
    <m/>
    <m/>
    <m/>
  </r>
  <r>
    <s v="26611287"/>
    <s v="Házenkářský sportovní klub Luhačovice"/>
    <s v="706"/>
    <x v="1"/>
    <x v="2"/>
    <s v="Kunovice"/>
    <s v="Kunovice, Úvoz 439, PSČ 68604"/>
    <s v="93110"/>
    <s v="Provozování sportovních zařízení"/>
    <m/>
    <m/>
    <m/>
    <m/>
    <m/>
    <m/>
    <m/>
    <m/>
    <m/>
    <m/>
    <m/>
    <m/>
    <m/>
    <m/>
    <m/>
    <m/>
    <m/>
  </r>
  <r>
    <s v="26624362"/>
    <s v="Házenkářský sportovní klub Staré Město"/>
    <s v="706"/>
    <x v="1"/>
    <x v="2"/>
    <s v="Kunovice"/>
    <s v="Kunovice, Úvoz 439, PSČ 68604"/>
    <s v="93110"/>
    <s v="Provozování sportovních zařízení"/>
    <m/>
    <m/>
    <m/>
    <m/>
    <m/>
    <m/>
    <m/>
    <m/>
    <m/>
    <m/>
    <m/>
    <m/>
    <m/>
    <m/>
    <m/>
    <m/>
    <m/>
  </r>
  <r>
    <s v="26613841"/>
    <s v="Házenkářský sportovní klub Uherský Brod"/>
    <s v="706"/>
    <x v="1"/>
    <x v="2"/>
    <s v="Kunovice"/>
    <s v="Kunovice, Úvoz 439, PSČ 68604"/>
    <s v="93110"/>
    <s v="Provozování sportovních zařízení"/>
    <m/>
    <m/>
    <m/>
    <m/>
    <m/>
    <m/>
    <m/>
    <m/>
    <m/>
    <m/>
    <m/>
    <m/>
    <m/>
    <m/>
    <m/>
    <m/>
    <m/>
  </r>
  <r>
    <s v="26625431"/>
    <s v="Házenkářský sportovní klub Vlčnov"/>
    <s v="706"/>
    <x v="1"/>
    <x v="2"/>
    <s v="Kunovice"/>
    <s v="Kunovice, Úvoz 439, PSČ 68604"/>
    <s v="93110"/>
    <s v="Provozování sportovních zařízení"/>
    <m/>
    <m/>
    <m/>
    <m/>
    <m/>
    <m/>
    <m/>
    <m/>
    <m/>
    <m/>
    <m/>
    <m/>
    <m/>
    <m/>
    <m/>
    <m/>
    <m/>
  </r>
  <r>
    <s v="28557522"/>
    <s v="HB collegium z. s."/>
    <s v="706"/>
    <x v="1"/>
    <x v="2"/>
    <s v="Buchlovice"/>
    <s v="Buchlovice, Polesí 418, Hrad Buchlov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811221"/>
    <s v="HBC Malenovice, z.s."/>
    <s v="706"/>
    <x v="1"/>
    <x v="0"/>
    <s v="Zlín"/>
    <s v="Zlín, Krátká 927, PSČ 76001"/>
    <s v="931"/>
    <s v="Sportovní činnosti"/>
    <m/>
    <m/>
    <m/>
    <m/>
    <m/>
    <m/>
    <m/>
    <m/>
    <m/>
    <m/>
    <m/>
    <m/>
    <m/>
    <m/>
    <m/>
    <m/>
    <m/>
  </r>
  <r>
    <s v="00531928"/>
    <s v="HC Berani Zlín, z.s."/>
    <s v="706"/>
    <x v="1"/>
    <x v="0"/>
    <s v="Zlín"/>
    <s v="Zlín, Březnická 4068, PSČ 76001"/>
    <s v="93120"/>
    <s v="Činnosti sportovních klubů"/>
    <m/>
    <m/>
    <m/>
    <m/>
    <m/>
    <m/>
    <m/>
    <m/>
    <m/>
    <m/>
    <m/>
    <m/>
    <m/>
    <m/>
    <m/>
    <m/>
    <m/>
  </r>
  <r>
    <s v="05101379"/>
    <s v="HC Bizon spolek"/>
    <s v="706"/>
    <x v="1"/>
    <x v="2"/>
    <s v="Vlčnov"/>
    <s v="Vlčnov 25, PSČ 68761"/>
    <s v="9311"/>
    <s v="Provozování sportovních zařízení"/>
    <m/>
    <m/>
    <m/>
    <m/>
    <m/>
    <m/>
    <m/>
    <m/>
    <m/>
    <m/>
    <m/>
    <m/>
    <m/>
    <m/>
    <m/>
    <m/>
    <m/>
  </r>
  <r>
    <s v="22741101"/>
    <s v="HC Holešov Gators, z.s."/>
    <s v="706"/>
    <x v="1"/>
    <x v="3"/>
    <s v="Holešov"/>
    <s v="Holešov, Masarykova 1335/23, PSČ 76901"/>
    <s v="93110"/>
    <s v="Provozování sportovních zařízení"/>
    <m/>
    <m/>
    <m/>
    <m/>
    <m/>
    <m/>
    <m/>
    <m/>
    <m/>
    <m/>
    <m/>
    <m/>
    <m/>
    <m/>
    <m/>
    <m/>
    <m/>
  </r>
  <r>
    <s v="22608591"/>
    <s v="HC Hošťálková, z. s."/>
    <s v="706"/>
    <x v="1"/>
    <x v="1"/>
    <s v="Vsetín"/>
    <s v="Vsetín, Rokytnice, Pod Žamboškou 1036, PSČ 75501"/>
    <s v="93110"/>
    <s v="Provozování sportovních zařízení"/>
    <m/>
    <m/>
    <m/>
    <m/>
    <m/>
    <m/>
    <m/>
    <m/>
    <m/>
    <m/>
    <m/>
    <m/>
    <m/>
    <m/>
    <m/>
    <m/>
    <m/>
  </r>
  <r>
    <s v="66545731"/>
    <s v="HC ITS Uherské Hradiště-Kunovice"/>
    <s v="706"/>
    <x v="1"/>
    <x v="2"/>
    <s v="Uherské Hradiště"/>
    <s v="Uherské Hradiště, Mařatice, Derflanská 1009, PSČ 68605"/>
    <s v="93110"/>
    <s v="Provozování sportovních zařízení"/>
    <m/>
    <m/>
    <m/>
    <m/>
    <m/>
    <m/>
    <m/>
    <m/>
    <m/>
    <m/>
    <m/>
    <m/>
    <m/>
    <m/>
    <m/>
    <m/>
    <m/>
  </r>
  <r>
    <s v="65760522"/>
    <s v="HC Junior Zlín, spolek"/>
    <s v="706"/>
    <x v="1"/>
    <x v="0"/>
    <s v="Zlín"/>
    <s v="Zlín, U Zimního stadionu 4286, PSČ 76001"/>
    <s v="93120"/>
    <s v="Činnosti sportovních klubů"/>
    <m/>
    <m/>
    <m/>
    <m/>
    <m/>
    <m/>
    <m/>
    <m/>
    <m/>
    <m/>
    <m/>
    <m/>
    <m/>
    <m/>
    <m/>
    <m/>
    <m/>
  </r>
  <r>
    <s v="22834044"/>
    <s v="HC Klobucké laviny, z.s."/>
    <s v="706"/>
    <x v="1"/>
    <x v="0"/>
    <s v="Valašské Klobouky"/>
    <s v="Valašské Klobouky, Brumovská 704, PSČ 76601"/>
    <s v="93110"/>
    <s v="Provozování sportovních zařízení"/>
    <m/>
    <m/>
    <m/>
    <m/>
    <m/>
    <m/>
    <m/>
    <m/>
    <m/>
    <m/>
    <m/>
    <m/>
    <m/>
    <m/>
    <m/>
    <m/>
    <m/>
  </r>
  <r>
    <s v="08872201"/>
    <s v="HC Komárovice Bulls, z.s."/>
    <s v="706"/>
    <x v="1"/>
    <x v="1"/>
    <s v="Kelč"/>
    <s v="Kelč, Komárovice 53, PSČ 75643"/>
    <s v="93110"/>
    <s v="Provozování sportovních zařízení"/>
    <m/>
    <m/>
    <m/>
    <m/>
    <m/>
    <m/>
    <m/>
    <m/>
    <m/>
    <m/>
    <m/>
    <m/>
    <m/>
    <m/>
    <m/>
    <m/>
    <m/>
  </r>
  <r>
    <s v="69603987"/>
    <s v="HC LAZY ROŽNOV"/>
    <s v="706"/>
    <x v="1"/>
    <x v="1"/>
    <s v="Rožnov pod Radhoštěm"/>
    <s v="Rožnov pod Radhoštěm, Vítězná 1745, PSČ 75661"/>
    <s v="93120"/>
    <s v="Činnosti sportovních klubů"/>
    <m/>
    <m/>
    <m/>
    <m/>
    <m/>
    <m/>
    <m/>
    <m/>
    <m/>
    <m/>
    <m/>
    <m/>
    <m/>
    <m/>
    <m/>
    <m/>
    <m/>
  </r>
  <r>
    <s v="06187579"/>
    <s v="HC Mařatice 2017, z.s."/>
    <s v="706"/>
    <x v="1"/>
    <x v="2"/>
    <s v="Uherské Hradiště"/>
    <s v="Uherské Hradiště, Mařatice, Na Hraničkách 1682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446679"/>
    <s v="HC Ratiboř, z.s."/>
    <s v="706"/>
    <x v="1"/>
    <x v="1"/>
    <s v="Ratiboř"/>
    <s v="Ratiboř 75, PSČ 75621"/>
    <s v="93110"/>
    <s v="Provozování sportovních zařízení"/>
    <m/>
    <m/>
    <m/>
    <m/>
    <m/>
    <m/>
    <m/>
    <m/>
    <m/>
    <m/>
    <m/>
    <m/>
    <m/>
    <m/>
    <m/>
    <m/>
    <m/>
  </r>
  <r>
    <s v="48773026"/>
    <s v="HC Rožnov p. R. Černí Vlci z.s."/>
    <s v="706"/>
    <x v="1"/>
    <x v="1"/>
    <s v="Rožnov pod Radhoštěm"/>
    <s v="Rožnov pod Radhoštěm, Bučiska 2305, PSČ 75661"/>
    <s v="93120"/>
    <s v="Činnosti sportovních klubů"/>
    <m/>
    <m/>
    <m/>
    <m/>
    <m/>
    <m/>
    <m/>
    <m/>
    <m/>
    <m/>
    <m/>
    <m/>
    <m/>
    <m/>
    <m/>
    <m/>
    <m/>
  </r>
  <r>
    <s v="69652228"/>
    <s v="HC SPARTAK Uherský Brod, z.s."/>
    <s v="706"/>
    <x v="1"/>
    <x v="2"/>
    <s v="Uherský Brod"/>
    <s v="Uherský Brod, Lipová 703, PSČ 68801"/>
    <s v="93120"/>
    <s v="Činnosti sportovních klubů"/>
    <m/>
    <m/>
    <m/>
    <m/>
    <m/>
    <m/>
    <m/>
    <m/>
    <m/>
    <m/>
    <m/>
    <m/>
    <m/>
    <m/>
    <m/>
    <m/>
    <m/>
  </r>
  <r>
    <s v="60370238"/>
    <s v="HC Uherské Hradiště, z. s."/>
    <s v="706"/>
    <x v="1"/>
    <x v="2"/>
    <s v="Uherské Hradiště"/>
    <s v="Uherské Hradiště, Na Rybníku 1057, PSČ 68601"/>
    <s v="9311"/>
    <s v="Provozování sportovních zařízení"/>
    <m/>
    <m/>
    <m/>
    <m/>
    <m/>
    <m/>
    <m/>
    <m/>
    <m/>
    <m/>
    <m/>
    <m/>
    <m/>
    <m/>
    <m/>
    <m/>
    <m/>
  </r>
  <r>
    <s v="27005011"/>
    <s v="HC Valašské Meziříčí 2005, zapsaný spolek"/>
    <s v="706"/>
    <x v="1"/>
    <x v="1"/>
    <s v="Valašské Meziříčí"/>
    <s v="Valašské Meziříčí, Kouty 325, PSČ 75701"/>
    <s v="93110"/>
    <s v="Provozování sportovních zařízení"/>
    <m/>
    <m/>
    <m/>
    <m/>
    <m/>
    <m/>
    <m/>
    <m/>
    <m/>
    <m/>
    <m/>
    <m/>
    <m/>
    <m/>
    <m/>
    <m/>
    <m/>
  </r>
  <r>
    <s v="27004023"/>
    <s v="Health &amp; RH"/>
    <s v="706"/>
    <x v="1"/>
    <x v="3"/>
    <s v="Chropyně"/>
    <s v="Chropyně, Masarykova 777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371251"/>
    <s v="Health - zdraví z.s."/>
    <s v="706"/>
    <x v="1"/>
    <x v="0"/>
    <s v="Luhačovice"/>
    <s v="Luhačovice, Josefa Černíka 453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3412"/>
    <s v="Heartattack racing z.s."/>
    <s v="706"/>
    <x v="1"/>
    <x v="3"/>
    <s v="Holešov"/>
    <s v="Holešov, Tučapy 125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43611"/>
    <s v="Heinz Moto Sport"/>
    <s v="706"/>
    <x v="1"/>
    <x v="0"/>
    <s v="Pozlovice"/>
    <s v="Pozlovice, V Dražkách 301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3895"/>
    <s v="HELBYS, o. s."/>
    <s v="706"/>
    <x v="1"/>
    <x v="3"/>
    <s v="Bystřice pod Hostýnem"/>
    <s v="Bystřice pod Hostýnem, Sídliště 1273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53654"/>
    <s v="HELP IN NEED z.s."/>
    <s v="706"/>
    <x v="1"/>
    <x v="3"/>
    <s v="Kroměříž"/>
    <s v="Kroměříž, Tovačovského 2784/2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6826"/>
    <s v="&quot;Help Online&quot;"/>
    <s v="706"/>
    <x v="1"/>
    <x v="2"/>
    <s v="Uherské Hradiště"/>
    <s v="Uherské Hradiště, Milíčova 467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9258"/>
    <s v="HENDIKA zapsaný spolek"/>
    <s v="706"/>
    <x v="1"/>
    <x v="0"/>
    <s v="Zlín"/>
    <s v="Zlín, Prostřední 2240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6444911"/>
    <s v="Herberk, z. s."/>
    <s v="706"/>
    <x v="1"/>
    <x v="0"/>
    <s v="Zlín"/>
    <s v="Zlín, Štípa, Kostelecká 256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26886"/>
    <s v="HERBOMED z. s."/>
    <s v="706"/>
    <x v="1"/>
    <x v="2"/>
    <s v="Uherské Hradiště"/>
    <s v="Uherské Hradiště, Mojmírova 51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5683"/>
    <s v="H.E.R.ecká společnost"/>
    <s v="706"/>
    <x v="1"/>
    <x v="0"/>
    <s v="Zlín"/>
    <s v="Zlín, U Náhonu 128, PSČ 76001"/>
    <s v="90030"/>
    <s v="Umělecká tvorba"/>
    <m/>
    <m/>
    <m/>
    <m/>
    <m/>
    <m/>
    <m/>
    <m/>
    <m/>
    <m/>
    <m/>
    <m/>
    <m/>
    <m/>
    <m/>
    <m/>
    <m/>
  </r>
  <r>
    <s v="26672634"/>
    <s v="HFC Zlín z.s."/>
    <s v="706"/>
    <x v="1"/>
    <x v="0"/>
    <s v="Zlín"/>
    <s v="Zlín, M. Knesla 4020, PSČ 76001"/>
    <s v="93110"/>
    <s v="Provozování sportovních zařízení"/>
    <m/>
    <m/>
    <m/>
    <m/>
    <m/>
    <m/>
    <m/>
    <m/>
    <m/>
    <m/>
    <m/>
    <m/>
    <m/>
    <m/>
    <m/>
    <m/>
    <m/>
  </r>
  <r>
    <s v="65828097"/>
    <s v="HIPO Koryčany, z.s."/>
    <s v="706"/>
    <x v="1"/>
    <x v="3"/>
    <s v="Koryčany"/>
    <s v="Koryčany, Smetanova 569, PSČ 768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3865"/>
    <s v="Hipo Natur Art, o. s."/>
    <s v="706"/>
    <x v="1"/>
    <x v="0"/>
    <s v="Zlín"/>
    <s v="Zlín, Burešov 488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7417"/>
    <s v="HISTERKY, z.s."/>
    <s v="706"/>
    <x v="1"/>
    <x v="1"/>
    <s v="Rožnov pod Radhoštěm"/>
    <s v="Rožnov pod Radhoštěm, 5. května 1559, PSČ 75661"/>
    <s v="90030"/>
    <s v="Umělecká tvorba"/>
    <m/>
    <m/>
    <m/>
    <m/>
    <m/>
    <m/>
    <m/>
    <m/>
    <m/>
    <m/>
    <m/>
    <m/>
    <m/>
    <m/>
    <m/>
    <m/>
    <m/>
  </r>
  <r>
    <s v="08379831"/>
    <s v="Historia Futurae z.ú."/>
    <s v="161"/>
    <x v="3"/>
    <x v="0"/>
    <s v="Zlín"/>
    <s v="Zlín, Vavrečkova 526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7484"/>
    <s v="&quot;Historická společnost Starý Velehrad, z. s.&quot;"/>
    <s v="706"/>
    <x v="1"/>
    <x v="2"/>
    <s v="Buchlovice"/>
    <s v="Buchlovice, K Buchlovu 750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003139"/>
    <s v="Historický spolek městečka Kvasice, z.s."/>
    <s v="706"/>
    <x v="1"/>
    <x v="3"/>
    <s v="Kvasice"/>
    <s v="Kvasice, A. Dohnala 18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0754"/>
    <s v="Historický spolek Tlumačov"/>
    <s v="706"/>
    <x v="1"/>
    <x v="0"/>
    <s v="Tlumačov"/>
    <s v="Tlumačov, Dolní 107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1240"/>
    <s v="HK Bystřice pod Hostýnem, z.s."/>
    <s v="706"/>
    <x v="1"/>
    <x v="3"/>
    <s v="Bystřice pod Hostýnem"/>
    <s v="Bystřice pod Hostýnem, Sportovní 1357, PSČ 76861"/>
    <s v="93110"/>
    <s v="Provozování sportovních zařízení"/>
    <m/>
    <m/>
    <m/>
    <m/>
    <m/>
    <m/>
    <m/>
    <m/>
    <m/>
    <m/>
    <m/>
    <m/>
    <m/>
    <m/>
    <m/>
    <m/>
    <m/>
  </r>
  <r>
    <s v="70418136"/>
    <s v="HK Kroměříž z.s."/>
    <s v="706"/>
    <x v="1"/>
    <x v="3"/>
    <s v="Kroměříž"/>
    <s v="Kroměříž, Obvodová 3474/11, PSČ 76701"/>
    <s v="93110"/>
    <s v="Provozování sportovních zařízení"/>
    <m/>
    <m/>
    <m/>
    <m/>
    <m/>
    <m/>
    <m/>
    <m/>
    <m/>
    <m/>
    <m/>
    <m/>
    <m/>
    <m/>
    <m/>
    <m/>
    <m/>
  </r>
  <r>
    <s v="07015534"/>
    <s v="HK Zubří z.s."/>
    <s v="706"/>
    <x v="1"/>
    <x v="1"/>
    <s v="Zubří"/>
    <s v="Zubří, Záhumení 983, PSČ 75654"/>
    <s v="93190"/>
    <s v="Ostatní sportovní činnosti"/>
    <m/>
    <m/>
    <m/>
    <m/>
    <m/>
    <m/>
    <m/>
    <m/>
    <m/>
    <m/>
    <m/>
    <m/>
    <m/>
    <m/>
    <m/>
    <m/>
    <m/>
  </r>
  <r>
    <s v="28553497"/>
    <s v="HLAHOL Mysločovice z.s."/>
    <s v="706"/>
    <x v="1"/>
    <x v="0"/>
    <s v="Mysločovice"/>
    <s v="Mysločovice 21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166150"/>
    <s v="Hlas Boží, hlas lidu z.s."/>
    <s v="706"/>
    <x v="1"/>
    <x v="1"/>
    <s v="Vidče"/>
    <s v="Vidče 589, PSČ 756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330974"/>
    <s v="HLASY z.s."/>
    <s v="706"/>
    <x v="1"/>
    <x v="0"/>
    <s v="Zlín"/>
    <s v="Zlín, 2. května 238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1547"/>
    <s v="HLK akademie, z. s."/>
    <s v="706"/>
    <x v="1"/>
    <x v="0"/>
    <s v="Kelníky"/>
    <s v="Kelníky 68, PSČ 76307"/>
    <s v="93110"/>
    <s v="Provozování sportovních zařízení"/>
    <m/>
    <m/>
    <m/>
    <m/>
    <m/>
    <m/>
    <m/>
    <m/>
    <m/>
    <m/>
    <m/>
    <m/>
    <m/>
    <m/>
    <m/>
    <m/>
    <m/>
  </r>
  <r>
    <s v="19157517"/>
    <s v="Hnízdečko z. s."/>
    <s v="706"/>
    <x v="1"/>
    <x v="2"/>
    <s v="Uherské Hradiště"/>
    <s v="Uherské Hradiště, Jarošov, Pivovarská 273, PSČ 68601"/>
    <s v="94991"/>
    <s v="Činnosti organizací dětí a mládeže"/>
    <m/>
    <m/>
    <m/>
    <m/>
    <m/>
    <m/>
    <m/>
    <m/>
    <m/>
    <m/>
    <m/>
    <m/>
    <m/>
    <m/>
    <m/>
    <m/>
    <m/>
  </r>
  <r>
    <s v="26525739"/>
    <s v="Hnutí za lepší svět"/>
    <s v="706"/>
    <x v="1"/>
    <x v="2"/>
    <s v="Staré Město"/>
    <s v="Staré Město, Finská čtvrť 1583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26121"/>
    <s v="Hobby Horsing Kvasice z.s."/>
    <s v="706"/>
    <x v="1"/>
    <x v="3"/>
    <s v="Kvasice"/>
    <s v="Kvasice, Krajina 340, PSČ 76821"/>
    <s v="93190"/>
    <s v="Ostatní sportovní činnosti"/>
    <m/>
    <m/>
    <m/>
    <m/>
    <m/>
    <m/>
    <m/>
    <m/>
    <m/>
    <m/>
    <m/>
    <m/>
    <m/>
    <m/>
    <m/>
    <m/>
    <m/>
  </r>
  <r>
    <s v="47659131"/>
    <s v="Hobby klub Rožnov pod Radhoštěm"/>
    <s v="706"/>
    <x v="1"/>
    <x v="1"/>
    <s v="Rožnov pod Radhoštěm"/>
    <s v="Rožnov pod Radhoštěm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0500"/>
    <s v="Hockey Club Černí Vlci z.s."/>
    <s v="706"/>
    <x v="1"/>
    <x v="1"/>
    <s v="Rožnov pod Radhoštěm"/>
    <s v="Rožnov pod Radhoštěm, Bučiska 2305, PSČ 75661"/>
    <s v="93120"/>
    <s v="Činnosti sportovních klubů"/>
    <m/>
    <m/>
    <m/>
    <m/>
    <m/>
    <m/>
    <m/>
    <m/>
    <m/>
    <m/>
    <m/>
    <m/>
    <m/>
    <m/>
    <m/>
    <m/>
    <m/>
  </r>
  <r>
    <s v="22612858"/>
    <s v="Hodová chasa Míkovice, z.s."/>
    <s v="706"/>
    <x v="1"/>
    <x v="2"/>
    <s v="Uherské Hradiště"/>
    <s v="Uherské Hradiště, Míkovice, Příkrá 173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4995"/>
    <s v="HOGOFOGO"/>
    <s v="706"/>
    <x v="1"/>
    <x v="3"/>
    <s v="Bystřice pod Hostýnem"/>
    <s v="Bystřice pod Hostýnem, Palackého 1215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9714"/>
    <s v="&quot;HOKEJ TALENT o.s.&quot;"/>
    <s v="706"/>
    <x v="1"/>
    <x v="3"/>
    <s v="Kroměříž"/>
    <s v="Kroměříž, Malý val 1583/11, PSČ 76701"/>
    <s v="93110"/>
    <s v="Provozování sportovních zařízení"/>
    <m/>
    <m/>
    <m/>
    <m/>
    <m/>
    <m/>
    <m/>
    <m/>
    <m/>
    <m/>
    <m/>
    <m/>
    <m/>
    <m/>
    <m/>
    <m/>
    <m/>
  </r>
  <r>
    <s v="27037487"/>
    <s v="HOKEJ Uherský Ostroh, z.s."/>
    <s v="706"/>
    <x v="1"/>
    <x v="2"/>
    <s v="Uherský Ostroh"/>
    <s v="Uherský Ostroh, Ostrožské Předměstí, Školní 867, PSČ 68724"/>
    <s v="93110"/>
    <s v="Provozování sportovních zařízení"/>
    <m/>
    <m/>
    <m/>
    <m/>
    <m/>
    <m/>
    <m/>
    <m/>
    <m/>
    <m/>
    <m/>
    <m/>
    <m/>
    <m/>
    <m/>
    <m/>
    <m/>
  </r>
  <r>
    <s v="66184606"/>
    <s v="Hokejbalový klub Vsetín, z.s."/>
    <s v="706"/>
    <x v="1"/>
    <x v="1"/>
    <s v="Vsetín"/>
    <s v="Vsetín, Dolní Jasenka 770, PSČ 75501"/>
    <s v="93110"/>
    <s v="Provozování sportovních zařízení"/>
    <m/>
    <m/>
    <m/>
    <m/>
    <m/>
    <m/>
    <m/>
    <m/>
    <m/>
    <m/>
    <m/>
    <m/>
    <m/>
    <m/>
    <m/>
    <m/>
    <m/>
  </r>
  <r>
    <s v="26676770"/>
    <s v="Hokejové sdružení B.U.M. Otrokovice"/>
    <s v="706"/>
    <x v="1"/>
    <x v="0"/>
    <s v="Otrokovice"/>
    <s v="Otrokovice, nám. 3. května 1793, PSČ 76502"/>
    <s v="93110"/>
    <s v="Provozování sportovních zařízení"/>
    <m/>
    <m/>
    <m/>
    <m/>
    <m/>
    <m/>
    <m/>
    <m/>
    <m/>
    <m/>
    <m/>
    <m/>
    <m/>
    <m/>
    <m/>
    <m/>
    <m/>
  </r>
  <r>
    <s v="40994961"/>
    <s v="HOKEJOVÝ CLUB BBSS, z.s."/>
    <s v="706"/>
    <x v="1"/>
    <x v="0"/>
    <s v="Brumov-Bylnice"/>
    <s v="Brumov-Bylnice, Brumov, Družba 1223, PSČ 76331"/>
    <s v="93110"/>
    <s v="Provozování sportovních zařízení"/>
    <m/>
    <m/>
    <m/>
    <m/>
    <m/>
    <m/>
    <m/>
    <m/>
    <m/>
    <m/>
    <m/>
    <m/>
    <m/>
    <m/>
    <m/>
    <m/>
    <m/>
  </r>
  <r>
    <s v="68158149"/>
    <s v="Hokejový club Český Těšín"/>
    <s v="706"/>
    <x v="1"/>
    <x v="3"/>
    <s v="Kroměříž"/>
    <s v="Kroměříž, Lutopecká 1422/1a, PSČ 76701"/>
    <s v="93120"/>
    <s v="Činnosti sportovních klubů"/>
    <m/>
    <m/>
    <m/>
    <m/>
    <m/>
    <m/>
    <m/>
    <m/>
    <m/>
    <m/>
    <m/>
    <m/>
    <m/>
    <m/>
    <m/>
    <m/>
    <m/>
  </r>
  <r>
    <s v="70284695"/>
    <s v="Hokejový klub Prusinovice"/>
    <s v="706"/>
    <x v="1"/>
    <x v="3"/>
    <s v="Prusinovice"/>
    <s v="Prusinovice, Převorská 264"/>
    <s v="93120"/>
    <s v="Činnosti sportovních klubů"/>
    <m/>
    <m/>
    <m/>
    <m/>
    <m/>
    <m/>
    <m/>
    <m/>
    <m/>
    <m/>
    <m/>
    <m/>
    <m/>
    <m/>
    <m/>
    <m/>
    <m/>
  </r>
  <r>
    <s v="26554992"/>
    <s v="Hokejový klub Vsetín - ženy, z.s."/>
    <s v="706"/>
    <x v="1"/>
    <x v="1"/>
    <s v="Vsetín"/>
    <s v="Vsetín, Hanžlov II 1141, PSČ 75501"/>
    <s v="93110"/>
    <s v="Provozování sportovních zařízení"/>
    <m/>
    <m/>
    <m/>
    <m/>
    <m/>
    <m/>
    <m/>
    <m/>
    <m/>
    <m/>
    <m/>
    <m/>
    <m/>
    <m/>
    <m/>
    <m/>
    <m/>
  </r>
  <r>
    <s v="03163873"/>
    <s v="Hokejový sraz fanoušků Zlín, z.s."/>
    <s v="706"/>
    <x v="1"/>
    <x v="0"/>
    <s v="Zlín"/>
    <s v="Zlín, Luční 4593, PSČ 76005"/>
    <s v="93190"/>
    <s v="Ostatní sportovní činnosti"/>
    <m/>
    <m/>
    <m/>
    <m/>
    <m/>
    <m/>
    <m/>
    <m/>
    <m/>
    <m/>
    <m/>
    <m/>
    <m/>
    <m/>
    <m/>
    <m/>
    <m/>
  </r>
  <r>
    <s v="22713883"/>
    <s v="Hokejový tým Senators"/>
    <s v="706"/>
    <x v="1"/>
    <x v="3"/>
    <s v="Holešov"/>
    <s v="Holešov, Žopy 12, PSČ 76901"/>
    <s v="93110"/>
    <s v="Provozování sportovních zařízení"/>
    <m/>
    <m/>
    <m/>
    <m/>
    <m/>
    <m/>
    <m/>
    <m/>
    <m/>
    <m/>
    <m/>
    <m/>
    <m/>
    <m/>
    <m/>
    <m/>
    <m/>
  </r>
  <r>
    <s v="22684808"/>
    <s v="HolešovMAN o. s."/>
    <s v="706"/>
    <x v="1"/>
    <x v="3"/>
    <s v="Holešov"/>
    <s v="Holešov, Masarykova 653/15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05536"/>
    <s v="HOLEŠOVSKÁ SPORTOVNÍ, z.s."/>
    <s v="706"/>
    <x v="1"/>
    <x v="3"/>
    <s v="Holešov"/>
    <s v="Holešov, U Letiště 1255/51, PSČ 76901"/>
    <s v="93190"/>
    <s v="Ostatní sportovní činnosti"/>
    <m/>
    <m/>
    <m/>
    <m/>
    <m/>
    <m/>
    <m/>
    <m/>
    <m/>
    <m/>
    <m/>
    <m/>
    <m/>
    <m/>
    <m/>
    <m/>
    <m/>
  </r>
  <r>
    <s v="26561867"/>
    <s v="Holešovský komorní orchestr z.s."/>
    <s v="706"/>
    <x v="1"/>
    <x v="3"/>
    <s v="Holešov"/>
    <s v="Holešov, Novosady 1602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59844"/>
    <s v="Holešovští Pokalíšci, z. s."/>
    <s v="706"/>
    <x v="1"/>
    <x v="3"/>
    <s v="Holešov"/>
    <s v="Holešov, U Letiště 1149/5, PSČ 76901"/>
    <s v="93190"/>
    <s v="Ostatní sportovní činnosti"/>
    <m/>
    <m/>
    <m/>
    <m/>
    <m/>
    <m/>
    <m/>
    <m/>
    <m/>
    <m/>
    <m/>
    <m/>
    <m/>
    <m/>
    <m/>
    <m/>
    <m/>
  </r>
  <r>
    <s v="22731342"/>
    <s v="Holešovští trubači o.s."/>
    <s v="706"/>
    <x v="1"/>
    <x v="3"/>
    <s v="Holešov"/>
    <s v="Holešov, nám. Svobody 104/8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95015"/>
    <s v="HOLIDAY CUP z.s."/>
    <s v="706"/>
    <x v="1"/>
    <x v="0"/>
    <s v="Zlín"/>
    <s v="Zlín, Lešetín II 385, PSČ 76001"/>
    <s v="93120"/>
    <s v="Činnosti sportovních klubů"/>
    <m/>
    <m/>
    <m/>
    <m/>
    <m/>
    <m/>
    <m/>
    <m/>
    <m/>
    <m/>
    <m/>
    <m/>
    <m/>
    <m/>
    <m/>
    <m/>
    <m/>
  </r>
  <r>
    <s v="68081651"/>
    <s v="HOMACAR sportovní klub Kroměříž"/>
    <s v="706"/>
    <x v="1"/>
    <x v="3"/>
    <s v="Kroměříž"/>
    <s v="Kroměříž, Víta Nejedlého 2973/13, PSČ 76701"/>
    <s v="93120"/>
    <s v="Činnosti sportovních klubů"/>
    <m/>
    <m/>
    <m/>
    <m/>
    <m/>
    <m/>
    <m/>
    <m/>
    <m/>
    <m/>
    <m/>
    <m/>
    <m/>
    <m/>
    <m/>
    <m/>
    <m/>
  </r>
  <r>
    <s v="21656533"/>
    <s v="HOMETOWN association, z.s."/>
    <s v="706"/>
    <x v="1"/>
    <x v="0"/>
    <s v="Zlín"/>
    <s v="Zlín, J. A. Bati 554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0126"/>
    <s v="&quot;HOMOHARDCOREUS&quot;"/>
    <s v="706"/>
    <x v="1"/>
    <x v="1"/>
    <s v="Rožnov pod Radhoštěm"/>
    <s v="Rožnov pod Radhoštěm, 1. máje 1067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680730"/>
    <s v="Honební spolek Bánov, z.s."/>
    <s v="706"/>
    <x v="1"/>
    <x v="2"/>
    <s v="Bánov"/>
    <s v="Bánov 134, PSČ 68754"/>
    <s v="01700"/>
    <s v="Lov a odchyt divokých zvířat a související činnosti"/>
    <m/>
    <m/>
    <m/>
    <m/>
    <m/>
    <m/>
    <m/>
    <m/>
    <m/>
    <m/>
    <m/>
    <m/>
    <m/>
    <m/>
    <m/>
    <m/>
    <m/>
  </r>
  <r>
    <s v="67027229"/>
    <s v="Honební spolek Komňa z.s."/>
    <s v="706"/>
    <x v="1"/>
    <x v="2"/>
    <s v="Komňa"/>
    <s v="Komňa 179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4581"/>
    <s v="HONEST VETERAN CAR CLUB z.s."/>
    <s v="706"/>
    <x v="1"/>
    <x v="1"/>
    <s v="Rožnov pod Radhoštěm"/>
    <s v="Rožnov pod Radhoštěm, Travinářská 1172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777433"/>
    <s v="HooH - informačně technologický spolek"/>
    <s v="706"/>
    <x v="1"/>
    <x v="1"/>
    <s v="Valašské Meziříčí"/>
    <s v="Valašské Meziříčí, Krásno nad Bečvou, Křižná 32/2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5378"/>
    <s v="HOPÍK Zlín,z.s."/>
    <s v="706"/>
    <x v="1"/>
    <x v="0"/>
    <s v="Zlín"/>
    <s v="Zlín, Středová 4694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7963"/>
    <s v="&quot;Horedole o.s.&quot;"/>
    <s v="706"/>
    <x v="1"/>
    <x v="1"/>
    <s v="Huslenky"/>
    <s v="Huslenky 621, PSČ 756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275005"/>
    <s v="Horem Dolem, z.s."/>
    <s v="706"/>
    <x v="1"/>
    <x v="0"/>
    <s v="Provodov"/>
    <s v="Provodov 280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376636"/>
    <s v="horina z. s."/>
    <s v="706"/>
    <x v="1"/>
    <x v="2"/>
    <s v="Boršice"/>
    <s v="Boršice 729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8454"/>
    <s v="HORIZONT HOSTIŠOVÁ z.s."/>
    <s v="706"/>
    <x v="1"/>
    <x v="0"/>
    <s v="Hostišová"/>
    <s v="Hostišová, Hostišová - Horňák 61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3801"/>
    <s v="Horkovzdušné balóny Vsetín, z.s."/>
    <s v="706"/>
    <x v="1"/>
    <x v="1"/>
    <s v="Vsetín"/>
    <s v="Vsetín, Sychrov 101"/>
    <s v="93110"/>
    <s v="Provozování sportovních zařízení"/>
    <m/>
    <m/>
    <m/>
    <m/>
    <m/>
    <m/>
    <m/>
    <m/>
    <m/>
    <m/>
    <m/>
    <m/>
    <m/>
    <m/>
    <m/>
    <m/>
    <m/>
  </r>
  <r>
    <s v="22675591"/>
    <s v="HORNÍ JASENKA z.s."/>
    <s v="706"/>
    <x v="1"/>
    <x v="1"/>
    <s v="Vsetín"/>
    <s v="Vsetín, Horní Jasenka 17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8989"/>
    <s v="Horolezecký klub v Rožnově pod Radhoštěm z.s."/>
    <s v="706"/>
    <x v="1"/>
    <x v="1"/>
    <s v="Rožnov pod Radhoštěm"/>
    <s v="Tylovice 1870, 756 61 Rožnov pod Radhoštěm"/>
    <s v="93110"/>
    <s v="Provozování sportovních zařízení"/>
    <m/>
    <m/>
    <m/>
    <m/>
    <m/>
    <m/>
    <m/>
    <m/>
    <m/>
    <m/>
    <m/>
    <m/>
    <m/>
    <m/>
    <m/>
    <m/>
    <m/>
  </r>
  <r>
    <s v="28559363"/>
    <s v="Horolezecký oddíl Uherské Hradiště, z.s."/>
    <s v="706"/>
    <x v="1"/>
    <x v="2"/>
    <s v="Staré Město"/>
    <s v="Staré Město, Moravní nábřeží 2143, PSČ 68601"/>
    <s v="93110"/>
    <s v="Provozování sportovních zařízení"/>
    <m/>
    <m/>
    <m/>
    <m/>
    <m/>
    <m/>
    <m/>
    <m/>
    <m/>
    <m/>
    <m/>
    <m/>
    <m/>
    <m/>
    <m/>
    <m/>
    <m/>
  </r>
  <r>
    <s v="27058221"/>
    <s v="Horolezecký oddíl Vsetín z. s."/>
    <s v="706"/>
    <x v="1"/>
    <x v="1"/>
    <s v="Vsetín"/>
    <s v="Vsetín, Luční 1990, PSČ 75501"/>
    <s v="93110"/>
    <s v="Provozování sportovních zařízení"/>
    <m/>
    <m/>
    <m/>
    <m/>
    <m/>
    <m/>
    <m/>
    <m/>
    <m/>
    <m/>
    <m/>
    <m/>
    <m/>
    <m/>
    <m/>
    <m/>
    <m/>
  </r>
  <r>
    <s v="18035949"/>
    <s v="Horolezectví a skialp, z.s."/>
    <s v="706"/>
    <x v="1"/>
    <x v="0"/>
    <s v="Zlín"/>
    <s v="Zlín, Kotěrova 887, PSČ 76001"/>
    <s v="93190"/>
    <s v="Ostatní sportovní činnosti"/>
    <m/>
    <m/>
    <m/>
    <m/>
    <m/>
    <m/>
    <m/>
    <m/>
    <m/>
    <m/>
    <m/>
    <m/>
    <m/>
    <m/>
    <m/>
    <m/>
    <m/>
  </r>
  <r>
    <s v="26646447"/>
    <s v="Horský sportovní klub Radhošť"/>
    <s v="706"/>
    <x v="1"/>
    <x v="1"/>
    <s v="Rožnov pod Radhoštěm"/>
    <s v="Rožnov pod Radhoštěm, Meziříčská 1654, PSČ 75661"/>
    <s v="93110"/>
    <s v="Provozování sportovních zařízení"/>
    <m/>
    <m/>
    <m/>
    <m/>
    <m/>
    <m/>
    <m/>
    <m/>
    <m/>
    <m/>
    <m/>
    <m/>
    <m/>
    <m/>
    <m/>
    <m/>
    <m/>
  </r>
  <r>
    <s v="22672672"/>
    <s v="&quot;HORTUS MORAVIAE z. s.&quot;"/>
    <s v="706"/>
    <x v="1"/>
    <x v="3"/>
    <s v="Kroměříž"/>
    <s v="Kroměříž, Vážany, Na Dílech 156/3, PSČ 76701"/>
    <s v="9499"/>
    <s v="Činnosti ostatních organizací sdružujících osoby za účelem prosazování společných zájmů j. n."/>
    <s v="Výroba, obchod a služby neuvedené v přílohách 1 až 3 živnostenského zákona"/>
    <m/>
    <m/>
    <m/>
    <m/>
    <m/>
    <m/>
    <m/>
    <m/>
    <m/>
    <m/>
    <m/>
    <m/>
    <m/>
    <m/>
    <m/>
    <m/>
  </r>
  <r>
    <s v="05460697"/>
    <s v="Hospodářská a sociální regionální rada Valašska"/>
    <s v="706"/>
    <x v="1"/>
    <x v="1"/>
    <s v="Valašské Meziříčí"/>
    <s v="Valašské Meziříčí, Krásno nad Bečvou, Nádražní 42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395299"/>
    <s v="Hostýnská 50ka z.s."/>
    <s v="706"/>
    <x v="1"/>
    <x v="3"/>
    <s v="Bystřice pod Hostýnem"/>
    <s v="Bystřice pod Hostýnem, Hostýnská 1739, PSČ 76861"/>
    <s v="93190"/>
    <s v="Ostatní sportovní činnosti"/>
    <m/>
    <m/>
    <m/>
    <m/>
    <m/>
    <m/>
    <m/>
    <m/>
    <m/>
    <m/>
    <m/>
    <m/>
    <m/>
    <m/>
    <m/>
    <m/>
    <m/>
  </r>
  <r>
    <s v="26674076"/>
    <s v="HovNet, z. s."/>
    <s v="706"/>
    <x v="1"/>
    <x v="1"/>
    <s v="Hovězí"/>
    <s v="Hovězí 19, PSČ 75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729964"/>
    <s v="HP Rožnov, z.s."/>
    <s v="706"/>
    <x v="1"/>
    <x v="1"/>
    <s v="Rožnov pod Radhoštěm"/>
    <s v="Rožnov pod Radhoštěm, Ostravská 36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1255"/>
    <s v="HP sport servis - centrum volného času, z.s."/>
    <s v="706"/>
    <x v="1"/>
    <x v="0"/>
    <s v="Zlín"/>
    <s v="Zlín, Příluky, Dřevnická 549, PSČ 76001"/>
    <s v="93120"/>
    <s v="Činnosti sportovních klubů"/>
    <m/>
    <m/>
    <m/>
    <m/>
    <m/>
    <m/>
    <m/>
    <m/>
    <m/>
    <m/>
    <m/>
    <m/>
    <m/>
    <m/>
    <m/>
    <m/>
    <m/>
  </r>
  <r>
    <s v="66610486"/>
    <s v="H.P.P. HONĚTICE"/>
    <s v="706"/>
    <x v="1"/>
    <x v="3"/>
    <s v="Honětice"/>
    <s v="Honětice 51, PSČ 76813"/>
    <s v="931"/>
    <s v="Sportovní činnosti"/>
    <m/>
    <m/>
    <m/>
    <m/>
    <m/>
    <m/>
    <m/>
    <m/>
    <m/>
    <m/>
    <m/>
    <m/>
    <m/>
    <m/>
    <m/>
    <m/>
    <m/>
  </r>
  <r>
    <s v="23308672"/>
    <s v="Hra za Hrádky z. s."/>
    <s v="706"/>
    <x v="1"/>
    <x v="1"/>
    <s v="Valašské Meziříčí"/>
    <s v="Valašské Meziříčí, Hrachovec 28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5985"/>
    <s v="Hrach - divadelní spolek Hrachovec, z.s."/>
    <s v="706"/>
    <x v="1"/>
    <x v="1"/>
    <s v="Valašské Meziříčí"/>
    <s v="Valašské Meziříčí, Hrachovec 100, PSČ 75701"/>
    <s v="90010"/>
    <s v="Scénická umění"/>
    <m/>
    <m/>
    <m/>
    <m/>
    <m/>
    <m/>
    <m/>
    <m/>
    <m/>
    <m/>
    <m/>
    <m/>
    <m/>
    <m/>
    <m/>
    <m/>
    <m/>
  </r>
  <r>
    <s v="22722742"/>
    <s v="Hrad Kurovice z. s."/>
    <s v="706"/>
    <x v="1"/>
    <x v="2"/>
    <s v="Uherské Hradiště"/>
    <s v="Uherské Hradiště, Sady, Pod Lipkami 327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4279"/>
    <s v="Hradišťan z.s."/>
    <s v="706"/>
    <x v="1"/>
    <x v="2"/>
    <s v="Uherské Hradiště"/>
    <s v="Uherské Hradiště, Mařatice, Školní 726, PSČ 68605"/>
    <s v="9499"/>
    <s v="Činnosti ostatních organizací sdružujících osoby za účelem prosazování společných zájmů j. n."/>
    <s v="Zprostředkování velkoobchodu a velkoobchod v zastoupení"/>
    <m/>
    <m/>
    <m/>
    <m/>
    <m/>
    <m/>
    <m/>
    <m/>
    <m/>
    <m/>
    <m/>
    <m/>
    <m/>
    <m/>
    <m/>
    <m/>
  </r>
  <r>
    <s v="70893136"/>
    <s v="Hradišťánek"/>
    <s v="706"/>
    <x v="1"/>
    <x v="2"/>
    <s v="Uherské Hradiště"/>
    <s v="Uherské Hradiště, Mařatice, Praporce 1132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918456"/>
    <s v="Hradišťská kasárna, z. s."/>
    <s v="706"/>
    <x v="1"/>
    <x v="2"/>
    <s v="Uherské Hradiště"/>
    <s v="Uherské Hradiště, Mařatice, Verbířská 181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4357"/>
    <s v="Hrádky beze skládky, z.s."/>
    <s v="706"/>
    <x v="1"/>
    <x v="1"/>
    <s v="Krhová"/>
    <s v="Krhová, U Ovčírny 570, PSČ 756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09153"/>
    <s v="Hraj se mnou z.s."/>
    <s v="706"/>
    <x v="1"/>
    <x v="0"/>
    <s v="Zlín"/>
    <s v="Zlín, Kudlov, V Lukách 77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5084"/>
    <s v="Hrát si, poznávat a sportovat, z. s."/>
    <s v="706"/>
    <x v="1"/>
    <x v="0"/>
    <s v="Zlín"/>
    <s v="Zlín, Malenovice, třída Svobody 868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7031"/>
    <s v="Hrňova cimbálová muzika, z.s."/>
    <s v="706"/>
    <x v="1"/>
    <x v="1"/>
    <s v="Horní Lideč"/>
    <s v="Horní Lideč 287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3910"/>
    <s v="Hrubý Odhad z.s."/>
    <s v="706"/>
    <x v="1"/>
    <x v="0"/>
    <s v="Zlín"/>
    <s v="Zlín, Křiby 4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03183"/>
    <s v="HŘEBČÍN GALATÍK z.s."/>
    <s v="706"/>
    <x v="1"/>
    <x v="3"/>
    <s v="Zdounky"/>
    <s v="Zdounky, Lebedov 108, PSČ 768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55272"/>
    <s v="&quot;HUCOT o. s.&quot;"/>
    <s v="706"/>
    <x v="1"/>
    <x v="0"/>
    <s v="Zlín"/>
    <s v="Zlín, Zálešná VII 131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24748"/>
    <s v="HUCULOVÉ, z.s"/>
    <s v="706"/>
    <x v="1"/>
    <x v="1"/>
    <s v="Lužná"/>
    <s v="Lužná 244, PSČ 75611"/>
    <s v="9499"/>
    <s v="Činnosti ostatních organizací sdružujících osoby za účelem prosazování společných zájmů j. n."/>
    <s v="Výroba, obchod a služby neuvedené v přílohách 1 až 3 živnostenského zákona"/>
    <s v="Chov zvířat pro zájmový chov"/>
    <m/>
    <m/>
    <m/>
    <m/>
    <m/>
    <m/>
    <m/>
    <m/>
    <m/>
    <m/>
    <m/>
    <m/>
    <m/>
    <m/>
    <m/>
  </r>
  <r>
    <s v="26600846"/>
    <s v="Hudební sdružení Hrachokout, Valašské Meziříčí"/>
    <s v="706"/>
    <x v="1"/>
    <x v="1"/>
    <s v="Valašské Meziříčí"/>
    <s v="Valašské Meziříčí, Krásno nad Bečvou, Zámecká 8/4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1178"/>
    <s v="Hudební sdružení Zlín, z.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829691"/>
    <s v="Hudební skupina The Dees Four, z.s."/>
    <s v="706"/>
    <x v="1"/>
    <x v="2"/>
    <s v="Uherský Brod"/>
    <s v="Uherský Brod, V. Růžičky 2458, PSČ 68801"/>
    <s v="9499"/>
    <s v="Činnosti ostatních organizací sdružujících osoby za účelem prosazování společných zájmů j. n."/>
    <s v="Podpůrné činnosti pro scénická umění"/>
    <m/>
    <m/>
    <m/>
    <m/>
    <m/>
    <m/>
    <m/>
    <m/>
    <m/>
    <m/>
    <m/>
    <m/>
    <m/>
    <m/>
    <m/>
    <m/>
  </r>
  <r>
    <s v="06110517"/>
    <s v="HUDEBNÍ SPOLEK ROCKLIVE"/>
    <s v="706"/>
    <x v="1"/>
    <x v="0"/>
    <s v="Otrokovice"/>
    <s v="Otrokovice, Štěrkoviště 1293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53463"/>
    <s v="Hudební stan, z. s."/>
    <s v="706"/>
    <x v="1"/>
    <x v="1"/>
    <s v="Velké Karlovice"/>
    <s v="Velké Karlovice 58, PSČ 75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7330"/>
    <s v="hudecká muzika Staré Gatě"/>
    <s v="706"/>
    <x v="1"/>
    <x v="1"/>
    <s v="Rožnov pod Radhoštěm"/>
    <s v="Rožnov pod Radhoštěm, Karlova 172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184762"/>
    <s v="Hukilau Square Dance Club Valašské Meziříčí, z.s."/>
    <s v="706"/>
    <x v="1"/>
    <x v="1"/>
    <s v="Valašské Meziříčí"/>
    <s v="Valašské Meziříčí, Štěpánov 38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8667"/>
    <s v="Hulíňané, z. s."/>
    <s v="706"/>
    <x v="1"/>
    <x v="3"/>
    <s v="Hulín"/>
    <s v="Hulín, Družba 1190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5881"/>
    <s v="Hulka o.s."/>
    <s v="706"/>
    <x v="1"/>
    <x v="2"/>
    <s v="Hluk"/>
    <s v="Hluk, Boršická 1307, PSČ 68725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01555723"/>
    <s v="Humanitární sdružení občanské svépomoci"/>
    <s v="706"/>
    <x v="1"/>
    <x v="1"/>
    <s v="Vsetín"/>
    <s v="Vsetín, Rokytnice, Pod Žamboškou 103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29560"/>
    <s v="&quot;HVĚZDA z.ú.&quot;"/>
    <s v="161"/>
    <x v="3"/>
    <x v="0"/>
    <s v="Zlín"/>
    <s v="Zlín, Malenovice, Masarykova 443, PSČ 76302"/>
    <s v="87301"/>
    <s v="Sociální péče v domovech pro seniory"/>
    <s v="Maloobchod, kromě motorových vozidel"/>
    <s v="Ubytování"/>
    <s v="Pronájem a správa vlastních nebo pronajatých nemovitostí"/>
    <s v="Sociální péče v domovech pro seniory a osoby se zdravotním postižením"/>
    <s v="Ostatní ambulantní nebo terénní sociální služby j. n."/>
    <s v="Destilace, rektifikace a míchání lihovin"/>
    <s v="Silniční nákladní doprava"/>
    <s v="Stravování v restauracích, u stánků a v mobilních zařízeních"/>
    <s v="Pronájem a leasing ostatních výrobků pro osobní potřebu a převážně pro domácnost"/>
    <s v="Sociální péče ve zdravotnických zařízeních ústavní péče"/>
    <s v="Sociální péče v zařízeních pro osoby s chronickým duševním onemocněním"/>
    <s v="Poskytování ostatních osobních služeb j. n."/>
    <m/>
    <m/>
    <m/>
    <m/>
    <m/>
  </r>
  <r>
    <s v="22839453"/>
    <s v="Hvězdička, o.s."/>
    <s v="706"/>
    <x v="1"/>
    <x v="1"/>
    <s v="Hovězí"/>
    <s v="Hovězí 314, PSČ 75601"/>
    <s v="94991"/>
    <s v="Činnosti organizací dětí a mládeže"/>
    <m/>
    <m/>
    <m/>
    <m/>
    <m/>
    <m/>
    <m/>
    <m/>
    <m/>
    <m/>
    <m/>
    <m/>
    <m/>
    <m/>
    <m/>
    <m/>
    <m/>
  </r>
  <r>
    <s v="26982315"/>
    <s v="HVfree.net, z.s."/>
    <s v="706"/>
    <x v="1"/>
    <x v="1"/>
    <s v="Rožnov pod Radhoštěm"/>
    <s v="Rožnov pod Radhoštěm, Bayerova 62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3491"/>
    <s v="Hvizd, o.s."/>
    <s v="706"/>
    <x v="1"/>
    <x v="3"/>
    <s v="Holešov"/>
    <s v="Holešov, náměstí Dr. E. Beneše 62"/>
    <s v="90030"/>
    <s v="Umělecká tvorba"/>
    <m/>
    <m/>
    <m/>
    <m/>
    <m/>
    <m/>
    <m/>
    <m/>
    <m/>
    <m/>
    <m/>
    <m/>
    <m/>
    <m/>
    <m/>
    <m/>
    <m/>
  </r>
  <r>
    <s v="09784675"/>
    <s v="HÝBEJ.SE, z.s."/>
    <s v="706"/>
    <x v="1"/>
    <x v="1"/>
    <s v="Valašské Meziříčí"/>
    <s v="Valašské Meziříčí, 1. máje 103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18087"/>
    <s v="HYJÉ - koně, z.s."/>
    <s v="706"/>
    <x v="1"/>
    <x v="0"/>
    <s v="Křekov"/>
    <s v="Křekov 40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8829"/>
    <s v="HYUNDAI CLUB CZ, o.s."/>
    <s v="706"/>
    <x v="1"/>
    <x v="2"/>
    <s v="Uherské Hradiště"/>
    <s v="Uherské Hradiště, Mařatice, Bedřicha Buchlovana 903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2280"/>
    <s v="„I. TRNKOVÁ MOTORIZOVANÁ DIVIZE”"/>
    <s v="706"/>
    <x v="1"/>
    <x v="1"/>
    <s v="Lidečko"/>
    <s v="Lidečko 485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82594"/>
    <s v="IAESTE UTB Zlín"/>
    <s v="922"/>
    <x v="4"/>
    <x v="0"/>
    <s v="Zlín"/>
    <s v="Zlín, Mostní 5139, PSČ 76001"/>
    <s v="85600"/>
    <s v="Podpůrné činnosti ve vzdělávání"/>
    <m/>
    <m/>
    <m/>
    <m/>
    <m/>
    <m/>
    <m/>
    <m/>
    <m/>
    <m/>
    <m/>
    <m/>
    <m/>
    <m/>
    <m/>
    <m/>
    <m/>
  </r>
  <r>
    <s v="05421551"/>
    <s v="iDance Studio, z.s."/>
    <s v="706"/>
    <x v="1"/>
    <x v="0"/>
    <s v="Zlín"/>
    <s v="Zlín, nám. T. G. Masaryka 1281, PSČ 76001"/>
    <s v="93190"/>
    <s v="Ostatní sportovní činnosti"/>
    <m/>
    <m/>
    <m/>
    <m/>
    <m/>
    <m/>
    <m/>
    <m/>
    <m/>
    <m/>
    <m/>
    <m/>
    <m/>
    <m/>
    <m/>
    <m/>
    <m/>
  </r>
  <r>
    <s v="22865331"/>
    <s v="Idea Boom, o.s."/>
    <s v="706"/>
    <x v="1"/>
    <x v="1"/>
    <s v="Vsetín"/>
    <s v="Vsetín, Horní náměstí 3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65445"/>
    <s v="IdeaZone, z.s."/>
    <s v="706"/>
    <x v="1"/>
    <x v="0"/>
    <s v="Zlín"/>
    <s v="Zlín, Lesní čtvrť III 697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4879"/>
    <s v="IFFD Czech Republic, z.s."/>
    <s v="706"/>
    <x v="1"/>
    <x v="3"/>
    <s v="Kroměříž"/>
    <s v="Kroměříž, Fügnerova 766/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37422"/>
    <s v="IGNT projekt z.s."/>
    <s v="706"/>
    <x v="1"/>
    <x v="3"/>
    <s v="Kroměříž"/>
    <s v="Kroměříž, Boženy Němcové 3576/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23265"/>
    <s v="IHC DEVILS ZLÍN, z.s."/>
    <s v="706"/>
    <x v="1"/>
    <x v="0"/>
    <s v="Zlín"/>
    <s v="Zlín, Moravská 4781, PSČ 76005"/>
    <s v="93110"/>
    <s v="Provozování sportovních zařízení"/>
    <m/>
    <m/>
    <m/>
    <m/>
    <m/>
    <m/>
    <m/>
    <m/>
    <m/>
    <m/>
    <m/>
    <m/>
    <m/>
    <m/>
    <m/>
    <m/>
    <m/>
  </r>
  <r>
    <s v="70892806"/>
    <s v="IHC REFLEX UHERSKÉ HRADIŠTĚ"/>
    <s v="706"/>
    <x v="1"/>
    <x v="2"/>
    <s v="Uherské Hradiště"/>
    <s v="Uherské Hradiště, Prokopa Holého 739, PSČ 68606"/>
    <s v="93120"/>
    <s v="Činnosti sportovních klubů"/>
    <m/>
    <m/>
    <m/>
    <m/>
    <m/>
    <m/>
    <m/>
    <m/>
    <m/>
    <m/>
    <m/>
    <m/>
    <m/>
    <m/>
    <m/>
    <m/>
    <m/>
  </r>
  <r>
    <s v="07998708"/>
    <s v="IHK Hanáci, z.s."/>
    <s v="706"/>
    <x v="1"/>
    <x v="3"/>
    <s v="Zdounky"/>
    <s v="Zdounky 91, PSČ 76802"/>
    <s v="93190"/>
    <s v="Ostatní sportovní činnosti"/>
    <m/>
    <m/>
    <m/>
    <m/>
    <m/>
    <m/>
    <m/>
    <m/>
    <m/>
    <m/>
    <m/>
    <m/>
    <m/>
    <m/>
    <m/>
    <m/>
    <m/>
  </r>
  <r>
    <s v="07098413"/>
    <s v="Iktočante Holešov, z. s."/>
    <s v="706"/>
    <x v="1"/>
    <x v="3"/>
    <s v="Holešov"/>
    <s v="Holešov, Tyršova 1556, PSČ 76901"/>
    <s v="93190"/>
    <s v="Ostatní sportovní činnosti"/>
    <m/>
    <m/>
    <m/>
    <m/>
    <m/>
    <m/>
    <m/>
    <m/>
    <m/>
    <m/>
    <m/>
    <m/>
    <m/>
    <m/>
    <m/>
    <m/>
    <m/>
  </r>
  <r>
    <s v="22852905"/>
    <s v="IMMORTALIS"/>
    <s v="706"/>
    <x v="1"/>
    <x v="0"/>
    <s v="Napajedla"/>
    <s v="Napajedla, Palackého 15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4721"/>
    <s v="IMORTELA z. s."/>
    <s v="706"/>
    <x v="1"/>
    <x v="0"/>
    <s v="Otrokovice"/>
    <s v="Otrokovice, Školní 1585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7603"/>
    <s v="&quot;Independent o.s.n.m., o.s.&quot;"/>
    <s v="706"/>
    <x v="1"/>
    <x v="2"/>
    <s v="Uherské Hradiště"/>
    <s v="Uherské Hradiště, Vodní 112, Motobar u Zeda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054036"/>
    <s v="IndiPro - Škola fotbalových dovedností, z. s."/>
    <s v="706"/>
    <x v="1"/>
    <x v="1"/>
    <s v="Choryně"/>
    <s v="Choryně 188, PSČ 75642"/>
    <s v="93110"/>
    <s v="Provozování sportovních zařízení"/>
    <m/>
    <m/>
    <m/>
    <m/>
    <m/>
    <m/>
    <m/>
    <m/>
    <m/>
    <m/>
    <m/>
    <m/>
    <m/>
    <m/>
    <m/>
    <m/>
    <m/>
  </r>
  <r>
    <s v="05324394"/>
    <s v="InErudico - inovace ve vzdělávání, z.s."/>
    <s v="706"/>
    <x v="1"/>
    <x v="3"/>
    <s v="Kroměříž"/>
    <s v="Kroměříž, Kotojedy 93, PSČ 76701"/>
    <s v="94999"/>
    <s v="Činnosti ostatních organizací j. n."/>
    <m/>
    <m/>
    <m/>
    <m/>
    <m/>
    <m/>
    <m/>
    <m/>
    <m/>
    <m/>
    <m/>
    <m/>
    <m/>
    <m/>
    <m/>
    <m/>
    <m/>
  </r>
  <r>
    <s v="05496632"/>
    <s v="INF Relax z.s."/>
    <s v="706"/>
    <x v="1"/>
    <x v="2"/>
    <s v="Uherské Hradiště"/>
    <s v="Uherské Hradiště, Tř. Maršála Malinovského 1262, PSČ 68601"/>
    <s v="93190"/>
    <s v="Ostatní sportovní činnosti"/>
    <m/>
    <m/>
    <m/>
    <m/>
    <m/>
    <m/>
    <m/>
    <m/>
    <m/>
    <m/>
    <m/>
    <m/>
    <m/>
    <m/>
    <m/>
    <m/>
    <m/>
  </r>
  <r>
    <s v="25553976"/>
    <s v="Informační středisko pro rozvoj Moravských Kopanic, o.p.s."/>
    <s v="141"/>
    <x v="2"/>
    <x v="2"/>
    <s v="Starý Hrozenkov"/>
    <s v="Starý Hrozenkov 314, PSČ 68774"/>
    <s v="9499"/>
    <s v="Činnosti ostatních organizací sdružujících osoby za účelem prosazování společných zájmů j. n."/>
    <s v="Ostatní profesní, vědecké a technické činnosti"/>
    <s v="Vydávání knih, periodických publikací a ostatní vydavatelské činnosti"/>
    <s v="Poradenství v oblasti řízení"/>
    <s v="Reklamní činnosti"/>
    <s v="Pronájem a leasing výrobků pro osobní potřebu a převážně pro domácnost"/>
    <s v="Ostatní vzdělávání j. n."/>
    <s v="Univerzální administrativní činnosti"/>
    <m/>
    <m/>
    <m/>
    <m/>
    <m/>
    <m/>
    <m/>
    <m/>
    <m/>
    <m/>
  </r>
  <r>
    <s v="75036177"/>
    <s v="Iniciativa rodičů a přátel školy při ZŠ Uherský Brod, spolek"/>
    <s v="706"/>
    <x v="1"/>
    <x v="2"/>
    <s v="Uherský Brod"/>
    <s v="Uherský Brod, Mariánské nám. 41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357941"/>
    <s v="Iniciativa Vlny solidarity z. s."/>
    <s v="706"/>
    <x v="1"/>
    <x v="0"/>
    <s v="Zlín"/>
    <s v="Zlín, Příluky, Jitrocelová 57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46651"/>
    <s v="Iniciativa za živý venkov, o.s."/>
    <s v="706"/>
    <x v="1"/>
    <x v="0"/>
    <s v="Rokytnice"/>
    <s v="Rokytnice 181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4599"/>
    <s v="In-line hokejový spolek Uh.Brod"/>
    <s v="706"/>
    <x v="1"/>
    <x v="2"/>
    <s v="Uherský Brod"/>
    <s v="Uherský Brod, Lipová 703, PSČ 68801"/>
    <s v="93110"/>
    <s v="Provozování sportovních zařízení"/>
    <m/>
    <m/>
    <m/>
    <m/>
    <m/>
    <m/>
    <m/>
    <m/>
    <m/>
    <m/>
    <m/>
    <m/>
    <m/>
    <m/>
    <m/>
    <m/>
    <m/>
  </r>
  <r>
    <s v="08491771"/>
    <s v="Inline Piráti Zlín, z.s."/>
    <s v="706"/>
    <x v="1"/>
    <x v="0"/>
    <s v="Zlín"/>
    <s v="Zlín, Zelinova 5586, PSČ 76005"/>
    <s v="93190"/>
    <s v="Ostatní sportovní činnosti"/>
    <m/>
    <m/>
    <m/>
    <m/>
    <m/>
    <m/>
    <m/>
    <m/>
    <m/>
    <m/>
    <m/>
    <m/>
    <m/>
    <m/>
    <m/>
    <m/>
    <m/>
  </r>
  <r>
    <s v="28556887"/>
    <s v="In-line Zlín o.s."/>
    <s v="706"/>
    <x v="1"/>
    <x v="0"/>
    <s v="Zlín"/>
    <s v="Zlín, M. Knesla 4024, PSČ 76001"/>
    <s v="93110"/>
    <s v="Provozování sportovních zařízení"/>
    <m/>
    <m/>
    <m/>
    <m/>
    <m/>
    <m/>
    <m/>
    <m/>
    <m/>
    <m/>
    <m/>
    <m/>
    <m/>
    <m/>
    <m/>
    <m/>
    <m/>
  </r>
  <r>
    <s v="28319842"/>
    <s v="INNIT ART o.p.s."/>
    <s v="141"/>
    <x v="2"/>
    <x v="0"/>
    <s v="Zlín"/>
    <s v="Zlín, Mladcová, Na Drahách 369, PSČ 76001"/>
    <s v="93290"/>
    <s v="Ostatní zábavní a rekreační činnosti j. n."/>
    <m/>
    <m/>
    <m/>
    <m/>
    <m/>
    <m/>
    <m/>
    <m/>
    <m/>
    <m/>
    <m/>
    <m/>
    <m/>
    <m/>
    <m/>
    <m/>
    <m/>
  </r>
  <r>
    <s v="11659912"/>
    <s v="INNYFILM z.s."/>
    <s v="706"/>
    <x v="1"/>
    <x v="1"/>
    <s v="Jarcová"/>
    <s v="Jarcová 9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535341"/>
    <s v="Inspirace Zlín z.s."/>
    <s v="706"/>
    <x v="1"/>
    <x v="0"/>
    <s v="Zlín"/>
    <s v="Zlín, Bratří Sousedíků 105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74951"/>
    <s v="Inspiruj se o.s."/>
    <s v="706"/>
    <x v="1"/>
    <x v="3"/>
    <s v="Kroměříž"/>
    <s v="Kroměříž, Josefa Homoly 3657/17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6936"/>
    <s v="INSTITUT EVROPSKÉHO VZDĚLÁVÁNÍ, o.s."/>
    <s v="706"/>
    <x v="1"/>
    <x v="0"/>
    <s v="Otrokovice"/>
    <s v="Otrokovice, tř. Tomáše Bati 1266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00470"/>
    <s v="Institut Krajské hospodářské komory Zlínského kraje, z.ú."/>
    <s v="161"/>
    <x v="3"/>
    <x v="0"/>
    <s v="Zlín"/>
    <s v="Zlín, Vavrečkova 5262, PSČ 76001"/>
    <s v="9411"/>
    <s v="Činnosti podnikatelských a zaměstnavatelských organizací"/>
    <m/>
    <m/>
    <m/>
    <m/>
    <m/>
    <m/>
    <m/>
    <m/>
    <m/>
    <m/>
    <m/>
    <m/>
    <m/>
    <m/>
    <m/>
    <m/>
    <m/>
  </r>
  <r>
    <s v="09324194"/>
    <s v="Institut liberálních studií, z. ú."/>
    <s v="161"/>
    <x v="3"/>
    <x v="1"/>
    <s v="Zašová"/>
    <s v="Zašová, Veselá 52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383111"/>
    <s v="Institut pro samosprávu a venkov, z. s."/>
    <s v="706"/>
    <x v="1"/>
    <x v="0"/>
    <s v="Vysoké Pole"/>
    <s v="Vysoké Pole 68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577650"/>
    <s v="Integral World Research Institute z.s."/>
    <s v="706"/>
    <x v="1"/>
    <x v="1"/>
    <s v="Rožnov pod Radhoštěm"/>
    <s v="Rožnov pod Radhoštěm, Pod hrází 123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1616"/>
    <s v="Intercup Zlín, spolek"/>
    <s v="706"/>
    <x v="1"/>
    <x v="0"/>
    <s v="Březnice"/>
    <s v="Březnice 29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1551"/>
    <s v="Internacionálové Slovácká Slávia z.s."/>
    <s v="706"/>
    <x v="1"/>
    <x v="2"/>
    <s v="Uherské Hradiště"/>
    <s v="Uherské Hradiště, Mojmírova 510, PSČ 68601"/>
    <s v="93110"/>
    <s v="Provozování sportovních zařízení"/>
    <m/>
    <m/>
    <m/>
    <m/>
    <m/>
    <m/>
    <m/>
    <m/>
    <m/>
    <m/>
    <m/>
    <m/>
    <m/>
    <m/>
    <m/>
    <m/>
    <m/>
  </r>
  <r>
    <s v="06932576"/>
    <s v="International Christian Fellowship Brno z.s."/>
    <s v="706"/>
    <x v="1"/>
    <x v="3"/>
    <s v="Kroměříž"/>
    <s v="Kroměříž, Spáčilova 3033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749817"/>
    <s v="International Police Association, sekce Česká republika z.s., územní skupina č. 210 Uherské Hradiště"/>
    <s v="736"/>
    <x v="0"/>
    <x v="2"/>
    <s v="Uherské Hradiště"/>
    <s v="Uherské Hradiště, Velehradská třída 1217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20338"/>
    <s v="International Police Association, sekce Česká republika z.s., územní skupina č. 214 Zlín"/>
    <s v="736"/>
    <x v="0"/>
    <x v="0"/>
    <s v="Zlín"/>
    <s v="Zlín, nám. T. G. Masaryka 321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2731"/>
    <s v="International Police Association, sekce Česká republika z.s., územní skupina č. 225 Rožnov pod Radhoštěm"/>
    <s v="736"/>
    <x v="0"/>
    <x v="1"/>
    <s v="Rožnov pod Radhoštěm"/>
    <s v="Rožnov pod Radhoštěm, 5. května 59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9393"/>
    <s v="International Society for Surface Science"/>
    <s v="706"/>
    <x v="1"/>
    <x v="0"/>
    <s v="Zlín"/>
    <s v="Zlín, Budovatelská 4815, PSČ 76005"/>
    <s v="94120"/>
    <s v="Činnosti profesních organizací"/>
    <m/>
    <m/>
    <m/>
    <m/>
    <m/>
    <m/>
    <m/>
    <m/>
    <m/>
    <m/>
    <m/>
    <m/>
    <m/>
    <m/>
    <m/>
    <m/>
    <m/>
  </r>
  <r>
    <s v="27033244"/>
    <s v="INTROPE z.s."/>
    <s v="706"/>
    <x v="1"/>
    <x v="0"/>
    <s v="Zlín"/>
    <s v="Zlín, Malenovice, třída Svobody 1119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94031"/>
    <s v="Iron Cavalry LE MC, z.s."/>
    <s v="706"/>
    <x v="1"/>
    <x v="3"/>
    <s v="Kurovice"/>
    <s v="Kurovice 51, PSČ 768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440530"/>
    <s v="Iron Warriors, z. s."/>
    <s v="706"/>
    <x v="1"/>
    <x v="0"/>
    <s v="Zlín"/>
    <s v="Zlín, Nad Ovčírnou V 1047, PSČ 76001"/>
    <s v="93190"/>
    <s v="Ostatní sportovní činnosti"/>
    <m/>
    <m/>
    <m/>
    <m/>
    <m/>
    <m/>
    <m/>
    <m/>
    <m/>
    <m/>
    <m/>
    <m/>
    <m/>
    <m/>
    <m/>
    <m/>
    <m/>
  </r>
  <r>
    <s v="22743685"/>
    <s v="Isis help"/>
    <s v="706"/>
    <x v="1"/>
    <x v="0"/>
    <s v="Zlín"/>
    <s v="Zlín, Středová 4786, PSČ 76005"/>
    <s v="94991"/>
    <s v="Činnosti organizací dětí a mládeže"/>
    <m/>
    <m/>
    <m/>
    <m/>
    <m/>
    <m/>
    <m/>
    <m/>
    <m/>
    <m/>
    <m/>
    <m/>
    <m/>
    <m/>
    <m/>
    <m/>
    <m/>
  </r>
  <r>
    <s v="28647912"/>
    <s v="Iskérka o.p.s."/>
    <s v="141"/>
    <x v="2"/>
    <x v="1"/>
    <s v="Rožnov pod Radhoštěm"/>
    <s v="Rožnov pod Radhoštěm, Chodská 534, PSČ 75661"/>
    <s v="88"/>
    <s v="Ambulantní nebo terénní sociální služby"/>
    <s v="Výroba, obchod a služby neuvedené v přílohách 1 až 3 živnostenského zákona"/>
    <s v="Ostatní pozemní osobní doprava j. n."/>
    <m/>
    <m/>
    <m/>
    <m/>
    <m/>
    <m/>
    <m/>
    <m/>
    <m/>
    <m/>
    <m/>
    <m/>
    <m/>
    <m/>
    <m/>
  </r>
  <r>
    <s v="22766901"/>
    <s v="Italsko-moravská kulturní a historická asociace"/>
    <s v="706"/>
    <x v="1"/>
    <x v="0"/>
    <s v="Zlín"/>
    <s v="Zlín, Bartošova 434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2042"/>
    <s v="IZAP Slunečnice z.ú."/>
    <s v="161"/>
    <x v="3"/>
    <x v="0"/>
    <s v="Zlín"/>
    <s v="Zlín, třída Tomáše Bati 1276, PSČ 76001"/>
    <s v="9499"/>
    <s v="Činnosti ostatních organizací sdružujících osoby za účelem prosazování společných zájmů j. n."/>
    <s v="Destilace, rektifikace a míchání lihovin"/>
    <s v="Stravování v restauracích, u stánků a v mobilních zařízeních"/>
    <m/>
    <m/>
    <m/>
    <m/>
    <m/>
    <m/>
    <m/>
    <m/>
    <m/>
    <m/>
    <m/>
    <m/>
    <m/>
    <m/>
    <m/>
  </r>
  <r>
    <s v="01609076"/>
    <s v="Jabloňka Martinice, z.s."/>
    <s v="706"/>
    <x v="1"/>
    <x v="3"/>
    <s v="Martinice"/>
    <s v="Martinice 6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579300"/>
    <s v="Jablůnecký Durament z.s."/>
    <s v="706"/>
    <x v="1"/>
    <x v="1"/>
    <s v="Jablůnka"/>
    <s v="Jablůnka 341, PSČ 756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93555"/>
    <s v="Jablůnka ŽIJE!, z. s."/>
    <s v="706"/>
    <x v="1"/>
    <x v="1"/>
    <s v="Jablůnka"/>
    <s v="Jablůnka 461, PSČ 756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341293"/>
    <s v="Jackpot Trail z.s."/>
    <s v="706"/>
    <x v="1"/>
    <x v="0"/>
    <s v="Žlutava"/>
    <s v="Žlutava 106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818614"/>
    <s v="Jahůdkové stáří z.s."/>
    <s v="706"/>
    <x v="1"/>
    <x v="2"/>
    <s v="Topolná"/>
    <s v="Topolná 258, PSČ 6871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7010945"/>
    <s v="JAKIN"/>
    <s v="706"/>
    <x v="1"/>
    <x v="0"/>
    <s v="Napajedla"/>
    <s v="Napajedla, Nábřeží 1516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7234"/>
    <s v="Jaktáře, o.s."/>
    <s v="706"/>
    <x v="1"/>
    <x v="2"/>
    <s v="Uherské Hradiště"/>
    <s v="Uherské Hradiště, Mařatice, U Řeky 149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80291"/>
    <s v="JAMAI SHOT, z.s."/>
    <s v="706"/>
    <x v="1"/>
    <x v="2"/>
    <s v="Uherský Brod"/>
    <s v="Uherský Brod, Vlčnovská 2344, PSČ 68801"/>
    <s v="93110"/>
    <s v="Provozování sportovních zařízení"/>
    <m/>
    <m/>
    <m/>
    <m/>
    <m/>
    <m/>
    <m/>
    <m/>
    <m/>
    <m/>
    <m/>
    <m/>
    <m/>
    <m/>
    <m/>
    <m/>
    <m/>
  </r>
  <r>
    <s v="22745424"/>
    <s v="Jana Talašová, občanské sdružení"/>
    <s v="706"/>
    <x v="1"/>
    <x v="0"/>
    <s v="Otrokovice"/>
    <s v="Otrokovice, Kvítkovice, Dubnická 299, PSČ 765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848762"/>
    <s v="JANÁČEK Luhačovice, z.s."/>
    <s v="706"/>
    <x v="1"/>
    <x v="0"/>
    <s v="Luhačovice"/>
    <s v="Luhačovice, Masarykova 950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6080"/>
    <s v="Janka - dechová hudba z Březolup"/>
    <s v="706"/>
    <x v="1"/>
    <x v="2"/>
    <s v="Březolupy"/>
    <s v="Březolupy 135, PSČ 687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433"/>
    <s v="Janova Hora Vizovice z. s."/>
    <s v="706"/>
    <x v="1"/>
    <x v="0"/>
    <s v="Vizovice"/>
    <s v="Vizovice, 3. května 1280, PSČ 76312"/>
    <s v="94995"/>
    <s v="Činnosti environmentálních a ekologických hnutí"/>
    <m/>
    <m/>
    <m/>
    <m/>
    <m/>
    <m/>
    <m/>
    <m/>
    <m/>
    <m/>
    <m/>
    <m/>
    <m/>
    <m/>
    <m/>
    <m/>
    <m/>
  </r>
  <r>
    <s v="10876766"/>
    <s v="Janúšovja, z.s."/>
    <s v="706"/>
    <x v="1"/>
    <x v="2"/>
    <s v="Žítková"/>
    <s v="Žítková 29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78754"/>
    <s v="Jarohněvice MTB sport, z.s."/>
    <s v="706"/>
    <x v="1"/>
    <x v="3"/>
    <s v="Jarohněvice"/>
    <s v="Jarohněvice 124, PSČ 768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279632"/>
    <s v="JAROSLAVICKÁ BESEDA, Z.S."/>
    <s v="706"/>
    <x v="1"/>
    <x v="0"/>
    <s v="Zlín"/>
    <s v="Zlín, Jaroslavice, Anenská 11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4001"/>
    <s v="&quot;Jarošovský občanský spolek&quot;"/>
    <s v="706"/>
    <x v="1"/>
    <x v="2"/>
    <s v="Uherské Hradiště"/>
    <s v="Uherské Hradiště, Jarošov, Na Návsi 57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3625"/>
    <s v="JASENKA Korytná"/>
    <s v="706"/>
    <x v="1"/>
    <x v="2"/>
    <s v="Korytná"/>
    <s v="Korytná 38, PSČ 687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75971"/>
    <s v="Jazyková školička Talk-E, z. s."/>
    <s v="706"/>
    <x v="1"/>
    <x v="2"/>
    <s v="Uherské Hradiště"/>
    <s v="Uherské Hradiště, Jindřicha Pruchy 1194, PSČ 68601"/>
    <s v="94991"/>
    <s v="Činnosti organizací dětí a mládeže"/>
    <m/>
    <m/>
    <m/>
    <m/>
    <m/>
    <m/>
    <m/>
    <m/>
    <m/>
    <m/>
    <m/>
    <m/>
    <m/>
    <m/>
    <m/>
    <m/>
    <m/>
  </r>
  <r>
    <s v="70283958"/>
    <s v="JAZZ CLUB KROMĚŘÍŽ, z.s."/>
    <s v="706"/>
    <x v="1"/>
    <x v="3"/>
    <s v="Kroměříž"/>
    <s v="Kroměříž, Denkova 3601/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93834"/>
    <s v="Jednota českých matematiků a fyziků, pobočný spolek Zlín"/>
    <s v="736"/>
    <x v="0"/>
    <x v="0"/>
    <s v="Zlín"/>
    <s v="Zlín, nám. T. G. Masaryka 555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28814"/>
    <s v="Jednota sv. Josefa v Nevšové, z.s."/>
    <s v="706"/>
    <x v="1"/>
    <x v="0"/>
    <s v="Slavičín"/>
    <s v="Slavičín, Nevšová 95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341722"/>
    <s v="Jekhetane z. s."/>
    <s v="706"/>
    <x v="1"/>
    <x v="1"/>
    <s v="Valašské Meziříčí"/>
    <s v="Valašské Meziříčí, Krásno nad Bečvou, U Byniny 27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729557"/>
    <s v="Jeleni a laně, z.s."/>
    <s v="706"/>
    <x v="1"/>
    <x v="0"/>
    <s v="Ludkovice"/>
    <s v="Ludkovice 44, PSČ 76341"/>
    <s v="94991"/>
    <s v="Činnosti organizací dětí a mládeže"/>
    <m/>
    <m/>
    <m/>
    <m/>
    <m/>
    <m/>
    <m/>
    <m/>
    <m/>
    <m/>
    <m/>
    <m/>
    <m/>
    <m/>
    <m/>
    <m/>
    <m/>
  </r>
  <r>
    <s v="05066051"/>
    <s v="Jesličky, z.s."/>
    <s v="706"/>
    <x v="1"/>
    <x v="3"/>
    <s v="Kroměříž"/>
    <s v="Kroměříž, Chropyňská 1685/4, PSČ 76701"/>
    <s v="8899"/>
    <s v="Ostatní ambulantní nebo terénní sociální služby j. n."/>
    <s v="Sociální služby poskytované dětem"/>
    <m/>
    <m/>
    <m/>
    <m/>
    <m/>
    <m/>
    <m/>
    <m/>
    <m/>
    <m/>
    <m/>
    <m/>
    <m/>
    <m/>
    <m/>
    <m/>
  </r>
  <r>
    <s v="03752585"/>
    <s v="Jethro Zašová, z.s."/>
    <s v="706"/>
    <x v="1"/>
    <x v="1"/>
    <s v="Zašová"/>
    <s v="Zašová 734, PSČ 75651"/>
    <s v="9319"/>
    <s v="Ostatní sportovní činnosti"/>
    <m/>
    <m/>
    <m/>
    <m/>
    <m/>
    <m/>
    <m/>
    <m/>
    <m/>
    <m/>
    <m/>
    <m/>
    <m/>
    <m/>
    <m/>
    <m/>
    <m/>
  </r>
  <r>
    <s v="26987333"/>
    <s v="Jezdecká stáj Galatík Těšánky z.s."/>
    <s v="706"/>
    <x v="1"/>
    <x v="3"/>
    <s v="Zdounky"/>
    <s v="Zdounky, Těšánky 80, PSČ 76802"/>
    <s v="93120"/>
    <s v="Činnosti sportovních klubů"/>
    <m/>
    <m/>
    <m/>
    <m/>
    <m/>
    <m/>
    <m/>
    <m/>
    <m/>
    <m/>
    <m/>
    <m/>
    <m/>
    <m/>
    <m/>
    <m/>
    <m/>
  </r>
  <r>
    <s v="06832733"/>
    <s v="Jezdecká Stáj Hanák, z.s."/>
    <s v="706"/>
    <x v="1"/>
    <x v="2"/>
    <s v="Březová"/>
    <s v="Březová 394, PSČ 68767"/>
    <s v="93190"/>
    <s v="Ostatní sportovní činnosti"/>
    <m/>
    <m/>
    <m/>
    <m/>
    <m/>
    <m/>
    <m/>
    <m/>
    <m/>
    <m/>
    <m/>
    <m/>
    <m/>
    <m/>
    <m/>
    <m/>
    <m/>
  </r>
  <r>
    <s v="26568781"/>
    <s v="Jezdecká stáj I.P. Huslenky, z.s."/>
    <s v="706"/>
    <x v="1"/>
    <x v="1"/>
    <s v="Huslenky"/>
    <s v="Huslenky 631, PSČ 75602"/>
    <s v="93190"/>
    <s v="Ostatní sportovní činnosti"/>
    <m/>
    <m/>
    <m/>
    <m/>
    <m/>
    <m/>
    <m/>
    <m/>
    <m/>
    <m/>
    <m/>
    <m/>
    <m/>
    <m/>
    <m/>
    <m/>
    <m/>
  </r>
  <r>
    <s v="22860681"/>
    <s v="Jezdecká stáj JOSPO"/>
    <s v="706"/>
    <x v="1"/>
    <x v="0"/>
    <s v="Luhačovice"/>
    <s v="Luhačovice, Ludkovická 98, PSČ 76326"/>
    <s v="93120"/>
    <s v="Činnosti sportovních klubů"/>
    <m/>
    <m/>
    <m/>
    <m/>
    <m/>
    <m/>
    <m/>
    <m/>
    <m/>
    <m/>
    <m/>
    <m/>
    <m/>
    <m/>
    <m/>
    <m/>
    <m/>
  </r>
  <r>
    <s v="27060071"/>
    <s v="Jezdecká stáj S+S Kroměříž, z.s."/>
    <s v="706"/>
    <x v="1"/>
    <x v="3"/>
    <s v="Kroměříž"/>
    <s v="Kroměříž, Postoupky 190, PSČ 76701"/>
    <s v="93190"/>
    <s v="Ostatní sportovní činnosti"/>
    <m/>
    <m/>
    <m/>
    <m/>
    <m/>
    <m/>
    <m/>
    <m/>
    <m/>
    <m/>
    <m/>
    <m/>
    <m/>
    <m/>
    <m/>
    <m/>
    <m/>
  </r>
  <r>
    <s v="27024385"/>
    <s v="Jezdecká stáj VIKTORI"/>
    <s v="706"/>
    <x v="1"/>
    <x v="2"/>
    <s v="Zlámanec"/>
    <s v="Zlámanec 69, PSČ 68712"/>
    <s v="93120"/>
    <s v="Činnosti sportovních klubů"/>
    <m/>
    <m/>
    <m/>
    <m/>
    <m/>
    <m/>
    <m/>
    <m/>
    <m/>
    <m/>
    <m/>
    <m/>
    <m/>
    <m/>
    <m/>
    <m/>
    <m/>
  </r>
  <r>
    <s v="17786801"/>
    <s v="Jezdecká škola WELFARE KORYČANY,z.s."/>
    <s v="706"/>
    <x v="1"/>
    <x v="3"/>
    <s v="Koryčany"/>
    <s v="Koryčany, Zámecká 68, PSČ 76805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65822757"/>
    <s v="Jezdecký klub AGRAMM"/>
    <s v="706"/>
    <x v="1"/>
    <x v="0"/>
    <s v="Pozlovice"/>
    <s v="Pozlovice - farma"/>
    <s v="93120"/>
    <s v="Činnosti sportovních klubů"/>
    <m/>
    <m/>
    <m/>
    <m/>
    <m/>
    <m/>
    <m/>
    <m/>
    <m/>
    <m/>
    <m/>
    <m/>
    <m/>
    <m/>
    <m/>
    <m/>
    <m/>
  </r>
  <r>
    <s v="04846273"/>
    <s v="Jezdecký klub Biofarma Březová, z.s."/>
    <s v="706"/>
    <x v="1"/>
    <x v="0"/>
    <s v="Březová"/>
    <s v="Březová 4, PSČ 76315"/>
    <s v="93190"/>
    <s v="Ostatní sportovní činnosti"/>
    <m/>
    <m/>
    <m/>
    <m/>
    <m/>
    <m/>
    <m/>
    <m/>
    <m/>
    <m/>
    <m/>
    <m/>
    <m/>
    <m/>
    <m/>
    <m/>
    <m/>
  </r>
  <r>
    <s v="01730487"/>
    <s v="Jezdecký klub Bystřice pod Hostýnem"/>
    <s v="706"/>
    <x v="1"/>
    <x v="3"/>
    <s v="Bystřice pod Hostýnem"/>
    <s v="Bystřice pod Hostýnem"/>
    <s v="93190"/>
    <s v="Ostatní sportovní činnosti"/>
    <m/>
    <m/>
    <m/>
    <m/>
    <m/>
    <m/>
    <m/>
    <m/>
    <m/>
    <m/>
    <m/>
    <m/>
    <m/>
    <m/>
    <m/>
    <m/>
    <m/>
  </r>
  <r>
    <s v="26583577"/>
    <s v="Jezdecký klub Callisto"/>
    <s v="706"/>
    <x v="1"/>
    <x v="1"/>
    <s v="Rožnov pod Radhoštěm"/>
    <s v="Rožnov pod Radhoštěm, Čs. armády 1243, PSČ 75661"/>
    <s v="93110"/>
    <s v="Provozování sportovních zařízení"/>
    <m/>
    <m/>
    <m/>
    <m/>
    <m/>
    <m/>
    <m/>
    <m/>
    <m/>
    <m/>
    <m/>
    <m/>
    <m/>
    <m/>
    <m/>
    <m/>
    <m/>
  </r>
  <r>
    <s v="22745301"/>
    <s v="Jezdecký klub Century D, z. s."/>
    <s v="706"/>
    <x v="1"/>
    <x v="2"/>
    <s v="Uherský Ostroh"/>
    <s v="Uherský Ostroh, Kvačice, Zemědělská 38, PSČ 68724"/>
    <s v="93120"/>
    <s v="Činnosti sportovních klubů"/>
    <m/>
    <m/>
    <m/>
    <m/>
    <m/>
    <m/>
    <m/>
    <m/>
    <m/>
    <m/>
    <m/>
    <m/>
    <m/>
    <m/>
    <m/>
    <m/>
    <m/>
  </r>
  <r>
    <s v="26545535"/>
    <s v="Jezdecký klub CORINA Koryčany"/>
    <s v="706"/>
    <x v="1"/>
    <x v="3"/>
    <s v="Koryčany"/>
    <s v="Koryčany, Masarykova 593, PSČ 76805"/>
    <s v="93110"/>
    <s v="Provozování sportovních zařízení"/>
    <m/>
    <m/>
    <m/>
    <m/>
    <m/>
    <m/>
    <m/>
    <m/>
    <m/>
    <m/>
    <m/>
    <m/>
    <m/>
    <m/>
    <m/>
    <m/>
    <m/>
  </r>
  <r>
    <s v="67007589"/>
    <s v="Jezdecký klub Divoky"/>
    <s v="706"/>
    <x v="1"/>
    <x v="3"/>
    <s v="Kroměříž"/>
    <s v="Zdounky, Divoky 77"/>
    <s v="93120"/>
    <s v="Činnosti sportovních klubů"/>
    <m/>
    <m/>
    <m/>
    <m/>
    <m/>
    <m/>
    <m/>
    <m/>
    <m/>
    <m/>
    <m/>
    <m/>
    <m/>
    <m/>
    <m/>
    <m/>
    <m/>
  </r>
  <r>
    <s v="70936595"/>
    <s v="Jezdecký klub Hradisko"/>
    <s v="706"/>
    <x v="1"/>
    <x v="1"/>
    <s v="Rožnov pod Radhoštěm"/>
    <s v="Rožnov pod Radhoštěm, Hradisko 431, PSČ 75661"/>
    <s v="93120"/>
    <s v="Činnosti sportovních klubů"/>
    <s v="Pěstování plodin jiných než trvalých"/>
    <s v="Živočišná výroba"/>
    <s v="Podpůrné činnosti pro zemědělství a posklizňové činnosti"/>
    <m/>
    <m/>
    <m/>
    <m/>
    <m/>
    <m/>
    <m/>
    <m/>
    <m/>
    <m/>
    <m/>
    <m/>
    <m/>
    <m/>
  </r>
  <r>
    <s v="07406576"/>
    <s v="Jezdecký klub Hrádky, z.s."/>
    <s v="706"/>
    <x v="1"/>
    <x v="1"/>
    <s v="Valašské Meziříčí"/>
    <s v="Valašské Meziříčí, Krásno nad Bečvou, Boženy Němcové 443/8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873534"/>
    <s v="Jezdecký klub Hřebčín Vlachovice z.s."/>
    <s v="706"/>
    <x v="1"/>
    <x v="0"/>
    <s v="Štítná nad Vláří-Popov"/>
    <s v="Štítná nad Vláří-Popov, Štítná nad Vláří 91, PSČ 76333"/>
    <s v="93190"/>
    <s v="Ostatní sportovní činnosti"/>
    <m/>
    <m/>
    <m/>
    <m/>
    <m/>
    <m/>
    <m/>
    <m/>
    <m/>
    <m/>
    <m/>
    <m/>
    <m/>
    <m/>
    <m/>
    <m/>
    <m/>
  </r>
  <r>
    <s v="26658186"/>
    <s v="Jezdecký klub Krásno Chrámečné z.s."/>
    <s v="706"/>
    <x v="1"/>
    <x v="0"/>
    <s v="Bratřejov"/>
    <s v="Bratřejov 267, PSČ 76312"/>
    <s v="93110"/>
    <s v="Provozování sportovních zařízení"/>
    <m/>
    <m/>
    <m/>
    <m/>
    <m/>
    <m/>
    <m/>
    <m/>
    <m/>
    <m/>
    <m/>
    <m/>
    <m/>
    <m/>
    <m/>
    <m/>
    <m/>
  </r>
  <r>
    <s v="68727054"/>
    <s v="Jezdecký klub LUHATURF, z.s."/>
    <s v="706"/>
    <x v="1"/>
    <x v="0"/>
    <s v="Luhačovice"/>
    <s v="Luhačovice, Lesní 761, PSČ 76326"/>
    <s v="93120"/>
    <s v="Činnosti sportovních klubů"/>
    <m/>
    <m/>
    <m/>
    <m/>
    <m/>
    <m/>
    <m/>
    <m/>
    <m/>
    <m/>
    <m/>
    <m/>
    <m/>
    <m/>
    <m/>
    <m/>
    <m/>
  </r>
  <r>
    <s v="22763007"/>
    <s v="Jezdecký klub Magic horse Kroměříž, o.s."/>
    <s v="706"/>
    <x v="1"/>
    <x v="3"/>
    <s v="Kroměříž"/>
    <s v="Kroměříž, Seifertova 4280/19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28089"/>
    <s v="Jezdecký klub Morava Pravčice, spolek"/>
    <s v="706"/>
    <x v="1"/>
    <x v="3"/>
    <s v="Pravčice"/>
    <s v="Pravčice 195, PSČ 76824"/>
    <s v="93110"/>
    <s v="Provozování sportovních zařízení"/>
    <m/>
    <m/>
    <m/>
    <m/>
    <m/>
    <m/>
    <m/>
    <m/>
    <m/>
    <m/>
    <m/>
    <m/>
    <m/>
    <m/>
    <m/>
    <m/>
    <m/>
  </r>
  <r>
    <s v="66599296"/>
    <s v="Jezdecký klub NADLESÍ Luhačovice"/>
    <s v="706"/>
    <x v="1"/>
    <x v="0"/>
    <s v="Pozlovice"/>
    <s v="Luhačovice - Řetechov"/>
    <s v="93120"/>
    <s v="Činnosti sportovních klubů"/>
    <m/>
    <m/>
    <m/>
    <m/>
    <m/>
    <m/>
    <m/>
    <m/>
    <m/>
    <m/>
    <m/>
    <m/>
    <m/>
    <m/>
    <m/>
    <m/>
    <m/>
  </r>
  <r>
    <s v="22836900"/>
    <s v="Jezdecký klub občanské sdružení Radost"/>
    <s v="706"/>
    <x v="1"/>
    <x v="0"/>
    <s v="Halenkovice"/>
    <s v="Halenkovice 580, PSČ 76363"/>
    <s v="93120"/>
    <s v="Činnosti sportovních klubů"/>
    <m/>
    <m/>
    <m/>
    <m/>
    <m/>
    <m/>
    <m/>
    <m/>
    <m/>
    <m/>
    <m/>
    <m/>
    <m/>
    <m/>
    <m/>
    <m/>
    <m/>
  </r>
  <r>
    <s v="26517060"/>
    <s v="Jezdecký klub P &amp; L"/>
    <s v="706"/>
    <x v="1"/>
    <x v="0"/>
    <s v="Luhačovice"/>
    <s v="Luhačovice, Leoše Janáčka 854, PSČ 76326"/>
    <s v="93110"/>
    <s v="Provozování sportovních zařízení"/>
    <m/>
    <m/>
    <m/>
    <m/>
    <m/>
    <m/>
    <m/>
    <m/>
    <m/>
    <m/>
    <m/>
    <m/>
    <m/>
    <m/>
    <m/>
    <m/>
    <m/>
  </r>
  <r>
    <s v="27053385"/>
    <s v="Jezdecký klub PARÁDA Skržice z. s."/>
    <s v="706"/>
    <x v="1"/>
    <x v="3"/>
    <s v="Soběsuky"/>
    <s v="Soběsuky, Skržice 37, PSČ 76802"/>
    <s v="93110"/>
    <s v="Provozování sportovních zařízení"/>
    <m/>
    <m/>
    <m/>
    <m/>
    <m/>
    <m/>
    <m/>
    <m/>
    <m/>
    <m/>
    <m/>
    <m/>
    <m/>
    <m/>
    <m/>
    <m/>
    <m/>
  </r>
  <r>
    <s v="26527324"/>
    <s v="Jezdecký klub PIERO Roštín"/>
    <s v="706"/>
    <x v="1"/>
    <x v="3"/>
    <s v="Roštín"/>
    <s v="Roštín 197, PSČ 768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6567"/>
    <s v="Jezdecký klub Podhradí"/>
    <s v="706"/>
    <x v="1"/>
    <x v="3"/>
    <s v="Rusava"/>
    <s v="Rusava, Brusné 69"/>
    <s v="93120"/>
    <s v="Činnosti sportovních klubů"/>
    <m/>
    <m/>
    <m/>
    <m/>
    <m/>
    <m/>
    <m/>
    <m/>
    <m/>
    <m/>
    <m/>
    <m/>
    <m/>
    <m/>
    <m/>
    <m/>
    <m/>
  </r>
  <r>
    <s v="66934656"/>
    <s v="JEZDECKÝ KLUB PODLESÍ, z.s."/>
    <s v="706"/>
    <x v="1"/>
    <x v="1"/>
    <s v="Valašské Meziříčí"/>
    <s v="Valašské Meziříčí, Podlesí 58, PSČ 75701"/>
    <s v="93120"/>
    <s v="Činnosti sportovních klubů"/>
    <m/>
    <m/>
    <m/>
    <m/>
    <m/>
    <m/>
    <m/>
    <m/>
    <m/>
    <m/>
    <m/>
    <m/>
    <m/>
    <m/>
    <m/>
    <m/>
    <m/>
  </r>
  <r>
    <s v="27052222"/>
    <s v="Jezdecký klub Pravčice, z.s."/>
    <s v="706"/>
    <x v="1"/>
    <x v="3"/>
    <s v="Pravčice"/>
    <s v="Pravčice 117, PSČ 76824"/>
    <s v="93110"/>
    <s v="Provozování sportovních zařízení"/>
    <m/>
    <m/>
    <m/>
    <m/>
    <m/>
    <m/>
    <m/>
    <m/>
    <m/>
    <m/>
    <m/>
    <m/>
    <m/>
    <m/>
    <m/>
    <m/>
    <m/>
  </r>
  <r>
    <s v="26601508"/>
    <s v="Jezdecký klub RAMIR, z.s."/>
    <s v="706"/>
    <x v="1"/>
    <x v="0"/>
    <s v="Bělov"/>
    <s v="Bělov 143, PSČ 76821"/>
    <s v="93110"/>
    <s v="Provozování sportovních zařízení"/>
    <m/>
    <m/>
    <m/>
    <m/>
    <m/>
    <m/>
    <m/>
    <m/>
    <m/>
    <m/>
    <m/>
    <m/>
    <m/>
    <m/>
    <m/>
    <m/>
    <m/>
  </r>
  <r>
    <s v="69744068"/>
    <s v="Jezdecký klub Ranch Pančocha z.s."/>
    <s v="706"/>
    <x v="1"/>
    <x v="3"/>
    <s v="Morkovice-Slížany"/>
    <s v="Morkovice-Slížany, Morkovice, Pančocha 146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63573"/>
    <s v="JEZDECKÝ KLUB RANČ ZA ŘEKOU, z. s."/>
    <s v="706"/>
    <x v="1"/>
    <x v="1"/>
    <s v="Mikulůvka"/>
    <s v="Mikulůvka 223, PSČ 756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498481"/>
    <s v="Jezdecký klub ROLNÝ Bojkovice"/>
    <s v="706"/>
    <x v="1"/>
    <x v="2"/>
    <s v="Bojkovice"/>
    <s v="Bojkovice"/>
    <s v="93190"/>
    <s v="Ostatní sportovní činnosti"/>
    <m/>
    <m/>
    <m/>
    <m/>
    <m/>
    <m/>
    <m/>
    <m/>
    <m/>
    <m/>
    <m/>
    <m/>
    <m/>
    <m/>
    <m/>
    <m/>
    <m/>
  </r>
  <r>
    <s v="63459094"/>
    <s v="Jezdecký klub Salone"/>
    <s v="706"/>
    <x v="1"/>
    <x v="3"/>
    <s v="Roštín"/>
    <s v="Rošt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859"/>
    <s v="Jezdecký klub SPORT Pravčice, z.s."/>
    <s v="706"/>
    <x v="1"/>
    <x v="3"/>
    <s v="Pravčice"/>
    <s v="Pravčice 196, PSČ 76824"/>
    <s v="93110"/>
    <s v="Provozování sportovních zařízení"/>
    <m/>
    <m/>
    <m/>
    <m/>
    <m/>
    <m/>
    <m/>
    <m/>
    <m/>
    <m/>
    <m/>
    <m/>
    <m/>
    <m/>
    <m/>
    <m/>
    <m/>
  </r>
  <r>
    <s v="22738347"/>
    <s v="Jezdecký klub Špaca Ranč, spolek"/>
    <s v="706"/>
    <x v="1"/>
    <x v="0"/>
    <s v="Držková"/>
    <s v="Držková 169"/>
    <s v="93110"/>
    <s v="Provozování sportovních zařízení"/>
    <m/>
    <m/>
    <m/>
    <m/>
    <m/>
    <m/>
    <m/>
    <m/>
    <m/>
    <m/>
    <m/>
    <m/>
    <m/>
    <m/>
    <m/>
    <m/>
    <m/>
  </r>
  <r>
    <s v="22384910"/>
    <s v="Jezdecký klub Tabarky, z.s."/>
    <s v="706"/>
    <x v="1"/>
    <x v="3"/>
    <s v="Vrbka"/>
    <s v="Vrbka 58, PSČ 76821"/>
    <s v="93120"/>
    <s v="Činnosti sportovních klubů"/>
    <m/>
    <m/>
    <m/>
    <m/>
    <m/>
    <m/>
    <m/>
    <m/>
    <m/>
    <m/>
    <m/>
    <m/>
    <m/>
    <m/>
    <m/>
    <m/>
    <m/>
  </r>
  <r>
    <s v="70418217"/>
    <s v="Jezdecký klub Tlumačov"/>
    <s v="706"/>
    <x v="1"/>
    <x v="0"/>
    <s v="Tlumačov"/>
    <s v="Dolní 580, Tlumačov"/>
    <s v="93120"/>
    <s v="Činnosti sportovních klubů"/>
    <m/>
    <m/>
    <m/>
    <m/>
    <m/>
    <m/>
    <m/>
    <m/>
    <m/>
    <m/>
    <m/>
    <m/>
    <m/>
    <m/>
    <m/>
    <m/>
    <m/>
  </r>
  <r>
    <s v="27034402"/>
    <s v="Jezdecký klub Valašsko z.s."/>
    <s v="706"/>
    <x v="1"/>
    <x v="1"/>
    <s v="Prostřední Bečva"/>
    <s v="Prostřední Bečva 461, PSČ 75656"/>
    <s v="93110"/>
    <s v="Provozování sportovních zařízení"/>
    <m/>
    <m/>
    <m/>
    <m/>
    <m/>
    <m/>
    <m/>
    <m/>
    <m/>
    <m/>
    <m/>
    <m/>
    <m/>
    <m/>
    <m/>
    <m/>
    <m/>
  </r>
  <r>
    <s v="26589192"/>
    <s v="JEZDECKÝ KLUB VIZOVICE o.s."/>
    <s v="706"/>
    <x v="1"/>
    <x v="0"/>
    <s v="Vizovice"/>
    <s v="Vizovice, Zlínská 569, PSČ 76312"/>
    <s v="93110"/>
    <s v="Provozování sportovních zařízení"/>
    <m/>
    <m/>
    <m/>
    <m/>
    <m/>
    <m/>
    <m/>
    <m/>
    <m/>
    <m/>
    <m/>
    <m/>
    <m/>
    <m/>
    <m/>
    <m/>
    <m/>
  </r>
  <r>
    <s v="02251787"/>
    <s v="Jezdecký klub Vunderle, Pozlovice"/>
    <s v="706"/>
    <x v="1"/>
    <x v="0"/>
    <s v="Pozlovice"/>
    <s v="Pozlovice - farma"/>
    <s v="93190"/>
    <s v="Ostatní sportovní činnosti"/>
    <m/>
    <m/>
    <m/>
    <m/>
    <m/>
    <m/>
    <m/>
    <m/>
    <m/>
    <m/>
    <m/>
    <m/>
    <m/>
    <m/>
    <m/>
    <m/>
    <m/>
  </r>
  <r>
    <s v="18559883"/>
    <s v="Jezdecký klub Zlín, spolek"/>
    <s v="706"/>
    <x v="1"/>
    <x v="0"/>
    <s v="Otrokovice"/>
    <s v="Otrokovice, Kvítkovice, U Farmy 275, PSČ 76502"/>
    <s v="93120"/>
    <s v="Činnosti sportovních klubů"/>
    <m/>
    <m/>
    <m/>
    <m/>
    <m/>
    <m/>
    <m/>
    <m/>
    <m/>
    <m/>
    <m/>
    <m/>
    <m/>
    <m/>
    <m/>
    <m/>
    <m/>
  </r>
  <r>
    <s v="26551837"/>
    <s v="Jezdecký klub Zubří,z.s."/>
    <s v="706"/>
    <x v="1"/>
    <x v="1"/>
    <s v="Zubří"/>
    <s v="Zubří, Machulky 304, PSČ 75654"/>
    <s v="93110"/>
    <s v="Provozování sportovních zařízení"/>
    <m/>
    <m/>
    <m/>
    <m/>
    <m/>
    <m/>
    <m/>
    <m/>
    <m/>
    <m/>
    <m/>
    <m/>
    <m/>
    <m/>
    <m/>
    <m/>
    <m/>
  </r>
  <r>
    <s v="01363972"/>
    <s v="Jezdecký kub Sleipnir"/>
    <s v="706"/>
    <x v="1"/>
    <x v="0"/>
    <s v="Žlutava"/>
    <s v="Žlutava 56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8551320"/>
    <s v="Jezdecký oddíl Kostelec o.s."/>
    <s v="706"/>
    <x v="1"/>
    <x v="0"/>
    <s v="Zlín"/>
    <s v="Zlín, Slezská 5258, PSČ 76005"/>
    <s v="93110"/>
    <s v="Provozování sportovních zařízení"/>
    <m/>
    <m/>
    <m/>
    <m/>
    <m/>
    <m/>
    <m/>
    <m/>
    <m/>
    <m/>
    <m/>
    <m/>
    <m/>
    <m/>
    <m/>
    <m/>
    <m/>
  </r>
  <r>
    <s v="09271031"/>
    <s v="Jezdecký spolek a spolek přátel koní Staré Město"/>
    <s v="706"/>
    <x v="1"/>
    <x v="2"/>
    <s v="Staré Město"/>
    <s v="Staré Město, Seifertova 1108, PSČ 68603"/>
    <s v="93190"/>
    <s v="Ostatní sportovní činnosti"/>
    <m/>
    <m/>
    <m/>
    <m/>
    <m/>
    <m/>
    <m/>
    <m/>
    <m/>
    <m/>
    <m/>
    <m/>
    <m/>
    <m/>
    <m/>
    <m/>
    <m/>
  </r>
  <r>
    <s v="75075717"/>
    <s v="Jezdecký spolek ALKA"/>
    <s v="706"/>
    <x v="1"/>
    <x v="1"/>
    <s v="Růžďka"/>
    <s v="Růžďka 115, PSČ 756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004460"/>
    <s v="Jezdecký spolek Horymír Vizovice"/>
    <s v="706"/>
    <x v="1"/>
    <x v="0"/>
    <s v="Zlín"/>
    <s v="Zlín, Podvesná IX 6214, PSČ 76001"/>
    <s v="93110"/>
    <s v="Provozování sportovních zařízení"/>
    <m/>
    <m/>
    <m/>
    <m/>
    <m/>
    <m/>
    <m/>
    <m/>
    <m/>
    <m/>
    <m/>
    <m/>
    <m/>
    <m/>
    <m/>
    <m/>
    <m/>
  </r>
  <r>
    <s v="26621525"/>
    <s v="Jezdecký spolek pod Hostýnem"/>
    <s v="706"/>
    <x v="1"/>
    <x v="3"/>
    <s v="Podhradní Lhota"/>
    <s v="Podhradní Lhota 109, PSČ 76871"/>
    <s v="931"/>
    <s v="Sportovní činnosti"/>
    <m/>
    <m/>
    <m/>
    <m/>
    <m/>
    <m/>
    <m/>
    <m/>
    <m/>
    <m/>
    <m/>
    <m/>
    <m/>
    <m/>
    <m/>
    <m/>
    <m/>
  </r>
  <r>
    <s v="06862764"/>
    <s v="Jezdecký spolek Roštění"/>
    <s v="706"/>
    <x v="1"/>
    <x v="3"/>
    <s v="Roštění"/>
    <s v="Roštění 245, PSČ 76843"/>
    <s v="93190"/>
    <s v="Ostatní sportovní činnosti"/>
    <m/>
    <m/>
    <m/>
    <m/>
    <m/>
    <m/>
    <m/>
    <m/>
    <m/>
    <m/>
    <m/>
    <m/>
    <m/>
    <m/>
    <m/>
    <m/>
    <m/>
  </r>
  <r>
    <s v="26624711"/>
    <s v="Jezdecký sportovní klub Bílé Karpaty"/>
    <s v="706"/>
    <x v="1"/>
    <x v="2"/>
    <s v="Bojkovice"/>
    <s v="Bojkovice, Mánesova II 901, PSČ 68771"/>
    <s v="93110"/>
    <s v="Provozování sportovních zařízení"/>
    <m/>
    <m/>
    <m/>
    <m/>
    <m/>
    <m/>
    <m/>
    <m/>
    <m/>
    <m/>
    <m/>
    <m/>
    <m/>
    <m/>
    <m/>
    <m/>
    <m/>
  </r>
  <r>
    <s v="27046451"/>
    <s v="Jezdectví Zlín o.s."/>
    <s v="706"/>
    <x v="1"/>
    <x v="0"/>
    <s v="Zlín"/>
    <s v="Zlín, Vodní 4208, PSČ 76001"/>
    <s v="931"/>
    <s v="Sportovní činnosti"/>
    <m/>
    <m/>
    <m/>
    <m/>
    <m/>
    <m/>
    <m/>
    <m/>
    <m/>
    <m/>
    <m/>
    <m/>
    <m/>
    <m/>
    <m/>
    <m/>
    <m/>
  </r>
  <r>
    <s v="22732730"/>
    <s v="&quot;Ježkovy oči o.s.&quot;"/>
    <s v="706"/>
    <x v="1"/>
    <x v="3"/>
    <s v="Kroměříž"/>
    <s v="Kroměříž, Úprkova 3692/1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21315"/>
    <s v="JF nadační fond"/>
    <s v="118"/>
    <x v="6"/>
    <x v="0"/>
    <s v="Otrokovice"/>
    <s v="Otrokovice, tř. Tomáše Bati 1664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6230"/>
    <s v="Jiná kultura Hulín z.s."/>
    <s v="706"/>
    <x v="1"/>
    <x v="3"/>
    <s v="Hulín"/>
    <s v="Hulín, Tylova 714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6935"/>
    <s v="„jinákrajina”"/>
    <s v="706"/>
    <x v="1"/>
    <x v="0"/>
    <s v="Šarovy"/>
    <s v="Šarovy 95, PSČ 76351"/>
    <s v="94995"/>
    <s v="Činnosti environmentálních a ekologických hnutí"/>
    <m/>
    <m/>
    <m/>
    <m/>
    <m/>
    <m/>
    <m/>
    <m/>
    <m/>
    <m/>
    <m/>
    <m/>
    <m/>
    <m/>
    <m/>
    <m/>
    <m/>
  </r>
  <r>
    <s v="02463814"/>
    <s v="Jiné možnosti"/>
    <s v="706"/>
    <x v="1"/>
    <x v="2"/>
    <s v="Staré Město"/>
    <s v="Staré Město, Úprkova 1806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8619"/>
    <s v="&quot;JIREACH&quot;"/>
    <s v="706"/>
    <x v="1"/>
    <x v="3"/>
    <s v="Hulín"/>
    <s v="Hulín, Antonína Dvořáka 233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382572"/>
    <s v="Jiskra Chropyně, z.s."/>
    <s v="706"/>
    <x v="1"/>
    <x v="3"/>
    <s v="Chropyně"/>
    <s v="Chropyně, Moravská 650, PSČ 76811"/>
    <s v="93190"/>
    <s v="Ostatní sportovní činnosti"/>
    <m/>
    <m/>
    <m/>
    <m/>
    <m/>
    <m/>
    <m/>
    <m/>
    <m/>
    <m/>
    <m/>
    <m/>
    <m/>
    <m/>
    <m/>
    <m/>
    <m/>
  </r>
  <r>
    <s v="26634597"/>
    <s v="JISKRA Staré Město, z.s."/>
    <s v="706"/>
    <x v="1"/>
    <x v="2"/>
    <s v="Staré Město"/>
    <s v="Staré Město, náměstí Hrdinů 100, PSČ 68603"/>
    <s v="9312"/>
    <s v="Činnosti sportovních klubů"/>
    <m/>
    <m/>
    <m/>
    <m/>
    <m/>
    <m/>
    <m/>
    <m/>
    <m/>
    <m/>
    <m/>
    <m/>
    <m/>
    <m/>
    <m/>
    <m/>
    <m/>
  </r>
  <r>
    <s v="66545137"/>
    <s v="&quot;JISTOTA&quot; sdružení občanů"/>
    <s v="706"/>
    <x v="1"/>
    <x v="2"/>
    <s v="Bojkovice"/>
    <s v="Bojkov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2437"/>
    <s v="Jitřenka, o.s."/>
    <s v="706"/>
    <x v="1"/>
    <x v="1"/>
    <s v="Vsetín"/>
    <s v="Vsetín, Smetanova 97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3630"/>
    <s v="Jízda králů Kunovice, z. s."/>
    <s v="706"/>
    <x v="1"/>
    <x v="2"/>
    <s v="Kunovice"/>
    <s v="Kunovice, Panská 25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0014"/>
    <s v="Jízdárna na Bařinách"/>
    <s v="706"/>
    <x v="1"/>
    <x v="1"/>
    <s v="Valašská Bystřice"/>
    <s v="Valašská Bystřice 281, PSČ 75627"/>
    <s v="93120"/>
    <s v="Činnosti sportovních klubů"/>
    <m/>
    <m/>
    <m/>
    <m/>
    <m/>
    <m/>
    <m/>
    <m/>
    <m/>
    <m/>
    <m/>
    <m/>
    <m/>
    <m/>
    <m/>
    <m/>
    <m/>
  </r>
  <r>
    <s v="29372232"/>
    <s v="Jižní Haná o. p. s."/>
    <s v="141"/>
    <x v="2"/>
    <x v="3"/>
    <s v="Hulín"/>
    <s v="Hulín, nám. Míru 162, PSČ 76824"/>
    <s v="7490"/>
    <s v="Ostatní profesní, vědecké a technické činnosti j. n."/>
    <s v="Podpůrné činnosti pro podnikání j. n."/>
    <s v="Ostatní vzdělávání"/>
    <s v="Ostatní poskytování lidských zdrojů"/>
    <m/>
    <m/>
    <m/>
    <m/>
    <m/>
    <m/>
    <m/>
    <m/>
    <m/>
    <m/>
    <m/>
    <m/>
    <m/>
    <m/>
  </r>
  <r>
    <s v="08457255"/>
    <s v="JK ACD Vyškovec, z. s."/>
    <s v="706"/>
    <x v="1"/>
    <x v="2"/>
    <s v="Vyškovec"/>
    <s v="Vyškovec 168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8972"/>
    <s v="JK AZAVERO  z.s."/>
    <s v="706"/>
    <x v="1"/>
    <x v="2"/>
    <s v="Tupesy"/>
    <s v="Tupesy 189, PSČ 68707"/>
    <s v="93110"/>
    <s v="Provozování sportovních zařízení"/>
    <m/>
    <m/>
    <m/>
    <m/>
    <m/>
    <m/>
    <m/>
    <m/>
    <m/>
    <m/>
    <m/>
    <m/>
    <m/>
    <m/>
    <m/>
    <m/>
    <m/>
  </r>
  <r>
    <s v="26595478"/>
    <s v="JK farma Divoky o.s."/>
    <s v="706"/>
    <x v="1"/>
    <x v="3"/>
    <s v="Zdounky"/>
    <s v="Zdounky, Divoky 70, PSČ 76802"/>
    <s v="93110"/>
    <s v="Provozování sportovních zařízení"/>
    <m/>
    <m/>
    <m/>
    <m/>
    <m/>
    <m/>
    <m/>
    <m/>
    <m/>
    <m/>
    <m/>
    <m/>
    <m/>
    <m/>
    <m/>
    <m/>
    <m/>
  </r>
  <r>
    <s v="67024866"/>
    <s v="JK HANÁ, z.s."/>
    <s v="706"/>
    <x v="1"/>
    <x v="3"/>
    <s v="Hulín"/>
    <s v="Hulín, Antonína Dvořáka 312, PSČ 76824"/>
    <s v="93110"/>
    <s v="Provozování sportovních zařízení"/>
    <m/>
    <m/>
    <m/>
    <m/>
    <m/>
    <m/>
    <m/>
    <m/>
    <m/>
    <m/>
    <m/>
    <m/>
    <m/>
    <m/>
    <m/>
    <m/>
    <m/>
  </r>
  <r>
    <s v="26579634"/>
    <s v="JK Holstein, o.s."/>
    <s v="706"/>
    <x v="1"/>
    <x v="0"/>
    <s v="Spytihněv"/>
    <s v="Spytihněv 63, PSČ 76364"/>
    <s v="93120"/>
    <s v="Činnosti sportovních klubů"/>
    <m/>
    <m/>
    <m/>
    <m/>
    <m/>
    <m/>
    <m/>
    <m/>
    <m/>
    <m/>
    <m/>
    <m/>
    <m/>
    <m/>
    <m/>
    <m/>
    <m/>
  </r>
  <r>
    <s v="22839399"/>
    <s v="JK Na Vyhlídce o.s."/>
    <s v="706"/>
    <x v="1"/>
    <x v="0"/>
    <s v="Brumov-Bylnice"/>
    <s v="Brumov-Bylnice, Brumov, 1. května 1108, PSČ 76331"/>
    <s v="93120"/>
    <s v="Činnosti sportovních klubů"/>
    <m/>
    <m/>
    <m/>
    <m/>
    <m/>
    <m/>
    <m/>
    <m/>
    <m/>
    <m/>
    <m/>
    <m/>
    <m/>
    <m/>
    <m/>
    <m/>
    <m/>
  </r>
  <r>
    <s v="26595516"/>
    <s v="JK Prusinovice, z.s."/>
    <s v="706"/>
    <x v="1"/>
    <x v="3"/>
    <s v="Prusinovice"/>
    <s v="Prusinovice, Lesní 418, PSČ 76842"/>
    <s v="93110"/>
    <s v="Provozování sportovních zařízení"/>
    <m/>
    <m/>
    <m/>
    <m/>
    <m/>
    <m/>
    <m/>
    <m/>
    <m/>
    <m/>
    <m/>
    <m/>
    <m/>
    <m/>
    <m/>
    <m/>
    <m/>
  </r>
  <r>
    <s v="22867091"/>
    <s v="JK Ranč Illinois"/>
    <s v="706"/>
    <x v="1"/>
    <x v="3"/>
    <s v="Rataje"/>
    <s v="Rataje, Sobělice 83, PSČ 76812"/>
    <s v="93120"/>
    <s v="Činnosti sportovních klubů"/>
    <m/>
    <m/>
    <m/>
    <m/>
    <m/>
    <m/>
    <m/>
    <m/>
    <m/>
    <m/>
    <m/>
    <m/>
    <m/>
    <m/>
    <m/>
    <m/>
    <m/>
  </r>
  <r>
    <s v="26989221"/>
    <s v="JK Ranč Tlumačov z.s."/>
    <s v="706"/>
    <x v="1"/>
    <x v="0"/>
    <s v="Tlumačov"/>
    <s v="Tlumačov, Machovská 412, PSČ 76362"/>
    <s v="93110"/>
    <s v="Provozování sportovních zařízení"/>
    <m/>
    <m/>
    <m/>
    <m/>
    <m/>
    <m/>
    <m/>
    <m/>
    <m/>
    <m/>
    <m/>
    <m/>
    <m/>
    <m/>
    <m/>
    <m/>
    <m/>
  </r>
  <r>
    <s v="08590656"/>
    <s v="JK Slaná Voda z.s."/>
    <s v="706"/>
    <x v="1"/>
    <x v="1"/>
    <s v="Lešná"/>
    <s v="Lešná, Vysoká 46, PSČ 756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7729"/>
    <s v="JK z Los Dos ranče, z.s."/>
    <s v="706"/>
    <x v="1"/>
    <x v="0"/>
    <s v="Zlín"/>
    <s v="Zlín, Kostelec, Za Humny 328, PSČ 76314"/>
    <s v="93120"/>
    <s v="Činnosti sportovních klubů"/>
    <m/>
    <m/>
    <m/>
    <m/>
    <m/>
    <m/>
    <m/>
    <m/>
    <m/>
    <m/>
    <m/>
    <m/>
    <m/>
    <m/>
    <m/>
    <m/>
    <m/>
  </r>
  <r>
    <s v="01342649"/>
    <s v="JK Zamoranč, z.s."/>
    <s v="706"/>
    <x v="1"/>
    <x v="0"/>
    <s v="Želechovice nad Dřevnicí"/>
    <s v="Želechovice nad Dřevnicí, Paseky 650, PSČ 763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64089"/>
    <s v="JK ŽLUTAVA z.s."/>
    <s v="706"/>
    <x v="1"/>
    <x v="0"/>
    <s v="Žlutava"/>
    <s v="Žlutava 307, PSČ 76361"/>
    <s v="93110"/>
    <s v="Provozování sportovních zařízení"/>
    <s v="Živočišná výroba"/>
    <m/>
    <m/>
    <m/>
    <m/>
    <m/>
    <m/>
    <m/>
    <m/>
    <m/>
    <m/>
    <m/>
    <m/>
    <m/>
    <m/>
    <m/>
    <m/>
  </r>
  <r>
    <s v="05120756"/>
    <s v="JL MOTOCROSS HOLEŠOV z.s."/>
    <s v="706"/>
    <x v="1"/>
    <x v="3"/>
    <s v="Holešov"/>
    <s v="Holešov, nám. Dr. E. Beneše 1699, PSČ 76901"/>
    <s v="93190"/>
    <s v="Ostatní sportovní činnosti"/>
    <m/>
    <m/>
    <m/>
    <m/>
    <m/>
    <m/>
    <m/>
    <m/>
    <m/>
    <m/>
    <m/>
    <m/>
    <m/>
    <m/>
    <m/>
    <m/>
    <m/>
  </r>
  <r>
    <s v="09664831"/>
    <s v="JMÉNEM PSA z. s."/>
    <s v="706"/>
    <x v="1"/>
    <x v="2"/>
    <s v="Uherský Ostroh"/>
    <s v="Uherský Ostroh, Kostelní 162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412"/>
    <s v="Jóga v denním životě Zlín, z.s."/>
    <s v="706"/>
    <x v="1"/>
    <x v="0"/>
    <s v="Zlín"/>
    <s v="Zlín, Kostelec, U Řadovek 366, PSČ 7631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9190069"/>
    <s v="Josef Sousedík genius Valašska, z.s."/>
    <s v="706"/>
    <x v="1"/>
    <x v="1"/>
    <s v="Vsetín"/>
    <s v="Vsetín, Velký Skalník 35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167508"/>
    <s v="Joykids z.s."/>
    <s v="706"/>
    <x v="1"/>
    <x v="0"/>
    <s v="Slavičín"/>
    <s v="Slavičín, Jar. Šály 889, PSČ 76321"/>
    <s v="94991"/>
    <s v="Činnosti organizací dětí a mládeže"/>
    <m/>
    <m/>
    <m/>
    <m/>
    <m/>
    <m/>
    <m/>
    <m/>
    <m/>
    <m/>
    <m/>
    <m/>
    <m/>
    <m/>
    <m/>
    <m/>
    <m/>
  </r>
  <r>
    <s v="26587742"/>
    <s v="JS Al-Kham-Sa, z.s."/>
    <s v="706"/>
    <x v="1"/>
    <x v="3"/>
    <s v="Kroměříž"/>
    <s v="Kroměříž, Zlámanka 17, PSČ 76701"/>
    <s v="93110"/>
    <s v="Provozování sportovních zařízení"/>
    <m/>
    <m/>
    <m/>
    <m/>
    <m/>
    <m/>
    <m/>
    <m/>
    <m/>
    <m/>
    <m/>
    <m/>
    <m/>
    <m/>
    <m/>
    <m/>
    <m/>
  </r>
  <r>
    <s v="07240180"/>
    <s v="jsme NADOSAH, z.ú."/>
    <s v="161"/>
    <x v="3"/>
    <x v="0"/>
    <s v="Zlín"/>
    <s v="Zlín, Příluky, Pekárenská 240, PSČ 76001"/>
    <s v="9499"/>
    <s v="Činnosti ostatních organizací sdružujících osoby za účelem prosazování společných zájmů j. n."/>
    <s v="Podpůrné činnosti pro scénická umění"/>
    <m/>
    <m/>
    <m/>
    <m/>
    <m/>
    <m/>
    <m/>
    <m/>
    <m/>
    <m/>
    <m/>
    <m/>
    <m/>
    <m/>
    <m/>
    <m/>
  </r>
  <r>
    <s v="13992848"/>
    <s v="Judo klub Zlín, z.s."/>
    <s v="706"/>
    <x v="1"/>
    <x v="0"/>
    <s v="Zlín"/>
    <s v="Zlín, Kúty 7120, PSČ 76001"/>
    <s v="93190"/>
    <s v="Ostatní sportovní činnosti"/>
    <m/>
    <m/>
    <m/>
    <m/>
    <m/>
    <m/>
    <m/>
    <m/>
    <m/>
    <m/>
    <m/>
    <m/>
    <m/>
    <m/>
    <m/>
    <m/>
    <m/>
  </r>
  <r>
    <s v="17694761"/>
    <s v="Judo Kroměříž z.s."/>
    <s v="706"/>
    <x v="1"/>
    <x v="3"/>
    <s v="Kroměříž"/>
    <s v="Kroměříž, Bílany 120, PSČ 76701"/>
    <s v="93190"/>
    <s v="Ostatní sportovní činnosti"/>
    <m/>
    <m/>
    <m/>
    <m/>
    <m/>
    <m/>
    <m/>
    <m/>
    <m/>
    <m/>
    <m/>
    <m/>
    <m/>
    <m/>
    <m/>
    <m/>
    <m/>
  </r>
  <r>
    <s v="65325559"/>
    <s v="JUDO Uherský Brod, z.s."/>
    <s v="706"/>
    <x v="1"/>
    <x v="2"/>
    <s v="Uherský Brod"/>
    <s v="Uherský Brod, Na Chmelnici 2019, PSČ 68801"/>
    <s v="93110"/>
    <s v="Provozování sportovních zařízení"/>
    <m/>
    <m/>
    <m/>
    <m/>
    <m/>
    <m/>
    <m/>
    <m/>
    <m/>
    <m/>
    <m/>
    <m/>
    <m/>
    <m/>
    <m/>
    <m/>
    <m/>
  </r>
  <r>
    <s v="26671671"/>
    <s v="JUDO Valašsko z.s."/>
    <s v="706"/>
    <x v="1"/>
    <x v="1"/>
    <s v="Vsetín"/>
    <s v="Vsetín, Rokytnice, Okružní 446, PSČ 75501"/>
    <s v="93110"/>
    <s v="Provozování sportovních zařízení"/>
    <m/>
    <m/>
    <m/>
    <m/>
    <m/>
    <m/>
    <m/>
    <m/>
    <m/>
    <m/>
    <m/>
    <m/>
    <m/>
    <m/>
    <m/>
    <m/>
    <m/>
  </r>
  <r>
    <s v="47935804"/>
    <s v="Junák - český skaut, okres Kroměříž, z. s."/>
    <s v="736"/>
    <x v="0"/>
    <x v="3"/>
    <s v="Kroměříž"/>
    <s v="Kroměříž, Purkyňova 2773/7C, PSČ 76701"/>
    <s v="94991"/>
    <s v="Činnosti organizací dětí a mládeže"/>
    <m/>
    <m/>
    <m/>
    <m/>
    <m/>
    <m/>
    <m/>
    <m/>
    <m/>
    <m/>
    <m/>
    <m/>
    <m/>
    <m/>
    <m/>
    <m/>
    <m/>
  </r>
  <r>
    <s v="60371871"/>
    <s v="Junák - český skaut, okres Uherské Hradiště, z. s."/>
    <s v="736"/>
    <x v="0"/>
    <x v="2"/>
    <s v="Uherské Hradiště"/>
    <s v="Uherské Hradiště, Mařatice, U Moravy 915, PSČ 68601"/>
    <s v="94991"/>
    <s v="Činnosti organizací dětí a mládeže"/>
    <m/>
    <m/>
    <m/>
    <m/>
    <m/>
    <m/>
    <m/>
    <m/>
    <m/>
    <m/>
    <m/>
    <m/>
    <m/>
    <m/>
    <m/>
    <m/>
    <m/>
  </r>
  <r>
    <s v="62334841"/>
    <s v="Junák - český skaut, okres Vsetín, z. s."/>
    <s v="736"/>
    <x v="0"/>
    <x v="1"/>
    <s v="Vsetín"/>
    <s v="Vsetín, Záviše Kalandry 1290, PSČ 75501"/>
    <s v="94991"/>
    <s v="Činnosti organizací dětí a mládeže"/>
    <m/>
    <m/>
    <m/>
    <m/>
    <m/>
    <m/>
    <m/>
    <m/>
    <m/>
    <m/>
    <m/>
    <m/>
    <m/>
    <m/>
    <m/>
    <m/>
    <m/>
  </r>
  <r>
    <s v="61716804"/>
    <s v="Junák - český skaut, okres Zlín, z. s."/>
    <s v="736"/>
    <x v="0"/>
    <x v="0"/>
    <s v="Zlín"/>
    <s v="Zlín, Divadelní 1333, PSČ 76001"/>
    <s v="94991"/>
    <s v="Činnosti organizací dětí a mládeže"/>
    <m/>
    <m/>
    <m/>
    <m/>
    <m/>
    <m/>
    <m/>
    <m/>
    <m/>
    <m/>
    <m/>
    <m/>
    <m/>
    <m/>
    <m/>
    <m/>
    <m/>
  </r>
  <r>
    <s v="65822650"/>
    <s v="Junák - český skaut, středisko A. B. Svojsíka Slavičín, z. s."/>
    <s v="736"/>
    <x v="0"/>
    <x v="0"/>
    <s v="Slavičín"/>
    <s v="Slavičín, Komenského 115, PSČ 76321"/>
    <s v="94991"/>
    <s v="Činnosti organizací dětí a mládeže"/>
    <m/>
    <m/>
    <m/>
    <m/>
    <m/>
    <m/>
    <m/>
    <m/>
    <m/>
    <m/>
    <m/>
    <m/>
    <m/>
    <m/>
    <m/>
    <m/>
    <m/>
  </r>
  <r>
    <s v="60371897"/>
    <s v="Junák - český skaut, středisko Bojkovice, z. s."/>
    <s v="736"/>
    <x v="0"/>
    <x v="2"/>
    <s v="Bojkovice"/>
    <s v="Bojkovice, Chmelnice 958, PSČ 68771"/>
    <s v="94991"/>
    <s v="Činnosti organizací dětí a mládeže"/>
    <m/>
    <m/>
    <m/>
    <m/>
    <m/>
    <m/>
    <m/>
    <m/>
    <m/>
    <m/>
    <m/>
    <m/>
    <m/>
    <m/>
    <m/>
    <m/>
    <m/>
  </r>
  <r>
    <s v="62180134"/>
    <s v="Junák - český skaut, středisko Brumov-Bylnice, z. s."/>
    <s v="736"/>
    <x v="0"/>
    <x v="0"/>
    <s v="Brumov-Bylnice"/>
    <s v="Brumov-Bylnice, Brumov, 1. května 1023, PSČ 76331"/>
    <s v="94991"/>
    <s v="Činnosti organizací dětí a mládeže"/>
    <m/>
    <m/>
    <m/>
    <m/>
    <m/>
    <m/>
    <m/>
    <m/>
    <m/>
    <m/>
    <m/>
    <m/>
    <m/>
    <m/>
    <m/>
    <m/>
    <m/>
  </r>
  <r>
    <s v="61703559"/>
    <s v="Junák - český skaut, středisko Dvojka Staré Město, z. s."/>
    <s v="736"/>
    <x v="0"/>
    <x v="2"/>
    <s v="Staré Město"/>
    <s v="Staré Město, Zelnitiusova 683, PSČ 68603"/>
    <s v="94991"/>
    <s v="Činnosti organizací dětí a mládeže"/>
    <m/>
    <m/>
    <m/>
    <m/>
    <m/>
    <m/>
    <m/>
    <m/>
    <m/>
    <m/>
    <m/>
    <m/>
    <m/>
    <m/>
    <m/>
    <m/>
    <m/>
  </r>
  <r>
    <s v="62180118"/>
    <s v="Junák - český skaut, středisko Františka Matulíka Pozlovice, z. s."/>
    <s v="736"/>
    <x v="0"/>
    <x v="2"/>
    <s v="Uherský Brod"/>
    <s v="Uherský Brod, Františka Bára 2567, PSČ 68801"/>
    <s v="94991"/>
    <s v="Činnosti organizací dětí a mládeže"/>
    <m/>
    <m/>
    <m/>
    <m/>
    <m/>
    <m/>
    <m/>
    <m/>
    <m/>
    <m/>
    <m/>
    <m/>
    <m/>
    <m/>
    <m/>
    <m/>
    <m/>
  </r>
  <r>
    <s v="47935847"/>
    <s v="Junák - český skaut, středisko Holešov, z. s."/>
    <s v="736"/>
    <x v="0"/>
    <x v="3"/>
    <s v="Holešov"/>
    <s v="Holešov, Pivovarská 1419, PSČ 76901"/>
    <s v="94991"/>
    <s v="Činnosti organizací dětí a mládeže"/>
    <m/>
    <m/>
    <m/>
    <m/>
    <m/>
    <m/>
    <m/>
    <m/>
    <m/>
    <m/>
    <m/>
    <m/>
    <m/>
    <m/>
    <m/>
    <m/>
    <m/>
  </r>
  <r>
    <s v="65822498"/>
    <s v="Junák - český skaut, středisko Impeesa Zlín, z. s."/>
    <s v="736"/>
    <x v="0"/>
    <x v="0"/>
    <s v="Lukov"/>
    <s v="Lukov, U Pivovaru 125, PSČ 76317"/>
    <s v="94991"/>
    <s v="Činnosti organizací dětí a mládeže"/>
    <m/>
    <m/>
    <m/>
    <m/>
    <m/>
    <m/>
    <m/>
    <m/>
    <m/>
    <m/>
    <m/>
    <m/>
    <m/>
    <m/>
    <m/>
    <m/>
    <m/>
  </r>
  <r>
    <s v="60371927"/>
    <s v="Junák - český skaut, středisko Jantar Polešovice, z. s."/>
    <s v="736"/>
    <x v="0"/>
    <x v="2"/>
    <s v="Polešovice"/>
    <s v="Polešovice 505, PSČ 68737"/>
    <s v="94991"/>
    <s v="Činnosti organizací dětí a mládeže"/>
    <m/>
    <m/>
    <m/>
    <m/>
    <m/>
    <m/>
    <m/>
    <m/>
    <m/>
    <m/>
    <m/>
    <m/>
    <m/>
    <m/>
    <m/>
    <m/>
    <m/>
  </r>
  <r>
    <s v="46276165"/>
    <s v="Junák - český skaut, středisko Jerry Hodného Napajedla, z. s."/>
    <s v="736"/>
    <x v="0"/>
    <x v="0"/>
    <s v="Napajedla"/>
    <s v="Napajedla, Na Kapli 1060, PSČ 76361"/>
    <s v="94991"/>
    <s v="Činnosti organizací dětí a mládeže"/>
    <m/>
    <m/>
    <m/>
    <m/>
    <m/>
    <m/>
    <m/>
    <m/>
    <m/>
    <m/>
    <m/>
    <m/>
    <m/>
    <m/>
    <m/>
    <m/>
    <m/>
  </r>
  <r>
    <s v="62180088"/>
    <s v="Junák - český skaut, středisko Josefa Šivela Otrokovice, z. s."/>
    <s v="736"/>
    <x v="0"/>
    <x v="0"/>
    <s v="Otrokovice"/>
    <s v="Otrokovice, Tylova 6281, PSČ 76502"/>
    <s v="94991"/>
    <s v="Činnosti organizací dětí a mládeže"/>
    <m/>
    <m/>
    <m/>
    <m/>
    <m/>
    <m/>
    <m/>
    <m/>
    <m/>
    <m/>
    <m/>
    <m/>
    <m/>
    <m/>
    <m/>
    <m/>
    <m/>
  </r>
  <r>
    <s v="62334875"/>
    <s v="Junák - český skaut, středisko Kelč, z. s."/>
    <s v="736"/>
    <x v="0"/>
    <x v="1"/>
    <s v="Kelč"/>
    <s v="Kelč 81, PSČ 75643"/>
    <s v="94991"/>
    <s v="Činnosti organizací dětí a mládeže"/>
    <m/>
    <m/>
    <m/>
    <m/>
    <m/>
    <m/>
    <m/>
    <m/>
    <m/>
    <m/>
    <m/>
    <m/>
    <m/>
    <m/>
    <m/>
    <m/>
    <m/>
  </r>
  <r>
    <s v="47935855"/>
    <s v="Junák - český skaut, středisko Krále Ječmínka Chropyně, z. s."/>
    <s v="736"/>
    <x v="0"/>
    <x v="3"/>
    <s v="Chropyně"/>
    <s v="Chropyně, náměstí Svobody 40, PSČ 76811"/>
    <s v="94991"/>
    <s v="Činnosti organizací dětí a mládeže"/>
    <m/>
    <m/>
    <m/>
    <m/>
    <m/>
    <m/>
    <m/>
    <m/>
    <m/>
    <m/>
    <m/>
    <m/>
    <m/>
    <m/>
    <m/>
    <m/>
    <m/>
  </r>
  <r>
    <s v="60609575"/>
    <s v="Junák - český skaut, středisko Lidečko, z. s."/>
    <s v="736"/>
    <x v="0"/>
    <x v="1"/>
    <s v="Lidečko"/>
    <s v="Lidečko 467, PSČ 75612"/>
    <s v="94991"/>
    <s v="Činnosti organizací dětí a mládeže"/>
    <m/>
    <m/>
    <m/>
    <m/>
    <m/>
    <m/>
    <m/>
    <m/>
    <m/>
    <m/>
    <m/>
    <m/>
    <m/>
    <m/>
    <m/>
    <m/>
    <m/>
  </r>
  <r>
    <s v="61716871"/>
    <s v="Junák - český skaut, středisko Malenovice Zlín, z. s."/>
    <s v="736"/>
    <x v="0"/>
    <x v="0"/>
    <s v="Zlín"/>
    <s v="Zlín, Malenovice, Milíčova 704, PSČ 76302"/>
    <s v="94991"/>
    <s v="Činnosti organizací dětí a mládeže"/>
    <m/>
    <m/>
    <m/>
    <m/>
    <m/>
    <m/>
    <m/>
    <m/>
    <m/>
    <m/>
    <m/>
    <m/>
    <m/>
    <m/>
    <m/>
    <m/>
    <m/>
  </r>
  <r>
    <s v="47935812"/>
    <s v="Junák - český skaut, středisko Mirka Svobody Kroměříž, z. s."/>
    <s v="736"/>
    <x v="0"/>
    <x v="3"/>
    <s v="Kroměříž"/>
    <s v="Kroměříž, Purkyňova 2773/7C, PSČ 76701"/>
    <s v="94991"/>
    <s v="Činnosti organizací dětí a mládeže"/>
    <m/>
    <m/>
    <m/>
    <m/>
    <m/>
    <m/>
    <m/>
    <m/>
    <m/>
    <m/>
    <m/>
    <m/>
    <m/>
    <m/>
    <m/>
    <m/>
    <m/>
  </r>
  <r>
    <s v="60371889"/>
    <s v="Junák - český skaut, středisko Modrá, z. s."/>
    <s v="736"/>
    <x v="0"/>
    <x v="2"/>
    <s v="Modrá"/>
    <s v="Modrá 103, PSČ 68706"/>
    <s v="94991"/>
    <s v="Činnosti organizací dětí a mládeže"/>
    <m/>
    <m/>
    <m/>
    <m/>
    <m/>
    <m/>
    <m/>
    <m/>
    <m/>
    <m/>
    <m/>
    <m/>
    <m/>
    <m/>
    <m/>
    <m/>
    <m/>
  </r>
  <r>
    <s v="75140021"/>
    <s v="Junák - český skaut, středisko Osamělý Jestřáb Luhačovice, z. s."/>
    <s v="736"/>
    <x v="0"/>
    <x v="0"/>
    <s v="Luhačovice"/>
    <s v="Luhačovice, Rumunská č. ev. 677, PSČ 76326"/>
    <s v="94991"/>
    <s v="Činnosti organizací dětí a mládeže"/>
    <m/>
    <m/>
    <m/>
    <m/>
    <m/>
    <m/>
    <m/>
    <m/>
    <m/>
    <m/>
    <m/>
    <m/>
    <m/>
    <m/>
    <m/>
    <m/>
    <m/>
  </r>
  <r>
    <s v="18189849"/>
    <s v="Junák - český skaut, středisko Polárka Kroměříž, z. s."/>
    <s v="736"/>
    <x v="0"/>
    <x v="3"/>
    <s v="Kroměříž"/>
    <s v="Kroměříž, Malý val 1589/19, PSČ 76701"/>
    <s v="94991"/>
    <s v="Činnosti organizací dětí a mládeže"/>
    <m/>
    <m/>
    <m/>
    <m/>
    <m/>
    <m/>
    <m/>
    <m/>
    <m/>
    <m/>
    <m/>
    <m/>
    <m/>
    <m/>
    <m/>
    <m/>
    <m/>
  </r>
  <r>
    <s v="16361130"/>
    <s v="Junák - český skaut, středisko Psohlavci Uherské Hradiště, z. s."/>
    <s v="736"/>
    <x v="0"/>
    <x v="2"/>
    <s v="Uherské Hradiště"/>
    <s v="Uherské Hradiště, Mařatice, U Moravy 915, PSČ 68601"/>
    <s v="94991"/>
    <s v="Činnosti organizací dětí a mládeže"/>
    <m/>
    <m/>
    <m/>
    <m/>
    <m/>
    <m/>
    <m/>
    <m/>
    <m/>
    <m/>
    <m/>
    <m/>
    <m/>
    <m/>
    <m/>
    <m/>
    <m/>
  </r>
  <r>
    <s v="49563033"/>
    <s v="Junák - český skaut, středisko Rožnov pod Radhoštěm, z. s."/>
    <s v="736"/>
    <x v="0"/>
    <x v="1"/>
    <s v="Rožnov pod Radhoštěm"/>
    <s v="Rožnov pod Radhoštěm, 1. máje 994, PSČ 75661"/>
    <s v="94991"/>
    <s v="Činnosti organizací dětí a mládeže"/>
    <m/>
    <m/>
    <m/>
    <m/>
    <m/>
    <m/>
    <m/>
    <m/>
    <m/>
    <m/>
    <m/>
    <m/>
    <m/>
    <m/>
    <m/>
    <m/>
    <m/>
  </r>
  <r>
    <s v="62180142"/>
    <s v="Junák - český skaut, středisko Slušovice, z. s."/>
    <s v="736"/>
    <x v="0"/>
    <x v="0"/>
    <s v="Slušovice"/>
    <s v="Slušovice, Osvoboditelů 76, PSČ 76315"/>
    <s v="94991"/>
    <s v="Činnosti organizací dětí a mládeže"/>
    <m/>
    <m/>
    <m/>
    <m/>
    <m/>
    <m/>
    <m/>
    <m/>
    <m/>
    <m/>
    <m/>
    <m/>
    <m/>
    <m/>
    <m/>
    <m/>
    <m/>
  </r>
  <r>
    <s v="70911703"/>
    <s v="Junák - český skaut, středisko Suchá Loz, z. s."/>
    <s v="736"/>
    <x v="0"/>
    <x v="2"/>
    <s v="Suchá Loz"/>
    <s v="Suchá Loz 378, PSČ 68753"/>
    <s v="94991"/>
    <s v="Činnosti organizací dětí a mládeže"/>
    <m/>
    <m/>
    <m/>
    <m/>
    <m/>
    <m/>
    <m/>
    <m/>
    <m/>
    <m/>
    <m/>
    <m/>
    <m/>
    <m/>
    <m/>
    <m/>
    <m/>
  </r>
  <r>
    <s v="60371901"/>
    <s v="Junák - český skaut, středisko Uherský Brod, z. s."/>
    <s v="736"/>
    <x v="0"/>
    <x v="2"/>
    <s v="Uherský Brod"/>
    <s v="Uherský Brod, Hradišťská 7, PSČ 68801"/>
    <s v="94991"/>
    <s v="Činnosti organizací dětí a mládeže"/>
    <m/>
    <m/>
    <m/>
    <m/>
    <m/>
    <m/>
    <m/>
    <m/>
    <m/>
    <m/>
    <m/>
    <m/>
    <m/>
    <m/>
    <m/>
    <m/>
    <m/>
  </r>
  <r>
    <s v="62334891"/>
    <s v="Junák - český skaut, středisko Valašské Meziříčí, z. s."/>
    <s v="736"/>
    <x v="0"/>
    <x v="1"/>
    <s v="Valašské Meziříčí"/>
    <s v="Valašské Meziříčí, Krásno nad Bečvou, Václavkova 377/8, PSČ 75701"/>
    <s v="94991"/>
    <s v="Činnosti organizací dětí a mládeže"/>
    <m/>
    <m/>
    <m/>
    <m/>
    <m/>
    <m/>
    <m/>
    <m/>
    <m/>
    <m/>
    <m/>
    <m/>
    <m/>
    <m/>
    <m/>
    <m/>
    <m/>
  </r>
  <r>
    <s v="62180126"/>
    <s v="Junák - český skaut, středisko Vatra Štítná nad Vláří, z. s."/>
    <s v="736"/>
    <x v="0"/>
    <x v="0"/>
    <s v="Štítná nad Vláří-Popov"/>
    <s v="Štítná nad Vláří-Popov, Štítná nad Vláří 350, PSČ 76333"/>
    <s v="94991"/>
    <s v="Činnosti organizací dětí a mládeže"/>
    <m/>
    <m/>
    <m/>
    <m/>
    <m/>
    <m/>
    <m/>
    <m/>
    <m/>
    <m/>
    <m/>
    <m/>
    <m/>
    <m/>
    <m/>
    <m/>
    <m/>
  </r>
  <r>
    <s v="46277404"/>
    <s v="Junák - český skaut, středisko Vizovice, z. s."/>
    <s v="736"/>
    <x v="0"/>
    <x v="0"/>
    <s v="Vizovice"/>
    <s v="Vizovice, Razov 761, PSČ 76312"/>
    <s v="94991"/>
    <s v="Činnosti organizací dětí a mládeže"/>
    <m/>
    <m/>
    <m/>
    <m/>
    <m/>
    <m/>
    <m/>
    <m/>
    <m/>
    <m/>
    <m/>
    <m/>
    <m/>
    <m/>
    <m/>
    <m/>
    <m/>
  </r>
  <r>
    <s v="41084624"/>
    <s v="Junák - český skaut, středisko Vsetín, z. s."/>
    <s v="736"/>
    <x v="0"/>
    <x v="1"/>
    <s v="Vsetín"/>
    <s v="Vsetín, Záviše Kalandry 1290, PSČ 75501"/>
    <s v="94991"/>
    <s v="Činnosti organizací dětí a mládeže"/>
    <m/>
    <m/>
    <m/>
    <m/>
    <m/>
    <m/>
    <m/>
    <m/>
    <m/>
    <m/>
    <m/>
    <m/>
    <m/>
    <m/>
    <m/>
    <m/>
    <m/>
  </r>
  <r>
    <s v="70893730"/>
    <s v="Junák - český skaut, Zlínský kraj, z. s."/>
    <s v="736"/>
    <x v="0"/>
    <x v="0"/>
    <s v="Zlín"/>
    <s v="Zlín, Středová 4786, PSČ 76005"/>
    <s v="94991"/>
    <s v="Činnosti organizací dětí a mládeže"/>
    <m/>
    <m/>
    <m/>
    <m/>
    <m/>
    <m/>
    <m/>
    <m/>
    <m/>
    <m/>
    <m/>
    <m/>
    <m/>
    <m/>
    <m/>
    <m/>
    <m/>
  </r>
  <r>
    <s v="62182501"/>
    <s v="Junák - český skaut, 3. středisko Zlín, z. s."/>
    <s v="736"/>
    <x v="0"/>
    <x v="0"/>
    <s v="Březnice"/>
    <s v="Březnice 574, PSČ 76001"/>
    <s v="94991"/>
    <s v="Činnosti organizací dětí a mládeže"/>
    <m/>
    <m/>
    <m/>
    <m/>
    <m/>
    <m/>
    <m/>
    <m/>
    <m/>
    <m/>
    <m/>
    <m/>
    <m/>
    <m/>
    <m/>
    <m/>
    <m/>
  </r>
  <r>
    <s v="49157663"/>
    <s v="Junák - český skaut, 6. středisko Zlín, z. s."/>
    <s v="736"/>
    <x v="0"/>
    <x v="0"/>
    <s v="Zlín"/>
    <s v="Zlín, Pasecký žleb 5177, PSČ 76001"/>
    <s v="94991"/>
    <s v="Činnosti organizací dětí a mládeže"/>
    <m/>
    <m/>
    <m/>
    <m/>
    <m/>
    <m/>
    <m/>
    <m/>
    <m/>
    <m/>
    <m/>
    <m/>
    <m/>
    <m/>
    <m/>
    <m/>
    <m/>
  </r>
  <r>
    <s v="26678063"/>
    <s v="Junior SPORT CITY Zlín"/>
    <s v="706"/>
    <x v="1"/>
    <x v="0"/>
    <s v="Zlín"/>
    <s v="Zlín, Prštné, Nábřeží 599, PSČ 76001"/>
    <s v="93110"/>
    <s v="Provozování sportovních zařízení"/>
    <m/>
    <m/>
    <m/>
    <m/>
    <m/>
    <m/>
    <m/>
    <m/>
    <m/>
    <m/>
    <m/>
    <m/>
    <m/>
    <m/>
    <m/>
    <m/>
    <m/>
  </r>
  <r>
    <s v="28554949"/>
    <s v="Jurkovičův svět, z.s."/>
    <s v="706"/>
    <x v="1"/>
    <x v="0"/>
    <s v="Luhačovice"/>
    <s v="Luhačovice, Uherskobrodská 962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597803"/>
    <s v="JV Motorsport klub v AČR"/>
    <s v="736"/>
    <x v="0"/>
    <x v="2"/>
    <s v="Kudlovice"/>
    <s v="Kudlovice 306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2000"/>
    <s v="KA-DH RACING TEAM z.s."/>
    <s v="706"/>
    <x v="1"/>
    <x v="3"/>
    <s v="Rymice"/>
    <s v="Rymice 197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5353"/>
    <s v="KADLUB spolek"/>
    <s v="706"/>
    <x v="1"/>
    <x v="1"/>
    <s v="Vsetín"/>
    <s v="Vsetín, Hrbová-Mládí 157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6572"/>
    <s v="K.A.F. Helios"/>
    <s v="706"/>
    <x v="1"/>
    <x v="0"/>
    <s v="Valašské Klobouky"/>
    <s v="Valašské Klobouky, Palackého 74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5653"/>
    <s v="Kamamár, z. s."/>
    <s v="706"/>
    <x v="1"/>
    <x v="0"/>
    <s v="Otrokovice"/>
    <s v="Otrokovice, Přístavní 520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2398"/>
    <s v="Kamarád - Nenuda z.s."/>
    <s v="706"/>
    <x v="1"/>
    <x v="0"/>
    <s v="Zlín"/>
    <s v="Zlín, Gahurova 5265, PSČ 76001"/>
    <s v="9499"/>
    <s v="Činnosti ostatních organizací sdružujících osoby za účelem prosazování společných zájmů j. n."/>
    <s v="Ostatní vzdělávání"/>
    <s v="Ostatní pobytové služby sociální péče"/>
    <m/>
    <m/>
    <m/>
    <m/>
    <m/>
    <m/>
    <m/>
    <m/>
    <m/>
    <m/>
    <m/>
    <m/>
    <m/>
    <m/>
    <m/>
  </r>
  <r>
    <s v="64123031"/>
    <s v="Kamarád Rožnov o.p.s."/>
    <s v="141"/>
    <x v="2"/>
    <x v="1"/>
    <s v="Rožnov pod Radhoštěm"/>
    <s v="Rožnov pod Radhoštěm, Volkova 523, PSČ 75661"/>
    <s v="8899"/>
    <s v="Ostatní ambulantní nebo terénní sociální služby j. n."/>
    <s v="Ostatní zpracovatelský průmysl"/>
    <s v="Maloobchod, kromě motorových vozidel"/>
    <s v="Ostatní vzdělávání"/>
    <s v="Výroba elektřiny"/>
    <s v="Podpůrné činnosti pro scénická umění"/>
    <m/>
    <m/>
    <m/>
    <m/>
    <m/>
    <m/>
    <m/>
    <m/>
    <m/>
    <m/>
    <m/>
    <m/>
  </r>
  <r>
    <s v="22883878"/>
    <s v="Kamarádi Uherský Brod z.s."/>
    <s v="706"/>
    <x v="1"/>
    <x v="2"/>
    <s v="Uherský Brod"/>
    <s v="Uherský Brod, U Sboru 1293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757994"/>
    <s v="KamToJedu? z.s."/>
    <s v="706"/>
    <x v="1"/>
    <x v="0"/>
    <s v="Slušovice"/>
    <s v="Slušovice, Na Stráni 556, PSČ 7631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4011859"/>
    <s v="Kána z. s."/>
    <s v="706"/>
    <x v="1"/>
    <x v="3"/>
    <s v="Rajnochovice"/>
    <s v="Rajnochovice 65, PSČ 768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401060"/>
    <s v="Kapela Darrock, z.s."/>
    <s v="706"/>
    <x v="1"/>
    <x v="1"/>
    <s v="Vsetín"/>
    <s v="Vsetín, Svárov 93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6161"/>
    <s v="Kaple římskokatolické církve v Kudlovicích, z. s."/>
    <s v="706"/>
    <x v="1"/>
    <x v="2"/>
    <s v="Kudlovice"/>
    <s v="Kudlovice 386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0105"/>
    <s v="KARAMELA - KAMARÁD PRO VOLNÝ ČAS, z.s."/>
    <s v="706"/>
    <x v="1"/>
    <x v="0"/>
    <s v="Zlín"/>
    <s v="Zlín, Zálešná VIII 132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1593"/>
    <s v="KARATE - DO Uherské Hradiště, z. s."/>
    <s v="706"/>
    <x v="1"/>
    <x v="2"/>
    <s v="Uherské Hradiště"/>
    <s v="Uherské Hradiště, Štěpnická 1053, PSČ 68606"/>
    <s v="93110"/>
    <s v="Provozování sportovních zařízení"/>
    <m/>
    <m/>
    <m/>
    <m/>
    <m/>
    <m/>
    <m/>
    <m/>
    <m/>
    <m/>
    <m/>
    <m/>
    <m/>
    <m/>
    <m/>
    <m/>
    <m/>
  </r>
  <r>
    <s v="70870837"/>
    <s v="Karate Břest"/>
    <s v="706"/>
    <x v="1"/>
    <x v="3"/>
    <s v="Břest"/>
    <s v="Břest 297, PSČ 76823"/>
    <s v="931"/>
    <s v="Sportovní činnosti"/>
    <m/>
    <m/>
    <m/>
    <m/>
    <m/>
    <m/>
    <m/>
    <m/>
    <m/>
    <m/>
    <m/>
    <m/>
    <m/>
    <m/>
    <m/>
    <m/>
    <m/>
  </r>
  <r>
    <s v="47934042"/>
    <s v="Karate club Kroměříž"/>
    <s v="706"/>
    <x v="1"/>
    <x v="3"/>
    <s v="Kroměříž"/>
    <s v="Kroměříž"/>
    <s v="93110"/>
    <s v="Provozování sportovních zařízení"/>
    <m/>
    <m/>
    <m/>
    <m/>
    <m/>
    <m/>
    <m/>
    <m/>
    <m/>
    <m/>
    <m/>
    <m/>
    <m/>
    <m/>
    <m/>
    <m/>
    <m/>
  </r>
  <r>
    <s v="27020444"/>
    <s v="Karate Klub Kyokushin Zlín"/>
    <s v="706"/>
    <x v="1"/>
    <x v="0"/>
    <s v="Zlín"/>
    <s v="Zlín, Křiby 4904, PSČ 76005"/>
    <s v="93110"/>
    <s v="Provozování sportovních zařízení"/>
    <m/>
    <m/>
    <m/>
    <m/>
    <m/>
    <m/>
    <m/>
    <m/>
    <m/>
    <m/>
    <m/>
    <m/>
    <m/>
    <m/>
    <m/>
    <m/>
    <m/>
  </r>
  <r>
    <s v="22815864"/>
    <s v="Kareband, z.s."/>
    <s v="706"/>
    <x v="1"/>
    <x v="2"/>
    <s v="Uherské Hradiště"/>
    <s v="Uherské Hradiště, Mařatice, Konečná 985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45563"/>
    <s v="Karlovský ochotnický soubor KOS, z.s."/>
    <s v="706"/>
    <x v="1"/>
    <x v="1"/>
    <s v="Velké Karlovice"/>
    <s v="Velké Karlovice 357, PSČ 75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73798"/>
    <s v="&quot;KARPATRIA - společnost pro rozvoj turistiky&quot;"/>
    <s v="706"/>
    <x v="1"/>
    <x v="0"/>
    <s v="Zádveřice-Raková"/>
    <s v="Zádveřice-Raková, Zádveřice 210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641521"/>
    <s v="Karpatské rozvojové a inovační centrum, z.s."/>
    <s v="706"/>
    <x v="1"/>
    <x v="2"/>
    <s v="Kunovice"/>
    <s v="Kunovice, Obecní 1596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672219"/>
    <s v="&quot;Karpatsko&quot; občanské sdružení"/>
    <s v="706"/>
    <x v="1"/>
    <x v="2"/>
    <s v="Uherský Brod"/>
    <s v="Uherský Brod, Šaripova 1805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465033"/>
    <s v="Karpatský kynologický klub z. s."/>
    <s v="706"/>
    <x v="1"/>
    <x v="3"/>
    <s v="Zahnašovice"/>
    <s v="Zahnašovice 82, PSČ 76901"/>
    <s v="9499"/>
    <s v="Činnosti ostatních organizací sdružujících osoby za účelem prosazování společných zájmů j. n."/>
    <s v="Ostatní vzdělávání"/>
    <s v="Činnosti sportovních klubů"/>
    <m/>
    <m/>
    <m/>
    <m/>
    <m/>
    <m/>
    <m/>
    <m/>
    <m/>
    <m/>
    <m/>
    <m/>
    <m/>
    <m/>
    <m/>
  </r>
  <r>
    <s v="04797230"/>
    <s v="Karting 201, z. s."/>
    <s v="706"/>
    <x v="1"/>
    <x v="1"/>
    <s v="Kelč"/>
    <s v="Kelč 513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5867"/>
    <s v="Kasiopea Uherské Hradiště"/>
    <s v="706"/>
    <x v="1"/>
    <x v="2"/>
    <s v="Uherské Hradiště"/>
    <s v="Uherské Hradiště, Mařatice, 1. máje 139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2340098"/>
    <s v="KASPOL, družstvo sálového fotbalu Zlín"/>
    <s v="736"/>
    <x v="0"/>
    <x v="0"/>
    <s v="Zlín"/>
    <s v="Zlín,"/>
    <s v="931"/>
    <s v="Sportovní činnosti"/>
    <m/>
    <m/>
    <m/>
    <m/>
    <m/>
    <m/>
    <m/>
    <m/>
    <m/>
    <m/>
    <m/>
    <m/>
    <m/>
    <m/>
    <m/>
    <m/>
    <m/>
  </r>
  <r>
    <s v="22873511"/>
    <s v="&quot;Kaunic&quot; - občanské sdružení"/>
    <s v="706"/>
    <x v="1"/>
    <x v="2"/>
    <s v="Uherský Brod"/>
    <s v="Uherský Brod, Horní Valy 615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0542"/>
    <s v="KAVOŇ OFFROAD CLUB"/>
    <s v="706"/>
    <x v="1"/>
    <x v="0"/>
    <s v="Fryšták"/>
    <s v="Fryšták, Vítová 17, PSČ 76316"/>
    <s v="93110"/>
    <s v="Provozování sportovních zařízení"/>
    <m/>
    <m/>
    <m/>
    <m/>
    <m/>
    <m/>
    <m/>
    <m/>
    <m/>
    <m/>
    <m/>
    <m/>
    <m/>
    <m/>
    <m/>
    <m/>
    <m/>
  </r>
  <r>
    <s v="22607048"/>
    <s v="Každý může pomáhat, z.s."/>
    <s v="706"/>
    <x v="1"/>
    <x v="3"/>
    <s v="Holešov"/>
    <s v="Holešov, Tyršova 1561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3227"/>
    <s v="KBC Valmez z.s."/>
    <s v="706"/>
    <x v="1"/>
    <x v="1"/>
    <s v="Valašské Meziříčí"/>
    <s v="Valašské Meziříčí, Štěpánov 167, PSČ 75701"/>
    <s v="94999"/>
    <s v="Činnosti ostatních organizací j. n."/>
    <m/>
    <m/>
    <m/>
    <m/>
    <m/>
    <m/>
    <m/>
    <m/>
    <m/>
    <m/>
    <m/>
    <m/>
    <m/>
    <m/>
    <m/>
    <m/>
    <m/>
  </r>
  <r>
    <s v="69725641"/>
    <s v="KBU z.s."/>
    <s v="706"/>
    <x v="1"/>
    <x v="0"/>
    <s v="Brumov-Bylnice"/>
    <s v="Brumov-Bylnice, Bylnice, Vlárská 346, PSČ 76331"/>
    <s v="93120"/>
    <s v="Činnosti sportovních klubů"/>
    <m/>
    <m/>
    <m/>
    <m/>
    <m/>
    <m/>
    <m/>
    <m/>
    <m/>
    <m/>
    <m/>
    <m/>
    <m/>
    <m/>
    <m/>
    <m/>
    <m/>
  </r>
  <r>
    <s v="70902003"/>
    <s v="KČT, oblast Zlínský kraj"/>
    <s v="736"/>
    <x v="0"/>
    <x v="1"/>
    <s v="Vsetín"/>
    <s v="Vsetín, Dolní Jasenka 17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071761"/>
    <s v="KČT, odbor Chropyně"/>
    <s v="736"/>
    <x v="0"/>
    <x v="3"/>
    <s v="Chropyně"/>
    <s v="Chropyně, Nádražní 722, PSČ 768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8908"/>
    <s v="KČT, odbor Chřibský lenochod Březolupy"/>
    <s v="736"/>
    <x v="0"/>
    <x v="2"/>
    <s v="Březolupy"/>
    <s v="Březolupy 90, PSČ 6871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73632"/>
    <s v="KČT, odbor Francova Lhota"/>
    <s v="736"/>
    <x v="0"/>
    <x v="1"/>
    <s v="Francova Lhota"/>
    <s v="Francova Lhota 190, PSČ 7561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728031"/>
    <s v="KČT, odbor Halenkov"/>
    <s v="736"/>
    <x v="0"/>
    <x v="1"/>
    <s v="Halenkov"/>
    <s v="Halenkov 627, PSČ 75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080249"/>
    <s v="KČT, odbor MCK Zlín"/>
    <s v="736"/>
    <x v="0"/>
    <x v="0"/>
    <s v="Napajedla"/>
    <s v="Napajedla, Palackého 96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9141"/>
    <s v="KČT, odbor Morkovice"/>
    <s v="736"/>
    <x v="0"/>
    <x v="3"/>
    <s v="Počenice-Tetětice"/>
    <s v="Počenice-Tetětice, Počenice 178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072822"/>
    <s v="KČT, odbor Napajedla"/>
    <s v="736"/>
    <x v="0"/>
    <x v="0"/>
    <s v="Napajedla"/>
    <s v="Napajedla, Lány 844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77107"/>
    <s v="KČT, odbor Přerov - Předmostí"/>
    <s v="736"/>
    <x v="0"/>
    <x v="3"/>
    <s v="Kroměříž"/>
    <s v="Kroměříž, Elišky Krásnohorské 2396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150532"/>
    <s v="KČT, odbor Uherský Brod"/>
    <s v="736"/>
    <x v="0"/>
    <x v="2"/>
    <s v="Uherský Brod"/>
    <s v="Uherský Brod, Družstevní 1562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5527891"/>
    <s v="KČT, odbor Uherský Ostroh"/>
    <s v="736"/>
    <x v="0"/>
    <x v="2"/>
    <s v="Uherský Ostroh"/>
    <s v="Uherský Ostroh, Ostrožské Předměstí, Školní 925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074001"/>
    <s v="KČT, odbor Valašské Klobouky"/>
    <s v="736"/>
    <x v="0"/>
    <x v="0"/>
    <s v="Valašské Klobouky"/>
    <s v="Valašské Klobouky, Masarykovo náměstí 103, PSČ 76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67934"/>
    <s v="KČT, odbor Valašské Meziříčí"/>
    <s v="736"/>
    <x v="0"/>
    <x v="1"/>
    <s v="Valašské Meziříčí"/>
    <s v="Valašské Meziříčí, Zdeňka Fibicha 121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91180"/>
    <s v="KČT, odbor Valašsko Vsetín"/>
    <s v="736"/>
    <x v="0"/>
    <x v="1"/>
    <s v="Vsetín"/>
    <s v="Vsetín, Jiráskova 1816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8773395"/>
    <s v="KČT, odbor Valašský tomík, z.s."/>
    <s v="706"/>
    <x v="1"/>
    <x v="1"/>
    <s v="Vsetín"/>
    <s v="Vsetín, Ohrada 1834, PSČ 75501"/>
    <s v="93110"/>
    <s v="Provozování sportovních zařízení"/>
    <m/>
    <m/>
    <m/>
    <m/>
    <m/>
    <m/>
    <m/>
    <m/>
    <m/>
    <m/>
    <m/>
    <m/>
    <m/>
    <m/>
    <m/>
    <m/>
    <m/>
  </r>
  <r>
    <s v="72066679"/>
    <s v="KČT, odbor Vizovice"/>
    <s v="736"/>
    <x v="0"/>
    <x v="0"/>
    <s v="Vizovice"/>
    <s v="Vizovice, Lázeňská 808, PSČ 763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62401"/>
    <s v="KČT, odbor Zborovice"/>
    <s v="736"/>
    <x v="0"/>
    <x v="3"/>
    <s v="Zborovice"/>
    <s v="Zborovice, Za Nádražím 338, PSČ 768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863587"/>
    <s v="KČT Vsetín, z.s."/>
    <s v="706"/>
    <x v="1"/>
    <x v="1"/>
    <s v="Vsetín"/>
    <s v="Vsetín, Dolní Jasenka 171, PSČ 75501"/>
    <s v="93120"/>
    <s v="Činnosti sportovních klubů"/>
    <m/>
    <m/>
    <m/>
    <m/>
    <m/>
    <m/>
    <m/>
    <m/>
    <m/>
    <m/>
    <m/>
    <m/>
    <m/>
    <m/>
    <m/>
    <m/>
    <m/>
  </r>
  <r>
    <s v="75116952"/>
    <s v="KČT Vysoké Pole - Klášťov"/>
    <s v="736"/>
    <x v="0"/>
    <x v="0"/>
    <s v="Vysoké Pole"/>
    <s v="Vysoké Pole 252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211697"/>
    <s v="KELTSKÝ DEN z.s."/>
    <s v="706"/>
    <x v="1"/>
    <x v="0"/>
    <s v="Provodov"/>
    <s v="Provodov 99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00201"/>
    <s v="&quot;KENTAUR ZLÍN - sdružení pro pomoc a podporu nezaměstnaným se sníženou pracovní schopností a pomoc a podporu jezdeckému sportu&quot;"/>
    <s v="706"/>
    <x v="1"/>
    <x v="0"/>
    <s v="Zlín"/>
    <s v="Příkrá 2789, 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9760"/>
    <s v="Kentucky Nivnice"/>
    <s v="706"/>
    <x v="1"/>
    <x v="2"/>
    <s v="Nivnice"/>
    <s v="Nivnice, Komenského 134, PSČ 68751"/>
    <s v="90030"/>
    <s v="Umělecká tvorba"/>
    <m/>
    <m/>
    <m/>
    <m/>
    <m/>
    <m/>
    <m/>
    <m/>
    <m/>
    <m/>
    <m/>
    <m/>
    <m/>
    <m/>
    <m/>
    <m/>
    <m/>
  </r>
  <r>
    <s v="02573784"/>
    <s v="Keramika Integra o.p.s."/>
    <s v="141"/>
    <x v="2"/>
    <x v="1"/>
    <s v="Vsetín"/>
    <s v="Vsetín, Bratří Hlaviců 94, PSČ 75501"/>
    <s v="94999"/>
    <s v="Činnosti ostatních organizací j. n."/>
    <m/>
    <m/>
    <m/>
    <m/>
    <m/>
    <m/>
    <m/>
    <m/>
    <m/>
    <m/>
    <m/>
    <m/>
    <m/>
    <m/>
    <m/>
    <m/>
    <m/>
  </r>
  <r>
    <s v="03531406"/>
    <s v="KESBUK, z. s."/>
    <s v="706"/>
    <x v="1"/>
    <x v="0"/>
    <s v="Otrokovice"/>
    <s v="Otrokovice, tř. Tomáše Bati 963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004290"/>
    <s v="KHJ MOTORSPORT ZLÍN,RALYE TEAM"/>
    <s v="736"/>
    <x v="0"/>
    <x v="0"/>
    <s v="Zlín"/>
    <s v="Zlín, P.O.BOX 4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4519"/>
    <s v="Kiara o. s."/>
    <s v="706"/>
    <x v="1"/>
    <x v="1"/>
    <s v="Rožnov pod Radhoštěm"/>
    <s v="Rožnov pod Radhoštěm, Jiřího Wolkera 89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486029"/>
    <s v="Kiks Brass z. s."/>
    <s v="706"/>
    <x v="1"/>
    <x v="3"/>
    <s v="Bystřice pod Hostýnem"/>
    <s v="Bystřice pod Hostýnem, Bílavsko 74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28081"/>
    <s v="KITE ZLÍN o.s."/>
    <s v="706"/>
    <x v="1"/>
    <x v="0"/>
    <s v="Zlín"/>
    <s v="Zlín, Sokolská 622, PSČ 76001"/>
    <s v="93190"/>
    <s v="Ostatní sportovní činnosti"/>
    <m/>
    <m/>
    <m/>
    <m/>
    <m/>
    <m/>
    <m/>
    <m/>
    <m/>
    <m/>
    <m/>
    <m/>
    <m/>
    <m/>
    <m/>
    <m/>
    <m/>
  </r>
  <r>
    <s v="04284771"/>
    <s v="Kiteboarding Holešov, z.s."/>
    <s v="706"/>
    <x v="1"/>
    <x v="3"/>
    <s v="Holešov"/>
    <s v="Holešov, Dlažánky 311/1, PSČ 76901"/>
    <s v="93190"/>
    <s v="Ostatní sportovní činnosti"/>
    <m/>
    <m/>
    <m/>
    <m/>
    <m/>
    <m/>
    <m/>
    <m/>
    <m/>
    <m/>
    <m/>
    <m/>
    <m/>
    <m/>
    <m/>
    <m/>
    <m/>
  </r>
  <r>
    <s v="04206347"/>
    <s v="Kiteboarding Kroměříž, z.s."/>
    <s v="706"/>
    <x v="1"/>
    <x v="3"/>
    <s v="Kroměříž"/>
    <s v="Kroměříž, Vážany, Požárníků 324/1F, PSČ 76701"/>
    <s v="93190"/>
    <s v="Ostatní sportovní činnosti"/>
    <m/>
    <m/>
    <m/>
    <m/>
    <m/>
    <m/>
    <m/>
    <m/>
    <m/>
    <m/>
    <m/>
    <m/>
    <m/>
    <m/>
    <m/>
    <m/>
    <m/>
  </r>
  <r>
    <s v="08931437"/>
    <s v="Kitt&amp;Café Toulavý ráj z.s."/>
    <s v="706"/>
    <x v="1"/>
    <x v="0"/>
    <s v="Zlín"/>
    <s v="Zlín, Budovatelská 4796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07006"/>
    <s v="Kitz kunst, z.s."/>
    <s v="706"/>
    <x v="1"/>
    <x v="1"/>
    <s v="Rožnov pod Radhoštěm"/>
    <s v="Rožnov pod Radhoštěm, Svazarmovská 139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549"/>
    <s v="KK Valašské Meziříčí z.s."/>
    <s v="706"/>
    <x v="1"/>
    <x v="1"/>
    <s v="Valašské Meziříčí"/>
    <s v="Valašské Meziříčí, Havlíčkova 1173, PSČ 75701"/>
    <s v="93110"/>
    <s v="Provozování sportovních zařízení"/>
    <m/>
    <m/>
    <m/>
    <m/>
    <m/>
    <m/>
    <m/>
    <m/>
    <m/>
    <m/>
    <m/>
    <m/>
    <m/>
    <m/>
    <m/>
    <m/>
    <m/>
  </r>
  <r>
    <s v="14130653"/>
    <s v="KKZ z. s."/>
    <s v="706"/>
    <x v="1"/>
    <x v="0"/>
    <s v="Zlín"/>
    <s v="Zlín, Mladcová, Klabalská louka 611, PSČ 76001"/>
    <s v="93190"/>
    <s v="Ostatní sportovní činnosti"/>
    <m/>
    <m/>
    <m/>
    <m/>
    <m/>
    <m/>
    <m/>
    <m/>
    <m/>
    <m/>
    <m/>
    <m/>
    <m/>
    <m/>
    <m/>
    <m/>
    <m/>
  </r>
  <r>
    <s v="22668969"/>
    <s v="KLAPKA, z.s."/>
    <s v="706"/>
    <x v="1"/>
    <x v="3"/>
    <s v="Zborovice"/>
    <s v="Zborovice, Sokolská 211, PSČ 768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990198"/>
    <s v="Klášter Kongregace sester karmelitánek &quot;Institut Naší Paní z Karmelu&quot;"/>
    <s v="722"/>
    <x v="5"/>
    <x v="0"/>
    <s v="Zlín"/>
    <s v="Zlín, Štípa, Mariánské náměstí 56, PSČ 76314"/>
    <s v="94910"/>
    <s v="Činnosti náboženských organizací"/>
    <m/>
    <m/>
    <m/>
    <m/>
    <m/>
    <m/>
    <m/>
    <m/>
    <m/>
    <m/>
    <m/>
    <m/>
    <m/>
    <m/>
    <m/>
    <m/>
    <m/>
  </r>
  <r>
    <s v="00481700"/>
    <s v="Klášter sester řádu Navštívení Panny Marie"/>
    <s v="722"/>
    <x v="5"/>
    <x v="3"/>
    <s v="Kroměříž"/>
    <s v="Kroměříž, Koperníkova 1446/3, PSČ 76701"/>
    <s v="94910"/>
    <s v="Činnosti náboženských organizací"/>
    <m/>
    <m/>
    <m/>
    <m/>
    <m/>
    <m/>
    <m/>
    <m/>
    <m/>
    <m/>
    <m/>
    <m/>
    <m/>
    <m/>
    <m/>
    <m/>
    <m/>
  </r>
  <r>
    <s v="00403407"/>
    <s v="Klášter sv. Kříže Mnišek Kazatelského řádu"/>
    <s v="722"/>
    <x v="5"/>
    <x v="2"/>
    <s v="Uherský Brod"/>
    <s v="Uherský Brod, Mariánské nám. 61, PSČ 68801"/>
    <s v="94910"/>
    <s v="Činnosti náboženských organizací"/>
    <m/>
    <m/>
    <m/>
    <m/>
    <m/>
    <m/>
    <m/>
    <m/>
    <m/>
    <m/>
    <m/>
    <m/>
    <m/>
    <m/>
    <m/>
    <m/>
    <m/>
  </r>
  <r>
    <s v="26660920"/>
    <s v="KLENOT Police, z.s."/>
    <s v="706"/>
    <x v="1"/>
    <x v="1"/>
    <s v="Police"/>
    <s v="Police 142, PSČ 756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43251"/>
    <s v="Klidná rezidenční čtvrť z.s."/>
    <s v="706"/>
    <x v="1"/>
    <x v="1"/>
    <s v="Valašské Meziříčí"/>
    <s v="Valašské Meziříčí, Smetanova 573/7, PSČ 75701"/>
    <s v="94995"/>
    <s v="Činnosti environmentálních a ekologických hnutí"/>
    <m/>
    <m/>
    <m/>
    <m/>
    <m/>
    <m/>
    <m/>
    <m/>
    <m/>
    <m/>
    <m/>
    <m/>
    <m/>
    <m/>
    <m/>
    <m/>
    <m/>
  </r>
  <r>
    <s v="08016593"/>
    <s v="Klidné Želechovice, z. s."/>
    <s v="706"/>
    <x v="1"/>
    <x v="0"/>
    <s v="Želechovice nad Dřevnicí"/>
    <s v="Želechovice nad Dřevnicí, Nádražní 190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756264"/>
    <s v="Klobucké stezky z. s."/>
    <s v="706"/>
    <x v="1"/>
    <x v="0"/>
    <s v="Valašské Klobouky"/>
    <s v="Valašské Klobouky, Luční 910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765241"/>
    <s v="Klobucký silák, z.s."/>
    <s v="706"/>
    <x v="1"/>
    <x v="0"/>
    <s v="Valašské Klobouky"/>
    <s v="Valašské Klobouky, Nádražní 369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5595"/>
    <s v="Klobucký volejbal, z.s."/>
    <s v="706"/>
    <x v="1"/>
    <x v="0"/>
    <s v="Valašské Klobouky"/>
    <s v="Valašské Klobouky, Cyrilometodějská 886, PSČ 76601"/>
    <s v="93110"/>
    <s v="Provozování sportovních zařízení"/>
    <m/>
    <m/>
    <m/>
    <m/>
    <m/>
    <m/>
    <m/>
    <m/>
    <m/>
    <m/>
    <m/>
    <m/>
    <m/>
    <m/>
    <m/>
    <m/>
    <m/>
  </r>
  <r>
    <s v="46308709"/>
    <s v="Klub absolventů Baťovy školy práce, z.s."/>
    <s v="706"/>
    <x v="1"/>
    <x v="0"/>
    <s v="Zlín"/>
    <s v="Zlín, Gahurova 29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4571"/>
    <s v="Klub akcionářů Zlínské Ateliéry"/>
    <s v="706"/>
    <x v="1"/>
    <x v="2"/>
    <s v="Uherské Hradiště"/>
    <s v="Uherské Hradiště, Mařatice, Na Zápovědi 56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8398"/>
    <s v="Klub amatérského filmu Kroměříž z.s."/>
    <s v="706"/>
    <x v="1"/>
    <x v="3"/>
    <s v="Kroměříž"/>
    <s v="Kroměříž, Vážany, Lesní 1/2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718795"/>
    <s v="Klub bechtěreviků ČR, Zlínský kraj, pobočný spolek"/>
    <s v="736"/>
    <x v="0"/>
    <x v="0"/>
    <s v="Zlín"/>
    <s v="Zlín, Lomená 6377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3414708"/>
    <s v="Klub biatlonu Bystřice pod Hostýnem, p.s."/>
    <s v="736"/>
    <x v="0"/>
    <x v="3"/>
    <s v="Bystřice pod Hostýnem"/>
    <s v="Bystřice pod Hostýnem, Lázně 1420, PSČ 76861"/>
    <s v="93110"/>
    <s v="Provozování sportovních zařízení"/>
    <s v="Rekreační a ostatní krátkodobé ubytování"/>
    <s v="Stravování v restauracích, u stánků a v mobilních zařízeních"/>
    <m/>
    <m/>
    <m/>
    <m/>
    <m/>
    <m/>
    <m/>
    <m/>
    <m/>
    <m/>
    <m/>
    <m/>
    <m/>
    <m/>
    <m/>
  </r>
  <r>
    <s v="65792114"/>
    <s v="Klub biatlonu Halenkovice, p.s."/>
    <s v="736"/>
    <x v="0"/>
    <x v="0"/>
    <s v="Halenkovice"/>
    <s v="Halenkovice 470, PSČ 76363"/>
    <s v="93110"/>
    <s v="Provozování sportovních zařízení"/>
    <m/>
    <m/>
    <m/>
    <m/>
    <m/>
    <m/>
    <m/>
    <m/>
    <m/>
    <m/>
    <m/>
    <m/>
    <m/>
    <m/>
    <m/>
    <m/>
    <m/>
  </r>
  <r>
    <s v="05278538"/>
    <s v="Klub biatlonu Míkovice, p.s."/>
    <s v="736"/>
    <x v="0"/>
    <x v="2"/>
    <s v="Uherské Hradiště"/>
    <s v="Uherské Hradiště, Míkovice, Lesní 180, PSČ 68609"/>
    <s v="9312"/>
    <s v="Činnosti sportovních klubů"/>
    <m/>
    <m/>
    <m/>
    <m/>
    <m/>
    <m/>
    <m/>
    <m/>
    <m/>
    <m/>
    <m/>
    <m/>
    <m/>
    <m/>
    <m/>
    <m/>
    <m/>
  </r>
  <r>
    <s v="63025736"/>
    <s v="Klub biatlonu Rožnov pod Radhoštěm, p.s."/>
    <s v="736"/>
    <x v="0"/>
    <x v="1"/>
    <s v="Rožnov pod Radhoštěm"/>
    <s v="Rožnov pod Radhoštěm, Horní Dráhy 2765, PSČ 75661"/>
    <s v="93110"/>
    <s v="Provozování sportovních zařízení"/>
    <m/>
    <m/>
    <m/>
    <m/>
    <m/>
    <m/>
    <m/>
    <m/>
    <m/>
    <m/>
    <m/>
    <m/>
    <m/>
    <m/>
    <m/>
    <m/>
    <m/>
  </r>
  <r>
    <s v="62334476"/>
    <s v="Klub biatlonu Vsetín - Bobrky, p.s."/>
    <s v="736"/>
    <x v="0"/>
    <x v="1"/>
    <s v="Vsetín"/>
    <s v="Vsetín, Rokytnice 439"/>
    <s v="931"/>
    <s v="Sportovní činnosti"/>
    <m/>
    <m/>
    <m/>
    <m/>
    <m/>
    <m/>
    <m/>
    <m/>
    <m/>
    <m/>
    <m/>
    <m/>
    <m/>
    <m/>
    <m/>
    <m/>
    <m/>
  </r>
  <r>
    <s v="08977186"/>
    <s v="Klub biatlonu WOCO Vsetín, z.s."/>
    <s v="706"/>
    <x v="1"/>
    <x v="1"/>
    <s v="Vsetín"/>
    <s v="Vsetín, Tyršova 1328, PSČ 75501"/>
    <s v="93190"/>
    <s v="Ostatní sportovní činnosti"/>
    <m/>
    <m/>
    <m/>
    <m/>
    <m/>
    <m/>
    <m/>
    <m/>
    <m/>
    <m/>
    <m/>
    <m/>
    <m/>
    <m/>
    <m/>
    <m/>
    <m/>
  </r>
  <r>
    <s v="22873520"/>
    <s v="Klub Bojkovských Skeptiků - Svobodný Občanský Spolek"/>
    <s v="706"/>
    <x v="1"/>
    <x v="2"/>
    <s v="Bojkovice"/>
    <s v="Bojkovice, Krhov 28, PSČ 68771"/>
    <s v="94995"/>
    <s v="Činnosti environmentálních a ekologických hnutí"/>
    <m/>
    <m/>
    <m/>
    <m/>
    <m/>
    <m/>
    <m/>
    <m/>
    <m/>
    <m/>
    <m/>
    <m/>
    <m/>
    <m/>
    <m/>
    <m/>
    <m/>
  </r>
  <r>
    <s v="04744497"/>
    <s v="Klub celiaků Zlín - Bezlepkově ve Zlíně, z.s."/>
    <s v="706"/>
    <x v="1"/>
    <x v="0"/>
    <s v="Zlín"/>
    <s v="Zlín, Křiby 4721, PSČ 760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9046071"/>
    <s v="Klub chovatelů loveckých slídičů - výstava - slídiči, z. s."/>
    <s v="706"/>
    <x v="1"/>
    <x v="0"/>
    <s v="Držková"/>
    <s v="Držková 33, PSČ 7631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710193"/>
    <s v="Klub cykloturistiky Kateřinice, z. s."/>
    <s v="706"/>
    <x v="1"/>
    <x v="1"/>
    <s v="Kateřinice"/>
    <s v="Kateřinice 179, PSČ 756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8190031"/>
    <s v="Klub českých turistů Bystřice pod Hostýnem"/>
    <s v="736"/>
    <x v="0"/>
    <x v="3"/>
    <s v="Rajnochovice"/>
    <s v="Rajnochovice 203, PSČ 768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9563203"/>
    <s v="Klub českých turistů /KČT/Hovězí"/>
    <s v="736"/>
    <x v="0"/>
    <x v="1"/>
    <s v="Hovězí"/>
    <s v="Hovězí,"/>
    <s v="9499"/>
    <s v="Činnosti ostatních organizací sdružujících osoby za účelem prosazování společných zájmů j. n."/>
    <s v="Činnosti sportovních klubů"/>
    <m/>
    <m/>
    <m/>
    <m/>
    <m/>
    <m/>
    <m/>
    <m/>
    <m/>
    <m/>
    <m/>
    <m/>
    <m/>
    <m/>
    <m/>
    <m/>
  </r>
  <r>
    <s v="72077425"/>
    <s v="Klub českých turistů, odbor Holešov"/>
    <s v="736"/>
    <x v="0"/>
    <x v="3"/>
    <s v="Holešov"/>
    <s v="Holešov, Sadová 1549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8189491"/>
    <s v="Klub českých turistů, odbor Kroměříž"/>
    <s v="736"/>
    <x v="0"/>
    <x v="3"/>
    <s v="Kroměříž"/>
    <s v="Kroměříž, Žerotínova 2983/17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70498"/>
    <s v="KLUB ČESKÝCH TURISTŮ ODBOR KROMĚŘÍŽ DRACI"/>
    <s v="736"/>
    <x v="0"/>
    <x v="3"/>
    <s v="Kroměříž"/>
    <s v="Kroměříž, Švabinského 14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3532"/>
    <s v="Klub českých turistů, odbor Uherské Hradiště"/>
    <s v="736"/>
    <x v="0"/>
    <x v="2"/>
    <s v="Huštěnovice"/>
    <s v="Huštěnovice 54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442"/>
    <s v="Klub českých turistů, odbor Zlín"/>
    <s v="736"/>
    <x v="0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3753"/>
    <s v="Klub českých turistů, Tupesy"/>
    <s v="736"/>
    <x v="0"/>
    <x v="2"/>
    <s v="Tupesy"/>
    <s v="Tupesy,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44696"/>
    <s v="Klub českých turistů Uh. Hradiště"/>
    <s v="706"/>
    <x v="1"/>
    <x v="2"/>
    <s v="Uherské Hradiště"/>
    <s v="Uherské Hradiště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270029"/>
    <s v="Klub dárců krve Kroměřížska,z.s."/>
    <s v="706"/>
    <x v="1"/>
    <x v="3"/>
    <s v="Kroměříž"/>
    <s v="Kroměříž, Broskvová 4138/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233029"/>
    <s v="Klub dárců krve, o.s."/>
    <s v="706"/>
    <x v="1"/>
    <x v="2"/>
    <s v="Ostrožská Nová Ves"/>
    <s v="Ostrožská Nová Ves, Obecnice 644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361072"/>
    <s v="Klub dráhařů, spolek"/>
    <s v="706"/>
    <x v="1"/>
    <x v="0"/>
    <s v="Hvozdná"/>
    <s v="Hvozdná, Hlavní 95, PSČ 7631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94089"/>
    <s v="Klub důchodců Bystřice pod Hostýnem, z.s."/>
    <s v="706"/>
    <x v="1"/>
    <x v="3"/>
    <s v="Bystřice pod Hostýnem"/>
    <s v="Bystřice pod Hostýnem, Palackého 575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046360"/>
    <s v="Klub důchodců Hutisko-Solanec, z.s."/>
    <s v="706"/>
    <x v="1"/>
    <x v="1"/>
    <s v="Hutisko-Solanec"/>
    <s v="Hutisko-Solanec, Hutisko 512, PSČ 756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5220"/>
    <s v="Klub důchodců Uherské Hradiště, spolek"/>
    <s v="706"/>
    <x v="1"/>
    <x v="2"/>
    <s v="Uherské Hradiště"/>
    <s v="Uherské Hradiště, Kollárova 124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240424"/>
    <s v="Klub důchodců Zašová"/>
    <s v="706"/>
    <x v="1"/>
    <x v="1"/>
    <s v="Zašová"/>
    <s v="Zašov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731051"/>
    <s v="Klub dvojčat a vícerčat Zlín"/>
    <s v="706"/>
    <x v="1"/>
    <x v="0"/>
    <s v="Zlín"/>
    <s v="Zlín, Prštné, M. Alše 43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722300"/>
    <s v="Klub filatelistů ve Zlíně, z. s."/>
    <s v="706"/>
    <x v="1"/>
    <x v="0"/>
    <s v="Zlín"/>
    <s v="Zlín, Prštné, Svat. Čecha 35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09361"/>
    <s v="KLUB H + Z - spolek pro využití odkazu Jiřího Hanzelky a Miroslava Zikmunda, z.s."/>
    <s v="706"/>
    <x v="1"/>
    <x v="0"/>
    <s v="Zlín"/>
    <s v="Zlín, Vavrečkova 704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498288"/>
    <s v="Klub Házené Vsetín z.s."/>
    <s v="706"/>
    <x v="1"/>
    <x v="1"/>
    <s v="Vsetín"/>
    <s v="Vsetín, Palackého 258, PSČ 75501"/>
    <s v="93190"/>
    <s v="Ostatní sportovní činnosti"/>
    <m/>
    <m/>
    <m/>
    <m/>
    <m/>
    <m/>
    <m/>
    <m/>
    <m/>
    <m/>
    <m/>
    <m/>
    <m/>
    <m/>
    <m/>
    <m/>
    <m/>
  </r>
  <r>
    <s v="04460162"/>
    <s v="Klub her Zašová, z. s."/>
    <s v="706"/>
    <x v="1"/>
    <x v="1"/>
    <s v="Zašová"/>
    <s v="Zašová 821, PSČ 75651"/>
    <s v="93190"/>
    <s v="Ostatní sportovní činnosti"/>
    <m/>
    <m/>
    <m/>
    <m/>
    <m/>
    <m/>
    <m/>
    <m/>
    <m/>
    <m/>
    <m/>
    <m/>
    <m/>
    <m/>
    <m/>
    <m/>
    <m/>
  </r>
  <r>
    <s v="04102860"/>
    <s v="Klub historických vozidel a veteránů Zlín, z.s."/>
    <s v="706"/>
    <x v="1"/>
    <x v="0"/>
    <s v="Zlín"/>
    <s v="Zlín, Louky, V Olší 6235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33381"/>
    <s v="Klub horských běžců Radegast, z.s."/>
    <s v="706"/>
    <x v="1"/>
    <x v="1"/>
    <s v="Poličná"/>
    <s v="Poličná 406, PSČ 75701"/>
    <s v="93120"/>
    <s v="Činnosti sportovních klubů"/>
    <m/>
    <m/>
    <m/>
    <m/>
    <m/>
    <m/>
    <m/>
    <m/>
    <m/>
    <m/>
    <m/>
    <m/>
    <m/>
    <m/>
    <m/>
    <m/>
    <m/>
  </r>
  <r>
    <s v="65823494"/>
    <s v="Klub horských sportů Zlín, z.s.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0597"/>
    <s v="Klub instruktorů lyžování Zlín z.s."/>
    <s v="706"/>
    <x v="1"/>
    <x v="0"/>
    <s v="Zlín"/>
    <s v="Zlín, Mladcová, Na Drahách 319, PSČ 76001"/>
    <s v="93110"/>
    <s v="Provozování sportovních zařízení"/>
    <m/>
    <m/>
    <m/>
    <m/>
    <m/>
    <m/>
    <m/>
    <m/>
    <m/>
    <m/>
    <m/>
    <m/>
    <m/>
    <m/>
    <m/>
    <m/>
    <m/>
  </r>
  <r>
    <s v="64467279"/>
    <s v="Klub I.P.S.C. č. 23 Asociace praktické střelby České republiky"/>
    <s v="736"/>
    <x v="0"/>
    <x v="0"/>
    <s v="Zlín"/>
    <s v="Zlín, Borová 6449, PSČ 76001"/>
    <s v="93110"/>
    <s v="Provozování sportovních zařízení"/>
    <m/>
    <m/>
    <m/>
    <m/>
    <m/>
    <m/>
    <m/>
    <m/>
    <m/>
    <m/>
    <m/>
    <m/>
    <m/>
    <m/>
    <m/>
    <m/>
    <m/>
  </r>
  <r>
    <s v="26995336"/>
    <s v="Klub i4U"/>
    <s v="706"/>
    <x v="1"/>
    <x v="3"/>
    <s v="Kroměříž"/>
    <s v="Kroměříž, Moravcova 259/9, PSČ 76701"/>
    <s v="93110"/>
    <s v="Provozování sportovních zařízení"/>
    <m/>
    <m/>
    <m/>
    <m/>
    <m/>
    <m/>
    <m/>
    <m/>
    <m/>
    <m/>
    <m/>
    <m/>
    <m/>
    <m/>
    <m/>
    <m/>
    <m/>
  </r>
  <r>
    <s v="26997959"/>
    <s v="Klub Jarní kvítí"/>
    <s v="706"/>
    <x v="1"/>
    <x v="1"/>
    <s v="Valašské Meziříčí"/>
    <s v="Valašské Meziříčí, Zdeňka Fibicha 120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59569"/>
    <s v="Klub Jedu na dřeň v AČR"/>
    <s v="736"/>
    <x v="0"/>
    <x v="0"/>
    <s v="Zlín"/>
    <s v="Zlín, Kvítková 4703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4123707"/>
    <s v="Klub Kalokagathia, z.s."/>
    <s v="706"/>
    <x v="1"/>
    <x v="1"/>
    <s v="Rožnov pod Radhoštěm"/>
    <s v="Rožnov pod Radhoštěm, Dolní Paseky 465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37466"/>
    <s v="Klub K&amp;K Motors v AČR"/>
    <s v="736"/>
    <x v="0"/>
    <x v="3"/>
    <s v="Kostelec u Holešova"/>
    <s v="Kostelec u Holešova 280, PSČ 7684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020515"/>
    <s v="Klub koloběhu pro Zlínský kraj, z.s."/>
    <s v="706"/>
    <x v="1"/>
    <x v="0"/>
    <s v="Zlín"/>
    <s v="Zlín, Okružní 4550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4804"/>
    <s v="Klub křesťanských žen Bystřice pod Hostýnem"/>
    <s v="706"/>
    <x v="1"/>
    <x v="3"/>
    <s v="Bystřice pod Hostýnem"/>
    <s v="Bystřice pod Hostýnem, Rychlov, Přerovská 279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39141"/>
    <s v="Klub křesťanských žen, z.s."/>
    <s v="706"/>
    <x v="1"/>
    <x v="3"/>
    <s v="Bystřice pod Hostýnem"/>
    <s v="Bystřice pod Hostýnem, Rychlov, Přerovská 279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020814"/>
    <s v="Klub lanového centra - CVAK"/>
    <s v="736"/>
    <x v="0"/>
    <x v="0"/>
    <s v="Zlín"/>
    <s v="Zlín, Mladcová, Vinohrádek 568, PSČ 76001"/>
    <s v="94991"/>
    <s v="Činnosti organizací dětí a mládeže"/>
    <m/>
    <m/>
    <m/>
    <m/>
    <m/>
    <m/>
    <m/>
    <m/>
    <m/>
    <m/>
    <m/>
    <m/>
    <m/>
    <m/>
    <m/>
    <m/>
    <m/>
  </r>
  <r>
    <s v="05469571"/>
    <s v="Klub Lila, z.s."/>
    <s v="706"/>
    <x v="1"/>
    <x v="1"/>
    <s v="Bystřička"/>
    <s v="Bystřička 199, PSČ 756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5987"/>
    <s v="KLUB LODNÍCH MODELÁŘŮ MORAVA TEAM modelářský klub p.s."/>
    <s v="736"/>
    <x v="0"/>
    <x v="3"/>
    <s v="Kroměříž"/>
    <s v="Kroměříž, Kazimíra Rudého 3798/7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3694863"/>
    <s v="Klub lyžařů Valašské Klobouky z.s."/>
    <s v="706"/>
    <x v="1"/>
    <x v="0"/>
    <s v="Valašské Klobouky"/>
    <s v="Valašské Klobouky č. ev. 1, PSČ 76601"/>
    <s v="93110"/>
    <s v="Provozování sportovních zařízení"/>
    <s v="Velkoobchod, kromě motorových vozidel"/>
    <s v="Maloobchod, kromě motorových vozidel"/>
    <s v="Ubytování"/>
    <s v="Zprostředkování velkoobchodu a velkoobchod v zastoupení"/>
    <s v="Reklamní činnosti"/>
    <s v="Průzkum trhu a veřejného mínění"/>
    <s v="Ostatní profesní, vědecké a technické činnosti j. n."/>
    <s v="Stravování v restauracích, u stánků a v mobilních zařízeních"/>
    <s v="Pronájem a leasing ostatních výrobků pro osobní potřebu a převážně pro domácnost"/>
    <s v="Ostatní sportovní činnosti"/>
    <m/>
    <m/>
    <m/>
    <m/>
    <m/>
    <m/>
    <m/>
  </r>
  <r>
    <s v="05479231"/>
    <s v="Klub modelářů Kelč, z.s."/>
    <s v="706"/>
    <x v="1"/>
    <x v="1"/>
    <s v="Kelč"/>
    <s v="Kelč 5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840"/>
    <s v="Klub moderní gymnastiky Zlín, z. s.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68130"/>
    <s v="Klub moravských potápěčů, z.s."/>
    <s v="706"/>
    <x v="1"/>
    <x v="0"/>
    <s v="Zlín"/>
    <s v="Zlín, Kudlov, Halova 620, PSČ 76001"/>
    <s v="93190"/>
    <s v="Ostatní sportovní činnosti"/>
    <m/>
    <m/>
    <m/>
    <m/>
    <m/>
    <m/>
    <m/>
    <m/>
    <m/>
    <m/>
    <m/>
    <m/>
    <m/>
    <m/>
    <m/>
    <m/>
    <m/>
  </r>
  <r>
    <s v="06742815"/>
    <s v="Klub Neverending Force, z.s."/>
    <s v="706"/>
    <x v="1"/>
    <x v="0"/>
    <s v="Zlín"/>
    <s v="Zlín, Ševcovská 5221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426552"/>
    <s v="Klub NOX"/>
    <s v="706"/>
    <x v="1"/>
    <x v="1"/>
    <s v="Zašová"/>
    <s v="Zašov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8294"/>
    <s v="Klub občanských a studentských aktivit - K.O.S.A., z.s."/>
    <s v="706"/>
    <x v="1"/>
    <x v="3"/>
    <s v="Holešov"/>
    <s v="Holešov, Bartošova 757/21, PSČ 76901"/>
    <s v="9499"/>
    <s v="Činnosti ostatních organizací sdružujících osoby za účelem prosazování společných zájmů j. n."/>
    <s v="Velkoobchod, kromě motorových vozidel"/>
    <s v="Maloobchod, kromě motorových vozidel"/>
    <s v="Ostatní vzdělávání"/>
    <m/>
    <m/>
    <m/>
    <m/>
    <m/>
    <m/>
    <m/>
    <m/>
    <m/>
    <m/>
    <m/>
    <m/>
    <m/>
    <m/>
  </r>
  <r>
    <s v="18189776"/>
    <s v="Klub orientačního běhu Směr Kroměříž, z.s."/>
    <s v="706"/>
    <x v="1"/>
    <x v="3"/>
    <s v="Kroměříž"/>
    <s v="Kroměříž, Slov. nár. povstání 3988/5, PSČ 76701"/>
    <s v="93110"/>
    <s v="Provozování sportovních zařízení"/>
    <m/>
    <m/>
    <m/>
    <m/>
    <m/>
    <m/>
    <m/>
    <m/>
    <m/>
    <m/>
    <m/>
    <m/>
    <m/>
    <m/>
    <m/>
    <m/>
    <m/>
  </r>
  <r>
    <s v="17923468"/>
    <s v="Klub Otevřená Beseda, z.s."/>
    <s v="706"/>
    <x v="1"/>
    <x v="0"/>
    <s v="Valašské Klobouky"/>
    <s v="Valašské Klobouky, Soukenická 2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10386"/>
    <s v="Klub pinčů České republiky, z.s."/>
    <s v="706"/>
    <x v="1"/>
    <x v="1"/>
    <s v="Vsetín"/>
    <s v="Vsetín, Konečná 1177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478529"/>
    <s v="Klub plastikových modelářů Uherské Hradiště, z. s."/>
    <s v="706"/>
    <x v="1"/>
    <x v="2"/>
    <s v="Uherské Hradiště"/>
    <s v="Uherské Hradiště, Mařatice, Okružní 710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0202"/>
    <s v="Klub plastikových modelářů Zlín"/>
    <s v="706"/>
    <x v="1"/>
    <x v="0"/>
    <s v="Zlín"/>
    <s v="Zlín, Budovatelská 481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86409"/>
    <s v="Klub plastikových modelářů Zlínek"/>
    <s v="706"/>
    <x v="1"/>
    <x v="0"/>
    <s v="Zlín"/>
    <s v="Zlín, Tyršovo nábřeží 80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96829"/>
    <s v="Klub podnikatelů Zašová"/>
    <s v="706"/>
    <x v="1"/>
    <x v="1"/>
    <s v="Zašová"/>
    <s v="Zašová 36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3478"/>
    <s v="Klub potápěčů DONALD KUNOVICE, pobočný spolek SPMS"/>
    <s v="736"/>
    <x v="0"/>
    <x v="2"/>
    <s v="Huštěnovice"/>
    <s v="Huštěnovice 54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5781"/>
    <s v="Klub pro turistiku, přírodu a životní prostředí, zapsaný spolek"/>
    <s v="706"/>
    <x v="1"/>
    <x v="0"/>
    <s v="Zádveřice-Raková"/>
    <s v="Zádveřice-Raková, Raková 3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2866081"/>
    <s v="Klub přátel dětí a mládeže-LUHÁK, z.s."/>
    <s v="706"/>
    <x v="1"/>
    <x v="1"/>
    <s v="Vsetín"/>
    <s v="Vsetín, Jasenická 1544, PSČ 75501"/>
    <s v="94999"/>
    <s v="Činnosti ostatních organizací j. n."/>
    <m/>
    <m/>
    <m/>
    <m/>
    <m/>
    <m/>
    <m/>
    <m/>
    <m/>
    <m/>
    <m/>
    <m/>
    <m/>
    <m/>
    <m/>
    <m/>
    <m/>
  </r>
  <r>
    <s v="02270226"/>
    <s v="Klub přátel dětí a školy při Základní škole Gabry a Málinky Štítná nad Vláří, z.s."/>
    <s v="706"/>
    <x v="1"/>
    <x v="0"/>
    <s v="Štítná nad Vláří-Popov"/>
    <s v="Štítná nad Vláří-Popov, Štítná nad Vláří 417, PSČ 76333"/>
    <s v="94999"/>
    <s v="Činnosti ostatních organizací j. n."/>
    <m/>
    <m/>
    <m/>
    <m/>
    <m/>
    <m/>
    <m/>
    <m/>
    <m/>
    <m/>
    <m/>
    <m/>
    <m/>
    <m/>
    <m/>
    <m/>
    <m/>
  </r>
  <r>
    <s v="48473553"/>
    <s v="Klub přátel divadla Zlín z. s."/>
    <s v="706"/>
    <x v="1"/>
    <x v="0"/>
    <s v="Zlín"/>
    <s v="Zlín, třída Tomáše Bati 409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4466"/>
    <s v="Klub přátel historie města Otrokovice z. s."/>
    <s v="706"/>
    <x v="1"/>
    <x v="0"/>
    <s v="Otrokovice"/>
    <s v="Otrokovice, nám. 3. května 130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15972"/>
    <s v="Klub přátel historie Slavičínska, z.s."/>
    <s v="706"/>
    <x v="1"/>
    <x v="0"/>
    <s v="Slavičín"/>
    <s v="Slavičín, Horní náměstí 102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728057"/>
    <s v="Klub přátel Junáka Vsetín"/>
    <s v="706"/>
    <x v="1"/>
    <x v="1"/>
    <s v="Vsetín"/>
    <s v="Vsetín, Smetanova 818, PSČ 75501"/>
    <s v="94991"/>
    <s v="Činnosti organizací dětí a mládeže"/>
    <m/>
    <m/>
    <m/>
    <m/>
    <m/>
    <m/>
    <m/>
    <m/>
    <m/>
    <m/>
    <m/>
    <m/>
    <m/>
    <m/>
    <m/>
    <m/>
    <m/>
  </r>
  <r>
    <s v="27024067"/>
    <s v="Klub přátel opevnění"/>
    <s v="706"/>
    <x v="1"/>
    <x v="1"/>
    <s v="Rožnov pod Radhoštěm"/>
    <s v="Rožnov pod Radhoštěm, Čs. armády 1248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00508"/>
    <s v="Klub přátel ruských plemen Moravia"/>
    <s v="706"/>
    <x v="1"/>
    <x v="2"/>
    <s v="Kunovice"/>
    <s v="Kunovice, Osvobození 580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68903"/>
    <s v="Klub přátel školy a studia"/>
    <s v="706"/>
    <x v="1"/>
    <x v="0"/>
    <s v="Zlín"/>
    <s v="Zlín, Kostelec, Obilná 540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956557"/>
    <s v="Klub přátel školy Pod vinohrady, Uherský Brod"/>
    <s v="706"/>
    <x v="1"/>
    <x v="2"/>
    <s v="Uherský Brod"/>
    <s v="Uherský Brod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3799"/>
    <s v="Klub přátel vína, z.s."/>
    <s v="706"/>
    <x v="1"/>
    <x v="2"/>
    <s v="Staré Město"/>
    <s v="Staré Město, náměstí Hrdinů 10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35942"/>
    <s v="Klub přátel Základní umělecké školy v Uherském Brodě, z. s."/>
    <s v="706"/>
    <x v="1"/>
    <x v="2"/>
    <s v="Uherský Brod"/>
    <s v="Uherský Brod, Mariánské nám. 65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38511"/>
    <s v="Klub přátel ZŠ Šafaříkova, Valašské Meziříčí"/>
    <s v="706"/>
    <x v="1"/>
    <x v="1"/>
    <s v="Valašské Meziříčí"/>
    <s v="Valašské Meziříčí, Šafaříkova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3143"/>
    <s v="Klub rekreační tělovýchovy a turistiky Staré Město,z.s."/>
    <s v="706"/>
    <x v="1"/>
    <x v="2"/>
    <s v="Staré Město"/>
    <s v="Staré Město, Brněnská 1249, PSČ 68603"/>
    <s v="93110"/>
    <s v="Provozování sportovních zařízení"/>
    <m/>
    <m/>
    <m/>
    <m/>
    <m/>
    <m/>
    <m/>
    <m/>
    <m/>
    <m/>
    <m/>
    <m/>
    <m/>
    <m/>
    <m/>
    <m/>
    <m/>
  </r>
  <r>
    <s v="70834423"/>
    <s v="Klub rekreačních sportů"/>
    <s v="706"/>
    <x v="1"/>
    <x v="0"/>
    <s v="Zlín"/>
    <s v="Zlín, Mladcová, U Hřiště 457, PSČ 76001"/>
    <s v="93120"/>
    <s v="Činnosti sportovních klubů"/>
    <m/>
    <m/>
    <m/>
    <m/>
    <m/>
    <m/>
    <m/>
    <m/>
    <m/>
    <m/>
    <m/>
    <m/>
    <m/>
    <m/>
    <m/>
    <m/>
    <m/>
  </r>
  <r>
    <s v="70827044"/>
    <s v="Klub rodičů a přátel SOŠ v Holešově, Pivovarská 1419"/>
    <s v="706"/>
    <x v="1"/>
    <x v="3"/>
    <s v="Holešov"/>
    <s v="Holešov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90316"/>
    <s v="Klub rodičů a přátel školy při Gymnáziu Ladislava Jaroše Holešov, z.s."/>
    <s v="706"/>
    <x v="1"/>
    <x v="3"/>
    <s v="Holešov"/>
    <s v="Holešov, Masarykova 65/3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728131"/>
    <s v="Klub rodičů a přátel školy při SOŠ Luhačovice z.s."/>
    <s v="706"/>
    <x v="1"/>
    <x v="0"/>
    <s v="Luhačovice"/>
    <s v="Luhačovice, Masarykova l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8984"/>
    <s v="Klub rodičů a přátel školy při Základní škole v Hulíně, z.s."/>
    <s v="706"/>
    <x v="1"/>
    <x v="3"/>
    <s v="Hulín"/>
    <s v="Hulín, Nábřeží 938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4642"/>
    <s v="Klub rodičů a přátel Základní školy Josefa Bublíka, Bánov, z. s."/>
    <s v="706"/>
    <x v="1"/>
    <x v="2"/>
    <s v="Bánov"/>
    <s v="Bánov 507, PSČ 68754"/>
    <s v="94999"/>
    <s v="Činnosti ostatních organizací j. n."/>
    <m/>
    <m/>
    <m/>
    <m/>
    <m/>
    <m/>
    <m/>
    <m/>
    <m/>
    <m/>
    <m/>
    <m/>
    <m/>
    <m/>
    <m/>
    <m/>
    <m/>
  </r>
  <r>
    <s v="02437805"/>
    <s v="Klub rodičů a přátel ZŠ a MŠ Komňa"/>
    <s v="706"/>
    <x v="1"/>
    <x v="2"/>
    <s v="Komňa"/>
    <s v="Komňa 169, PSČ 68771"/>
    <s v="94999"/>
    <s v="Činnosti ostatních organizací j. n."/>
    <m/>
    <m/>
    <m/>
    <m/>
    <m/>
    <m/>
    <m/>
    <m/>
    <m/>
    <m/>
    <m/>
    <m/>
    <m/>
    <m/>
    <m/>
    <m/>
    <m/>
  </r>
  <r>
    <s v="62181556"/>
    <s v="Klub rodičů a přátel ZŠ a MŠ Vlachovice, z.s."/>
    <s v="706"/>
    <x v="1"/>
    <x v="0"/>
    <s v="Vlachovice"/>
    <s v="Vlachovice 246, PSČ 763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5272"/>
    <s v="Klub rodičů a přátel ZŠ Koryčany, o.s."/>
    <s v="706"/>
    <x v="1"/>
    <x v="3"/>
    <s v="Koryčany"/>
    <s v="Koryčany, Masarykova 161, Z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24975"/>
    <s v="Klub rodičů při Gymnáziu Valašské Klobouky, z. s."/>
    <s v="706"/>
    <x v="1"/>
    <x v="0"/>
    <s v="Valašské Klobouky"/>
    <s v="Valašské Klobouky, Masarykovo náměstí 103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500124"/>
    <s v="Klub rodičů při MŠ Zlín, Česká"/>
    <s v="706"/>
    <x v="1"/>
    <x v="0"/>
    <s v="Zlín"/>
    <s v="Zlín"/>
    <s v="94999"/>
    <s v="Činnosti ostatních organizací j. n."/>
    <m/>
    <m/>
    <m/>
    <m/>
    <m/>
    <m/>
    <m/>
    <m/>
    <m/>
    <m/>
    <m/>
    <m/>
    <m/>
    <m/>
    <m/>
    <m/>
    <m/>
  </r>
  <r>
    <s v="48472093"/>
    <s v="Klub rodičů při Základní škole Zlín, Křiby 4788, z.s."/>
    <s v="706"/>
    <x v="1"/>
    <x v="0"/>
    <s v="Zlín"/>
    <s v="Zlín, Křiby 478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6357"/>
    <s v="Klub rodičů při Základní škole, z.s."/>
    <s v="706"/>
    <x v="1"/>
    <x v="0"/>
    <s v="Zlín"/>
    <s v="Zlín, Univerzitní 270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069071"/>
    <s v="Klub rodičů při ZŠ a MŠ Nedašov, z. s."/>
    <s v="706"/>
    <x v="1"/>
    <x v="0"/>
    <s v="Nedašov"/>
    <s v="Nedašov 294, PSČ 763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7851"/>
    <s v="Klub rodičů při ZŠ Bratrství Čechů a Slováků Bystřice p.Hostýnem z.s."/>
    <s v="706"/>
    <x v="1"/>
    <x v="3"/>
    <s v="Bystřice pod Hostýnem"/>
    <s v="Bystřice pod Hostýnem, Pod Zábřehem 1100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545617"/>
    <s v="Klub rodičů při ZŠ Slušovice, z.s."/>
    <s v="706"/>
    <x v="1"/>
    <x v="0"/>
    <s v="Slušovice"/>
    <s v="Slušovice, Školní 222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4716"/>
    <s v="Klub rodičů při ZŠ Topolná, z.s."/>
    <s v="706"/>
    <x v="1"/>
    <x v="2"/>
    <s v="Topolná"/>
    <s v="Topolná 101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145225"/>
    <s v="Klub rodičů při 1. ZŠ Komenského - Napajedla z.s."/>
    <s v="706"/>
    <x v="1"/>
    <x v="0"/>
    <s v="Napajedla"/>
    <s v="Napajedla, Komenského 268, PSČ 76361"/>
    <s v="94999"/>
    <s v="Činnosti ostatních organizací j. n."/>
    <m/>
    <m/>
    <m/>
    <m/>
    <m/>
    <m/>
    <m/>
    <m/>
    <m/>
    <m/>
    <m/>
    <m/>
    <m/>
    <m/>
    <m/>
    <m/>
    <m/>
  </r>
  <r>
    <s v="67008739"/>
    <s v="Klub rodičů ZŠ Chvalčov, z.s."/>
    <s v="706"/>
    <x v="1"/>
    <x v="3"/>
    <s v="Chvalčov"/>
    <s v="Chvalčov, Školní 633, PSČ 76872"/>
    <s v="9499"/>
    <s v="Činnosti ostatních organizací sdružujících osoby za účelem prosazování společných zájmů j. n."/>
    <s v="Shromažďování, sběr a odstraňování odpadů, úprava odpadů k dalšímu využití"/>
    <s v="Destilace, rektifikace a míchání lihovin"/>
    <s v="Stravování v restauracích, u stánků a v mobilních zařízeních"/>
    <s v="Podpůrné činnosti pro scénická umění"/>
    <m/>
    <m/>
    <m/>
    <m/>
    <m/>
    <m/>
    <m/>
    <m/>
    <m/>
    <m/>
    <m/>
    <m/>
    <m/>
  </r>
  <r>
    <s v="08982180"/>
    <s v="Klub rodičů ZŠ Čtverka z.s."/>
    <s v="706"/>
    <x v="1"/>
    <x v="2"/>
    <s v="Uherský Brod"/>
    <s v="Uherský Brod, Na Výsluní 2047, PSČ 68801"/>
    <s v="94991"/>
    <s v="Činnosti organizací dětí a mládeže"/>
    <m/>
    <m/>
    <m/>
    <m/>
    <m/>
    <m/>
    <m/>
    <m/>
    <m/>
    <m/>
    <m/>
    <m/>
    <m/>
    <m/>
    <m/>
    <m/>
    <m/>
  </r>
  <r>
    <s v="70284130"/>
    <s v="Klub RX Billiard Uh.Hradiště"/>
    <s v="706"/>
    <x v="1"/>
    <x v="2"/>
    <s v="Uherské Hradiště"/>
    <s v="Uherské Hradiště, Růžová 7"/>
    <s v="93120"/>
    <s v="Činnosti sportovních klubů"/>
    <m/>
    <m/>
    <m/>
    <m/>
    <m/>
    <m/>
    <m/>
    <m/>
    <m/>
    <m/>
    <m/>
    <m/>
    <m/>
    <m/>
    <m/>
    <m/>
    <m/>
  </r>
  <r>
    <s v="69649359"/>
    <s v="Klub sázkařů live JACKPOT"/>
    <s v="706"/>
    <x v="1"/>
    <x v="0"/>
    <s v="Otrokovice"/>
    <s v="Svobodova 1305, Otrokov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0006"/>
    <s v="Klub seniorů Bánov"/>
    <s v="706"/>
    <x v="1"/>
    <x v="2"/>
    <s v="Bánov"/>
    <s v="Bánov 700, PSČ 687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3811"/>
    <s v="Klub seniorů Hulín - Marie Lačíková"/>
    <s v="706"/>
    <x v="1"/>
    <x v="3"/>
    <s v="Hulín"/>
    <s v="Hulín, Družba 1196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09985"/>
    <s v="Klub seniorů Lačnov z.s."/>
    <s v="706"/>
    <x v="1"/>
    <x v="1"/>
    <s v="Lačnov"/>
    <s v="Lačnov 158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91460"/>
    <s v="Klub seniorů Ludslavice, z.s."/>
    <s v="706"/>
    <x v="1"/>
    <x v="3"/>
    <s v="Ludslavice"/>
    <s v="Ludslavice 4, PSČ 768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62754"/>
    <s v="Klub seniorů města Kroměříže, z.s."/>
    <s v="706"/>
    <x v="1"/>
    <x v="3"/>
    <s v="Kroměříž"/>
    <s v="Kroměříž, Velehradská 625/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8458"/>
    <s v="Klub seniorů Ostrožská Lhota, z.s."/>
    <s v="706"/>
    <x v="1"/>
    <x v="2"/>
    <s v="Ostrožská Lhota"/>
    <s v="Ostrožská Lhota 461, PSČ 687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562878"/>
    <s v="Klub seniorů Rožnov pod Radhoštěm, z.s."/>
    <s v="706"/>
    <x v="1"/>
    <x v="1"/>
    <s v="Rožnov pod Radhoštěm"/>
    <s v="Rožnov pod Radhoštěm, 1. máje 100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2741"/>
    <s v="Klub seniorů Sehradice"/>
    <s v="706"/>
    <x v="1"/>
    <x v="0"/>
    <s v="Sehradice"/>
    <s v="Sehradice 64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17825"/>
    <s v="Klub seniorů Sehradice z.s."/>
    <s v="706"/>
    <x v="1"/>
    <x v="0"/>
    <s v="Sehradice"/>
    <s v="Sehradice 64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082254"/>
    <s v="Klub seniorů Šumice z.s."/>
    <s v="706"/>
    <x v="1"/>
    <x v="2"/>
    <s v="Šumice"/>
    <s v="Šumice 400, PSČ 687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711520"/>
    <s v="Klub seniorů UB z.s."/>
    <s v="706"/>
    <x v="1"/>
    <x v="2"/>
    <s v="Uherský Brod"/>
    <s v="Uherský Brod, Kaunicova 7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0927"/>
    <s v="Klub seniorů Valašské Klobouky, z. s."/>
    <s v="706"/>
    <x v="1"/>
    <x v="0"/>
    <s v="Valašské Klobouky"/>
    <s v="Valašské Klobouky, U Náhonu 100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07656"/>
    <s v="Klub skalkařů Zlín, z.s."/>
    <s v="706"/>
    <x v="1"/>
    <x v="0"/>
    <s v="Zlín"/>
    <s v="Zlín, Slovenská 283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8393"/>
    <s v="Klub společenských tanců Aleše a Dany Mědílkových Zlín, z.s."/>
    <s v="706"/>
    <x v="1"/>
    <x v="0"/>
    <s v="Zlín"/>
    <s v="Zlín, Gahurova 5265, PSČ 76001"/>
    <s v="90030"/>
    <s v="Umělecká tvorba"/>
    <m/>
    <m/>
    <m/>
    <m/>
    <m/>
    <m/>
    <m/>
    <m/>
    <m/>
    <m/>
    <m/>
    <m/>
    <m/>
    <m/>
    <m/>
    <m/>
    <m/>
  </r>
  <r>
    <s v="70238651"/>
    <s v="Klub sportovní gymnastiky Rožnov"/>
    <s v="706"/>
    <x v="1"/>
    <x v="1"/>
    <s v="Rožnov pod Radhoštěm"/>
    <s v="Rožnov pod Radhoštěm, 5. května 1700, PSČ 75661"/>
    <s v="93120"/>
    <s v="Činnosti sportovních klubů"/>
    <m/>
    <m/>
    <m/>
    <m/>
    <m/>
    <m/>
    <m/>
    <m/>
    <m/>
    <m/>
    <m/>
    <m/>
    <m/>
    <m/>
    <m/>
    <m/>
    <m/>
  </r>
  <r>
    <s v="27045307"/>
    <s v="Klub sportovních aktivit Zlín, o.s."/>
    <s v="706"/>
    <x v="1"/>
    <x v="0"/>
    <s v="Zlín"/>
    <s v="Zlín, Klabalská 4988"/>
    <s v="93110"/>
    <s v="Provozování sportovních zařízení"/>
    <m/>
    <m/>
    <m/>
    <m/>
    <m/>
    <m/>
    <m/>
    <m/>
    <m/>
    <m/>
    <m/>
    <m/>
    <m/>
    <m/>
    <m/>
    <m/>
    <m/>
  </r>
  <r>
    <s v="22761578"/>
    <s v="Klub sportovních aktivit z.s."/>
    <s v="706"/>
    <x v="1"/>
    <x v="0"/>
    <s v="Zlín"/>
    <s v="Zlín, U Stadionu 3299, PSČ 76001"/>
    <s v="93190"/>
    <s v="Ostatní sportovní činnosti"/>
    <m/>
    <m/>
    <m/>
    <m/>
    <m/>
    <m/>
    <m/>
    <m/>
    <m/>
    <m/>
    <m/>
    <m/>
    <m/>
    <m/>
    <m/>
    <m/>
    <m/>
  </r>
  <r>
    <s v="22712933"/>
    <s v="KLUB SPORTOVNÍHO LYŽOVÁNÍ BTL KROMĚŘÍŽ z.s."/>
    <s v="706"/>
    <x v="1"/>
    <x v="3"/>
    <s v="Kroměříž"/>
    <s v="Kroměříž, Stoličkova 2068/78, PSČ 76701"/>
    <s v="93190"/>
    <s v="Ostatní sportovní činnosti"/>
    <m/>
    <m/>
    <m/>
    <m/>
    <m/>
    <m/>
    <m/>
    <m/>
    <m/>
    <m/>
    <m/>
    <m/>
    <m/>
    <m/>
    <m/>
    <m/>
    <m/>
  </r>
  <r>
    <s v="22850571"/>
    <s v="Klub sportovního tance Swing Kroměříž, z.s."/>
    <s v="706"/>
    <x v="1"/>
    <x v="3"/>
    <s v="Kroměříž"/>
    <s v="Kroměříž, Vážany, Příčná 151/26, PSČ 76701"/>
    <s v="93190"/>
    <s v="Ostatní sportovní činnosti"/>
    <m/>
    <m/>
    <m/>
    <m/>
    <m/>
    <m/>
    <m/>
    <m/>
    <m/>
    <m/>
    <m/>
    <m/>
    <m/>
    <m/>
    <m/>
    <m/>
    <m/>
  </r>
  <r>
    <s v="26533308"/>
    <s v="Klub stolního tenisu Dolní Němčí, z.s."/>
    <s v="706"/>
    <x v="1"/>
    <x v="2"/>
    <s v="Dolní Němčí"/>
    <s v="Dolní Němčí, Školní 606, PSČ 687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422470"/>
    <s v="Klub stolního tenisu Količín"/>
    <s v="706"/>
    <x v="1"/>
    <x v="3"/>
    <s v="Holešov"/>
    <s v="Holešov, Količín 21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505396"/>
    <s v="Klub stolního tenisu Ořechov - Vážany, z.s."/>
    <s v="706"/>
    <x v="1"/>
    <x v="2"/>
    <s v="Ořechov"/>
    <s v="Ořechov 105, PSČ 68737"/>
    <s v="93120"/>
    <s v="Činnosti sportovních klubů"/>
    <m/>
    <m/>
    <m/>
    <m/>
    <m/>
    <m/>
    <m/>
    <m/>
    <m/>
    <m/>
    <m/>
    <m/>
    <m/>
    <m/>
    <m/>
    <m/>
    <m/>
  </r>
  <r>
    <s v="08482730"/>
    <s v="Klub stolního tenisu Počenice z.s."/>
    <s v="706"/>
    <x v="1"/>
    <x v="3"/>
    <s v="Počenice-Tetětice"/>
    <s v="Počenice-Tetětice, Počenice 74, PSČ 76833"/>
    <s v="93190"/>
    <s v="Ostatní sportovní činnosti"/>
    <m/>
    <m/>
    <m/>
    <m/>
    <m/>
    <m/>
    <m/>
    <m/>
    <m/>
    <m/>
    <m/>
    <m/>
    <m/>
    <m/>
    <m/>
    <m/>
    <m/>
  </r>
  <r>
    <s v="22717072"/>
    <s v="Klub stolního tenisu Ratiboř, občanské sdružení"/>
    <s v="706"/>
    <x v="1"/>
    <x v="1"/>
    <s v="Ratiboř"/>
    <s v="Ratiboř 21, PSČ 75621"/>
    <s v="93120"/>
    <s v="Činnosti sportovních klubů"/>
    <m/>
    <m/>
    <m/>
    <m/>
    <m/>
    <m/>
    <m/>
    <m/>
    <m/>
    <m/>
    <m/>
    <m/>
    <m/>
    <m/>
    <m/>
    <m/>
    <m/>
  </r>
  <r>
    <s v="06170501"/>
    <s v="Klub stolního tenisu Vsetín, z.s."/>
    <s v="706"/>
    <x v="1"/>
    <x v="1"/>
    <s v="Vsetín"/>
    <s v="Vsetín, Horní Jasenka 269, PSČ 75501"/>
    <s v="93120"/>
    <s v="Činnosti sportovních klubů"/>
    <m/>
    <m/>
    <m/>
    <m/>
    <m/>
    <m/>
    <m/>
    <m/>
    <m/>
    <m/>
    <m/>
    <m/>
    <m/>
    <m/>
    <m/>
    <m/>
    <m/>
  </r>
  <r>
    <s v="22864881"/>
    <s v="Klub stolního tenisu Vsetín,občanské sdružení"/>
    <s v="706"/>
    <x v="1"/>
    <x v="1"/>
    <s v="Vsetín"/>
    <s v="Vsetín, Nad Zámkem 24, PSČ 75501"/>
    <s v="93110"/>
    <s v="Provozování sportovních zařízení"/>
    <m/>
    <m/>
    <m/>
    <m/>
    <m/>
    <m/>
    <m/>
    <m/>
    <m/>
    <m/>
    <m/>
    <m/>
    <m/>
    <m/>
    <m/>
    <m/>
    <m/>
  </r>
  <r>
    <s v="27034941"/>
    <s v="Klub stomiků Kroměříž"/>
    <s v="706"/>
    <x v="1"/>
    <x v="3"/>
    <s v="Kroměříž"/>
    <s v="Kroměříž, Havlíčkova 660/69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1715808"/>
    <s v="Klub stomiků Zlín, z.s."/>
    <s v="706"/>
    <x v="1"/>
    <x v="0"/>
    <s v="Zlín"/>
    <s v="Zlín, Havlíčkovo nábř.600  Kraj.nemocnice T.Bati a.s.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60383151"/>
    <s v="Klub Straton Kroměříž, z.s."/>
    <s v="706"/>
    <x v="1"/>
    <x v="3"/>
    <s v="Míškovice"/>
    <s v="Míškovice 5, PSČ 76852"/>
    <s v="93120"/>
    <s v="Činnosti sportovních klubů"/>
    <m/>
    <m/>
    <m/>
    <m/>
    <m/>
    <m/>
    <m/>
    <m/>
    <m/>
    <m/>
    <m/>
    <m/>
    <m/>
    <m/>
    <m/>
    <m/>
    <m/>
  </r>
  <r>
    <s v="26993848"/>
    <s v="Klub Světlov Bojkovice, z.s."/>
    <s v="706"/>
    <x v="1"/>
    <x v="2"/>
    <s v="Bojkovice"/>
    <s v="Bojkovice, Sušilova 952, PSČ 68771"/>
    <s v="93110"/>
    <s v="Provozování sportovních zařízení"/>
    <m/>
    <m/>
    <m/>
    <m/>
    <m/>
    <m/>
    <m/>
    <m/>
    <m/>
    <m/>
    <m/>
    <m/>
    <m/>
    <m/>
    <m/>
    <m/>
    <m/>
  </r>
  <r>
    <s v="70892555"/>
    <s v="Klub Taekwondo WTF Zlín, z. s."/>
    <s v="706"/>
    <x v="1"/>
    <x v="0"/>
    <s v="Zlín"/>
    <s v="Zlín, Dolní 2358, PSČ 76001"/>
    <s v="93120"/>
    <s v="Činnosti sportovních klubů"/>
    <m/>
    <m/>
    <m/>
    <m/>
    <m/>
    <m/>
    <m/>
    <m/>
    <m/>
    <m/>
    <m/>
    <m/>
    <m/>
    <m/>
    <m/>
    <m/>
    <m/>
  </r>
  <r>
    <s v="26524538"/>
    <s v="Klub Tai Ji Quan Zlín, z. s."/>
    <s v="706"/>
    <x v="1"/>
    <x v="0"/>
    <s v="Zlín"/>
    <s v="Zlín, Jílová 456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0909"/>
    <s v="&quot;Klub tetiček, strýců a jejich následovníků&quot;"/>
    <s v="706"/>
    <x v="1"/>
    <x v="2"/>
    <s v="Kunovice"/>
    <s v="Kunovice, náměstí Svobody 361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9669"/>
    <s v="Klub umění a řemesel, o. s."/>
    <s v="706"/>
    <x v="1"/>
    <x v="3"/>
    <s v="Holešov"/>
    <s v="Holešov, nám. Svobody 104/8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778"/>
    <s v="Klub UNESCO Kroměříž"/>
    <s v="706"/>
    <x v="1"/>
    <x v="3"/>
    <s v="Kroměříž"/>
    <s v="Kroměříž, Riegrovo náměstí 149/33, PSČ 76701"/>
    <s v="93290"/>
    <s v="Ostatní zábavní a rekreační činnosti j. n."/>
    <m/>
    <m/>
    <m/>
    <m/>
    <m/>
    <m/>
    <m/>
    <m/>
    <m/>
    <m/>
    <m/>
    <m/>
    <m/>
    <m/>
    <m/>
    <m/>
    <m/>
  </r>
  <r>
    <s v="16360851"/>
    <s v="Klub úplně fantastické rekreace"/>
    <s v="706"/>
    <x v="1"/>
    <x v="2"/>
    <s v="Uherské Hradiště"/>
    <s v="Uherské Hradiště, Otakarova 81, PSČ 68601"/>
    <s v="93120"/>
    <s v="Činnosti sportovních klubů"/>
    <m/>
    <m/>
    <m/>
    <m/>
    <m/>
    <m/>
    <m/>
    <m/>
    <m/>
    <m/>
    <m/>
    <m/>
    <m/>
    <m/>
    <m/>
    <m/>
    <m/>
  </r>
  <r>
    <s v="26629992"/>
    <s v="Klub valašských horolezců"/>
    <s v="706"/>
    <x v="1"/>
    <x v="0"/>
    <s v="Vizovice"/>
    <s v="Vizovice, Lázeňská 1195, PSČ 76312"/>
    <s v="93110"/>
    <s v="Provozování sportovních zařízení"/>
    <m/>
    <m/>
    <m/>
    <m/>
    <m/>
    <m/>
    <m/>
    <m/>
    <m/>
    <m/>
    <m/>
    <m/>
    <m/>
    <m/>
    <m/>
    <m/>
    <m/>
  </r>
  <r>
    <s v="65842219"/>
    <s v=",,Klub vodáků KOCÁBKA Bystřice pod Hostýnem´´"/>
    <s v="706"/>
    <x v="1"/>
    <x v="3"/>
    <s v="Bystřice pod Hostýnem"/>
    <s v="Bystřice pod Hostýnem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934770"/>
    <s v="Klub Vodáků Zubří"/>
    <s v="736"/>
    <x v="0"/>
    <x v="1"/>
    <s v="Zubří"/>
    <s v="Zubří"/>
    <s v="93110"/>
    <s v="Provozování sportovních zařízení"/>
    <m/>
    <m/>
    <m/>
    <m/>
    <m/>
    <m/>
    <m/>
    <m/>
    <m/>
    <m/>
    <m/>
    <m/>
    <m/>
    <m/>
    <m/>
    <m/>
    <m/>
  </r>
  <r>
    <s v="71160531"/>
    <s v="Klub vojáků v záloze Březolupy"/>
    <s v="736"/>
    <x v="0"/>
    <x v="2"/>
    <s v="Březolupy"/>
    <s v="Březolupy 586, PSČ 68713"/>
    <s v="931"/>
    <s v="Sportovní činnosti"/>
    <m/>
    <m/>
    <m/>
    <m/>
    <m/>
    <m/>
    <m/>
    <m/>
    <m/>
    <m/>
    <m/>
    <m/>
    <m/>
    <m/>
    <m/>
    <m/>
    <m/>
  </r>
  <r>
    <s v="65469356"/>
    <s v="Klub vojáků v záloze CELNÍ STRÁŽ Nový Hrozenkov"/>
    <s v="736"/>
    <x v="0"/>
    <x v="1"/>
    <s v="Nový Hrozenkov"/>
    <s v="Nový Hrozenkov 571, PSČ 75604"/>
    <s v="93120"/>
    <s v="Činnosti sportovních klubů"/>
    <m/>
    <m/>
    <m/>
    <m/>
    <m/>
    <m/>
    <m/>
    <m/>
    <m/>
    <m/>
    <m/>
    <m/>
    <m/>
    <m/>
    <m/>
    <m/>
    <m/>
  </r>
  <r>
    <s v="64467023"/>
    <s v="Klub vojáků v záloze Halenkovice"/>
    <s v="736"/>
    <x v="0"/>
    <x v="0"/>
    <s v="Halenkovice"/>
    <s v="Halenkovice 192, PSČ 76363"/>
    <s v="93110"/>
    <s v="Provozování sportovních zařízení"/>
    <m/>
    <m/>
    <m/>
    <m/>
    <m/>
    <m/>
    <m/>
    <m/>
    <m/>
    <m/>
    <m/>
    <m/>
    <m/>
    <m/>
    <m/>
    <m/>
    <m/>
  </r>
  <r>
    <s v="65270398"/>
    <s v="Klub vojáků v záloze Kostelec u Holešova"/>
    <s v="736"/>
    <x v="0"/>
    <x v="3"/>
    <s v="Kostelec u Holešova"/>
    <s v="Kostelec u Holešova 188, PSČ 768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70380"/>
    <s v="Klub vojáků v záloze Kroměříž"/>
    <s v="736"/>
    <x v="0"/>
    <x v="3"/>
    <s v="Kroměříž"/>
    <s v="Kroměříž, Těšnovice 15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75774"/>
    <s v="Klub vojáků v záloze Kvasice"/>
    <s v="736"/>
    <x v="0"/>
    <x v="3"/>
    <s v="Kvasice"/>
    <s v="Kvasice, Čtvrtky 677, PSČ 76821"/>
    <s v="93110"/>
    <s v="Provozování sportovních zařízení"/>
    <m/>
    <m/>
    <m/>
    <m/>
    <m/>
    <m/>
    <m/>
    <m/>
    <m/>
    <m/>
    <m/>
    <m/>
    <m/>
    <m/>
    <m/>
    <m/>
    <m/>
  </r>
  <r>
    <s v="66598664"/>
    <s v="Klub vojáků v záloze Loučka"/>
    <s v="736"/>
    <x v="0"/>
    <x v="0"/>
    <s v="Loučka"/>
    <s v="Loučka 123, PSČ 76325"/>
    <s v="93110"/>
    <s v="Provozování sportovních zařízení"/>
    <m/>
    <m/>
    <m/>
    <m/>
    <m/>
    <m/>
    <m/>
    <m/>
    <m/>
    <m/>
    <m/>
    <m/>
    <m/>
    <m/>
    <m/>
    <m/>
    <m/>
  </r>
  <r>
    <s v="64467007"/>
    <s v="Klub vojáků v záloze Napajedla"/>
    <s v="736"/>
    <x v="0"/>
    <x v="0"/>
    <s v="Napajedla"/>
    <s v="Napajedla, Zámoraví 17, PSČ 76361"/>
    <s v="93110"/>
    <s v="Provozování sportovních zařízení"/>
    <m/>
    <m/>
    <m/>
    <m/>
    <m/>
    <m/>
    <m/>
    <m/>
    <m/>
    <m/>
    <m/>
    <m/>
    <m/>
    <m/>
    <m/>
    <m/>
    <m/>
  </r>
  <r>
    <s v="64124169"/>
    <s v="Klub vojáků v záloze Rožnov pod Radhoštěm"/>
    <s v="736"/>
    <x v="0"/>
    <x v="1"/>
    <s v="Rožnov pod Radhoštěm"/>
    <s v="Rožnov pod Radhoštěm, Uhliska 288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2557"/>
    <s v="Klub vojáků v záloze Uherské Hradiště"/>
    <s v="736"/>
    <x v="0"/>
    <x v="2"/>
    <s v="Kněžpole"/>
    <s v="Kněžpole 57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469615"/>
    <s v="Klub vojáků v záloze Valašské Meziříčí"/>
    <s v="736"/>
    <x v="0"/>
    <x v="1"/>
    <s v="Valašské Meziříčí"/>
    <s v="Valašské Meziříčí, Sokolská 1088, PSČ 75701"/>
    <s v="93120"/>
    <s v="Činnosti sportovních klubů"/>
    <m/>
    <m/>
    <m/>
    <m/>
    <m/>
    <m/>
    <m/>
    <m/>
    <m/>
    <m/>
    <m/>
    <m/>
    <m/>
    <m/>
    <m/>
    <m/>
    <m/>
  </r>
  <r>
    <s v="64123600"/>
    <s v="Klub vojáků v záloze VALAŠSKO Valašské Meziříčí"/>
    <s v="736"/>
    <x v="0"/>
    <x v="1"/>
    <s v="Valašské Meziříčí"/>
    <s v="Valašské Meziříčí, Tolstého 1136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057017"/>
    <s v="Klub vojáků v záloze VRT Kroměříž"/>
    <s v="736"/>
    <x v="0"/>
    <x v="3"/>
    <s v="Kroměříž"/>
    <s v="Kroměříž, Žerotínova 2910/57, PSČ 76701"/>
    <s v="93110"/>
    <s v="Provozování sportovních zařízení"/>
    <m/>
    <m/>
    <m/>
    <m/>
    <m/>
    <m/>
    <m/>
    <m/>
    <m/>
    <m/>
    <m/>
    <m/>
    <m/>
    <m/>
    <m/>
    <m/>
    <m/>
  </r>
  <r>
    <s v="64124177"/>
    <s v="Klub vojáků v záloze Vsetín - město"/>
    <s v="736"/>
    <x v="0"/>
    <x v="1"/>
    <s v="Ústí"/>
    <s v="Ústí 176, PSČ 75501"/>
    <s v="93120"/>
    <s v="Činnosti sportovních klubů"/>
    <m/>
    <m/>
    <m/>
    <m/>
    <m/>
    <m/>
    <m/>
    <m/>
    <m/>
    <m/>
    <m/>
    <m/>
    <m/>
    <m/>
    <m/>
    <m/>
    <m/>
  </r>
  <r>
    <s v="64124151"/>
    <s v="Klub vojáků v záloze ZBROJOVKA Vsetín"/>
    <s v="736"/>
    <x v="0"/>
    <x v="1"/>
    <s v="Nový Hrozenkov"/>
    <s v="Nový Hrozenkov 688, PSČ 75604"/>
    <s v="9499"/>
    <s v="Činnosti ostatních organizací sdružujících osoby za účelem prosazování společných zájmů j. n."/>
    <s v="Sportovní činnosti"/>
    <m/>
    <m/>
    <m/>
    <m/>
    <m/>
    <m/>
    <m/>
    <m/>
    <m/>
    <m/>
    <m/>
    <m/>
    <m/>
    <m/>
    <m/>
    <m/>
  </r>
  <r>
    <s v="22880119"/>
    <s v="Klub vojenské historie francouzského císařství Bystřice pod Hostýnem z.s."/>
    <s v="706"/>
    <x v="1"/>
    <x v="3"/>
    <s v="Bystřice pod Hostýnem"/>
    <s v="Bystřice pod Hostýnem, Pod Platany 1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3248"/>
    <s v="&quot;Klub vojenské historie Hraničářský pluk 19 z.s.&quot;"/>
    <s v="706"/>
    <x v="1"/>
    <x v="2"/>
    <s v="Staré Město"/>
    <s v="Staré Město, Brněnská 195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67845"/>
    <s v="Klub vojenské historie Litava, z.s."/>
    <s v="706"/>
    <x v="1"/>
    <x v="0"/>
    <s v="Otrokovice"/>
    <s v="Otrokovice, Dr. E. Beneše 311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6525"/>
    <s v="Klub vojenské historie Painballu a Air -Softu Bystřice p.Host."/>
    <s v="706"/>
    <x v="1"/>
    <x v="3"/>
    <s v="Bystřice pod Hostýnem"/>
    <s v="Bystřice pod Hostýnem, Palackého 1177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9901"/>
    <s v="Klub vojenské historie SAAR"/>
    <s v="706"/>
    <x v="1"/>
    <x v="0"/>
    <s v="Zlín"/>
    <s v="Zlín, Pod Vrškem 231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5913"/>
    <s v="Klub vojenské historie Slavičín"/>
    <s v="706"/>
    <x v="1"/>
    <x v="0"/>
    <s v="Slavičín"/>
    <s v="Slavičín, Okružní 659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79685"/>
    <s v="Klub vojenské historie Valaši, z. s."/>
    <s v="706"/>
    <x v="1"/>
    <x v="0"/>
    <s v="Valašské Klobouky"/>
    <s v="Valašské Klobouky, Cyrilometodějská 68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26530"/>
    <s v="Klub vojenské historie Zlín, z. s."/>
    <s v="706"/>
    <x v="1"/>
    <x v="0"/>
    <s v="Zlín"/>
    <s v="Zlín, Lužkovice, U Tescomy 25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5519"/>
    <s v="Klub vojenských výsadkových veteránů plk. Vladimíra Maděry Zlín, z.s."/>
    <s v="706"/>
    <x v="1"/>
    <x v="0"/>
    <s v="Zlín"/>
    <s v="Zlín, Nad Ovčírnou IV 34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97905"/>
    <s v="Klub volného létání Vostrombouch, z. s."/>
    <s v="706"/>
    <x v="1"/>
    <x v="3"/>
    <s v="Holešov"/>
    <s v="Holešov, U Letiště 1216/47, PSČ 76901"/>
    <s v="93120"/>
    <s v="Činnosti sportovních klubů"/>
    <m/>
    <m/>
    <m/>
    <m/>
    <m/>
    <m/>
    <m/>
    <m/>
    <m/>
    <m/>
    <m/>
    <m/>
    <m/>
    <m/>
    <m/>
    <m/>
    <m/>
  </r>
  <r>
    <s v="26581981"/>
    <s v="Klub výsadkových veteránů Holešov zapsaný spolek"/>
    <s v="706"/>
    <x v="1"/>
    <x v="3"/>
    <s v="Holešov"/>
    <s v="Holešov, nám. Dr. E. Beneše 17/5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3489"/>
    <s v="Klub zlaté ručičky z. s."/>
    <s v="706"/>
    <x v="1"/>
    <x v="3"/>
    <s v="Prusinovice"/>
    <s v="Prusinovice, Zámčisko 350, PSČ 7684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4444"/>
    <s v="Klub ZUŠ HARMONIE Zlín, s.r.o."/>
    <s v="706"/>
    <x v="1"/>
    <x v="0"/>
    <s v="Zlín"/>
    <s v="Zlín, Mostní 239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435420"/>
    <s v="Klub ZUŠ Vsetín z.s."/>
    <s v="706"/>
    <x v="1"/>
    <x v="1"/>
    <s v="Vsetín"/>
    <s v="Vsetín, U Trati 1006, PSČ 75501"/>
    <s v="94999"/>
    <s v="Činnosti ostatních organizací j. n."/>
    <m/>
    <m/>
    <m/>
    <m/>
    <m/>
    <m/>
    <m/>
    <m/>
    <m/>
    <m/>
    <m/>
    <m/>
    <m/>
    <m/>
    <m/>
    <m/>
    <m/>
  </r>
  <r>
    <s v="65792904"/>
    <s v="Klub železničních modelářů Zlín p.s."/>
    <s v="736"/>
    <x v="0"/>
    <x v="0"/>
    <s v="Zlín"/>
    <s v="Zlín, Tyršovo nábřeží 80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65477"/>
    <s v="Klub žen a dívek ve Valašské Bystřici"/>
    <s v="706"/>
    <x v="1"/>
    <x v="1"/>
    <s v="Valašská Bystřice"/>
    <s v="Valašská Bystřice, PSČ 756 2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672675"/>
    <s v="Klub 3. Věku, z.s."/>
    <s v="706"/>
    <x v="1"/>
    <x v="2"/>
    <s v="Nedakonice"/>
    <s v="Nedakonice 33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2024"/>
    <s v="Klubíčko Kroměříž, z. s."/>
    <s v="706"/>
    <x v="1"/>
    <x v="3"/>
    <s v="Kroměříž"/>
    <s v="Kroměříž, Albertova 4062/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27135"/>
    <s v="Klubíčko v Podhoří, z. s."/>
    <s v="706"/>
    <x v="1"/>
    <x v="0"/>
    <s v="Zlín"/>
    <s v="Zlín, Podlesí II 5610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07407"/>
    <s v="Klubovna Vesník z.s."/>
    <s v="706"/>
    <x v="1"/>
    <x v="1"/>
    <s v="Vsetín"/>
    <s v="Vsetín, Vesník 41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340559"/>
    <s v="Kluci z Východu z. s."/>
    <s v="706"/>
    <x v="1"/>
    <x v="2"/>
    <s v="Uherské Hradiště"/>
    <s v="Uherské Hradiště, Mařatice, Sadová 979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8446"/>
    <s v="KM BULL KLUB Kroměříž"/>
    <s v="706"/>
    <x v="1"/>
    <x v="3"/>
    <s v="Kroměříž"/>
    <s v="Kroměříž, Riegrovo nám. 122"/>
    <s v="93120"/>
    <s v="Činnosti sportovních klubů"/>
    <m/>
    <m/>
    <m/>
    <m/>
    <m/>
    <m/>
    <m/>
    <m/>
    <m/>
    <m/>
    <m/>
    <m/>
    <m/>
    <m/>
    <m/>
    <m/>
    <m/>
  </r>
  <r>
    <s v="22644644"/>
    <s v="KMSK8 z. s."/>
    <s v="706"/>
    <x v="1"/>
    <x v="3"/>
    <s v="Kroměříž"/>
    <s v="Kroměříž, Nerudova 458/2, PSČ 76701"/>
    <s v="93190"/>
    <s v="Ostatní sportovní činnosti"/>
    <m/>
    <m/>
    <m/>
    <m/>
    <m/>
    <m/>
    <m/>
    <m/>
    <m/>
    <m/>
    <m/>
    <m/>
    <m/>
    <m/>
    <m/>
    <m/>
    <m/>
  </r>
  <r>
    <s v="04046609"/>
    <s v="KMsport, z.s."/>
    <s v="706"/>
    <x v="1"/>
    <x v="3"/>
    <s v="Kroměříž"/>
    <s v="Kroměříž, Třešňová 4228/3, PSČ 76701"/>
    <s v="93190"/>
    <s v="Ostatní sportovní činnosti"/>
    <m/>
    <m/>
    <m/>
    <m/>
    <m/>
    <m/>
    <m/>
    <m/>
    <m/>
    <m/>
    <m/>
    <m/>
    <m/>
    <m/>
    <m/>
    <m/>
    <m/>
  </r>
  <r>
    <s v="22666877"/>
    <s v="Kněžpolanka o.s."/>
    <s v="706"/>
    <x v="1"/>
    <x v="2"/>
    <s v="Kněžpole"/>
    <s v="Kněžpole 278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0786"/>
    <s v="KNĚŽPOLSKÁ CHASA z. s."/>
    <s v="706"/>
    <x v="1"/>
    <x v="2"/>
    <s v="Kněžpole"/>
    <s v="Kněžpole 152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1521"/>
    <s v="Kněžpolský mužský sbor, z.s."/>
    <s v="706"/>
    <x v="1"/>
    <x v="2"/>
    <s v="Kněžpole"/>
    <s v="Kněžpole 254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2756"/>
    <s v="Koalice pro rozvoj Uherského Hradiště z.s."/>
    <s v="706"/>
    <x v="1"/>
    <x v="2"/>
    <s v="Uherské Hradiště"/>
    <s v="Uherské Hradiště, Rybárny, Luční 7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934451"/>
    <s v="Koalice za přírodu Beskyd"/>
    <s v="706"/>
    <x v="1"/>
    <x v="1"/>
    <s v="Rožnov pod Radhoštěm"/>
    <s v="Rožnov pod Radhoštěm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944677"/>
    <s v="Kočičí depozitum Flíček, z.s."/>
    <s v="706"/>
    <x v="1"/>
    <x v="2"/>
    <s v="Nedakonice"/>
    <s v="Nedakonice 99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68849"/>
    <s v="Kolegiátní kapitula u svatého Mořice v Kroměříži"/>
    <s v="722"/>
    <x v="5"/>
    <x v="3"/>
    <s v="Kroměříž"/>
    <s v="Kroměříž, Stojanovo náměstí 5/3, PSČ 76701"/>
    <s v="94910"/>
    <s v="Činnosti náboženských organizací"/>
    <m/>
    <m/>
    <m/>
    <m/>
    <m/>
    <m/>
    <m/>
    <m/>
    <m/>
    <m/>
    <m/>
    <m/>
    <m/>
    <m/>
    <m/>
    <m/>
    <m/>
  </r>
  <r>
    <s v="07661363"/>
    <s v="Kolem Antoníčka, z. s."/>
    <s v="706"/>
    <x v="1"/>
    <x v="0"/>
    <s v="Zlín"/>
    <s v="Zlín, Na Výsluní 251, PSČ 76001"/>
    <s v="94995"/>
    <s v="Činnosti environmentálních a ekologických hnutí"/>
    <m/>
    <m/>
    <m/>
    <m/>
    <m/>
    <m/>
    <m/>
    <m/>
    <m/>
    <m/>
    <m/>
    <m/>
    <m/>
    <m/>
    <m/>
    <m/>
    <m/>
  </r>
  <r>
    <s v="05927862"/>
    <s v="Kolem KM, z. s."/>
    <s v="706"/>
    <x v="1"/>
    <x v="3"/>
    <s v="Kroměříž"/>
    <s v="Kroměříž, Čs. armády 3998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5068"/>
    <s v="KOLOKROUŽEK Zlín, z.s."/>
    <s v="706"/>
    <x v="1"/>
    <x v="0"/>
    <s v="Zlín"/>
    <s v="Zlín, Lesní čtvrť III 3726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565168"/>
    <s v="&quot;Kometa pro děti&quot;, z.s."/>
    <s v="706"/>
    <x v="1"/>
    <x v="0"/>
    <s v="Zlín"/>
    <s v="Zlín, Kostelec, Fryštácká 679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8872"/>
    <s v="Komfort Mag, z.s."/>
    <s v="706"/>
    <x v="1"/>
    <x v="0"/>
    <s v="Zlín"/>
    <s v="Zlín, Potoky 543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56525"/>
    <s v="KomunitKa v Bezobaláči Zlín, z.s."/>
    <s v="706"/>
    <x v="1"/>
    <x v="0"/>
    <s v="Zlín"/>
    <s v="Zlín, Moravská 4781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378912"/>
    <s v="KomuNitka zážitků z. s."/>
    <s v="706"/>
    <x v="1"/>
    <x v="2"/>
    <s v="Uherský Brod"/>
    <s v="Uherský Brod, Provazní 1199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80881"/>
    <s v="Komunitní centrum Zelené údolí, z.s."/>
    <s v="706"/>
    <x v="1"/>
    <x v="0"/>
    <s v="Želechovice nad Dřevnicí"/>
    <s v="Želechovice nad Dřevnicí, Paseky 135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582703"/>
    <s v="Komunitní energetické společenství KENES z. s."/>
    <s v="706"/>
    <x v="1"/>
    <x v="0"/>
    <s v="Zlín"/>
    <s v="Zlín, Stráže 3662, PSČ 76001"/>
    <s v="9499"/>
    <s v="Činnosti ostatních organizací sdružujících osoby za účelem prosazování společných zájmů j. n."/>
    <s v="Výroba elektřiny"/>
    <m/>
    <m/>
    <m/>
    <m/>
    <m/>
    <m/>
    <m/>
    <m/>
    <m/>
    <m/>
    <m/>
    <m/>
    <m/>
    <m/>
    <m/>
    <m/>
  </r>
  <r>
    <s v="09596178"/>
    <s v="Komunitní škola BESEDA, z. s."/>
    <s v="706"/>
    <x v="1"/>
    <x v="2"/>
    <s v="Nivnice"/>
    <s v="Nivnice, náměstí Míru 196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46643"/>
    <s v="Komunitní škola Kašava, z. s."/>
    <s v="706"/>
    <x v="1"/>
    <x v="0"/>
    <s v="Kašava"/>
    <s v="Kašava 193, PSČ 7631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219752"/>
    <s v="Komunitní škola Lvíčata, z.s."/>
    <s v="706"/>
    <x v="1"/>
    <x v="1"/>
    <s v="Valašské Meziříčí"/>
    <s v="Valašské Meziříčí, Juřinka 4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20541"/>
    <s v="Komunitní škola SOVA, z.s."/>
    <s v="706"/>
    <x v="1"/>
    <x v="0"/>
    <s v="Neubuz"/>
    <s v="Neubuz 91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987236"/>
    <s v="Komunitní škola Traplice, z.s."/>
    <s v="706"/>
    <x v="1"/>
    <x v="2"/>
    <s v="Traplice"/>
    <s v="Traplice 375, PSČ 68704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22909257"/>
    <s v="Komunitní škola T.R.N.K.A., z.s."/>
    <s v="706"/>
    <x v="1"/>
    <x v="0"/>
    <s v="Vysoké Pole"/>
    <s v="Vysoké Pole 278, PSČ 76325"/>
    <s v="94999"/>
    <s v="Činnosti ostatních organizací j. n."/>
    <m/>
    <m/>
    <m/>
    <m/>
    <m/>
    <m/>
    <m/>
    <m/>
    <m/>
    <m/>
    <m/>
    <m/>
    <m/>
    <m/>
    <m/>
    <m/>
    <m/>
  </r>
  <r>
    <s v="68684746"/>
    <s v="Kondiční sportovní klub Zlín, z. s."/>
    <s v="706"/>
    <x v="1"/>
    <x v="0"/>
    <s v="Zlín"/>
    <s v="Zlín, Louky, třída Tomáše Bati 258, PSČ 76302"/>
    <s v="93120"/>
    <s v="Činnosti sportovních klubů"/>
    <m/>
    <m/>
    <m/>
    <m/>
    <m/>
    <m/>
    <m/>
    <m/>
    <m/>
    <m/>
    <m/>
    <m/>
    <m/>
    <m/>
    <m/>
    <m/>
    <m/>
  </r>
  <r>
    <s v="44018771"/>
    <s v="Konfederace politických vězňů, odbočka 63, sdružování občanů"/>
    <s v="736"/>
    <x v="0"/>
    <x v="2"/>
    <s v="Uherské Hradiště"/>
    <s v="Uherské Hradiště,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21871"/>
    <s v="Kongregace sester sv. Cyrila a Metoděje"/>
    <s v="722"/>
    <x v="5"/>
    <x v="2"/>
    <s v="Velehrad"/>
    <s v="Velehrad, Hradišťská 142, PSČ 68706"/>
    <s v="94910"/>
    <s v="Činnosti náboženských organizací"/>
    <m/>
    <m/>
    <m/>
    <m/>
    <m/>
    <m/>
    <m/>
    <m/>
    <m/>
    <m/>
    <m/>
    <m/>
    <m/>
    <m/>
    <m/>
    <m/>
    <m/>
  </r>
  <r>
    <s v="09567470"/>
    <s v="Konsensus, spolek ochrany krajiny a kulturních hodnot"/>
    <s v="706"/>
    <x v="1"/>
    <x v="2"/>
    <s v="Velehrad"/>
    <s v="Velehrad, Salašská 244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1393"/>
    <s v="Kooperace s přírodou, o. s."/>
    <s v="706"/>
    <x v="1"/>
    <x v="2"/>
    <s v="Velehrad"/>
    <s v="Velehrad, Salašská 26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0200"/>
    <s v="KOPRETINA BŘEZOVÁ, z. s."/>
    <s v="706"/>
    <x v="1"/>
    <x v="2"/>
    <s v="Březová"/>
    <s v="Březová 435, PSČ 6876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78873"/>
    <s v="Korálky Kroměříž, z. s."/>
    <s v="706"/>
    <x v="1"/>
    <x v="3"/>
    <s v="Kroměříž"/>
    <s v="Kroměříž, Elišky Krásnohorské 3634/1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398615"/>
    <s v="Kordulky z.s."/>
    <s v="706"/>
    <x v="1"/>
    <x v="1"/>
    <s v="Horní Bečva"/>
    <s v="Horní Bečva 14, PSČ 7565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5930"/>
    <s v="KORUNKA LUHAČOVICE, z. s."/>
    <s v="706"/>
    <x v="1"/>
    <x v="0"/>
    <s v="Luhačovice"/>
    <s v="Luhačovice, Bezručova 338, PSČ 76326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755608"/>
    <s v="Koryčanský kalíšek,zapsaný spolek"/>
    <s v="706"/>
    <x v="1"/>
    <x v="3"/>
    <s v="Koryčany"/>
    <s v="Koryčany, Tovární čtvrť 696, PSČ 768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328"/>
    <s v="KORYČANY BIKERS, z.s."/>
    <s v="706"/>
    <x v="1"/>
    <x v="3"/>
    <s v="Koryčany"/>
    <s v="Koryčany, Blišice 38, Irena Berková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925291"/>
    <s v="Kosiska, z.s."/>
    <s v="706"/>
    <x v="1"/>
    <x v="1"/>
    <s v="Ratiboř"/>
    <s v="Ratiboř 511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4372"/>
    <s v="Kosteláň z.s."/>
    <s v="706"/>
    <x v="1"/>
    <x v="3"/>
    <s v="Kostelec u Holešova"/>
    <s v="Kostelec u Holešova 17, PSČ 76843"/>
    <s v="94991"/>
    <s v="Činnosti organizací dětí a mládeže"/>
    <m/>
    <m/>
    <m/>
    <m/>
    <m/>
    <m/>
    <m/>
    <m/>
    <m/>
    <m/>
    <m/>
    <m/>
    <m/>
    <m/>
    <m/>
    <m/>
    <m/>
  </r>
  <r>
    <s v="21696497"/>
    <s v="KOTLOVÁ z.s."/>
    <s v="706"/>
    <x v="1"/>
    <x v="1"/>
    <s v="Rožnov pod Radhoštěm"/>
    <s v="Rožnov pod Radhoštěm, Koryčanské Paseky 2910, PSČ 75661"/>
    <s v="9499"/>
    <s v="Činnosti ostatních organizací sdružujících osoby za účelem prosazování společných zájmů j. n."/>
    <s v="Výroba, obchod a služby neuvedené v přílohách 1 až 3 živnostenského zákona"/>
    <s v="Ostatní vzdělávání"/>
    <s v="Podpůrné činnosti pro scénická umění"/>
    <s v="Ostatní sportovní činnosti"/>
    <m/>
    <m/>
    <m/>
    <m/>
    <m/>
    <m/>
    <m/>
    <m/>
    <m/>
    <m/>
    <m/>
    <m/>
    <m/>
  </r>
  <r>
    <s v="05499852"/>
    <s v="KOTVY Kvasice, z.s."/>
    <s v="706"/>
    <x v="1"/>
    <x v="3"/>
    <s v="Kvasice"/>
    <s v="Kvasice, Krajina 266, PSČ 76821"/>
    <s v="93190"/>
    <s v="Ostatní sportovní činnosti"/>
    <m/>
    <m/>
    <m/>
    <m/>
    <m/>
    <m/>
    <m/>
    <m/>
    <m/>
    <m/>
    <m/>
    <m/>
    <m/>
    <m/>
    <m/>
    <m/>
    <m/>
  </r>
  <r>
    <s v="09168214"/>
    <s v="KoZa Zlín z. s."/>
    <s v="706"/>
    <x v="1"/>
    <x v="0"/>
    <s v="Zlín"/>
    <s v="Zlín, Na Honech III 4922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9321"/>
    <s v="KPS - Klub přátel Salaše z.s."/>
    <s v="706"/>
    <x v="1"/>
    <x v="2"/>
    <s v="Salaš"/>
    <s v="Salaš 85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9096"/>
    <s v="&quot;KPV Míkovice, z.s.&quot;"/>
    <s v="706"/>
    <x v="1"/>
    <x v="2"/>
    <s v="Uherské Hradiště"/>
    <s v="Uherské Hradiště, Míkovice, Hlavní 40, PSČ 68609"/>
    <s v="94995"/>
    <s v="Činnosti environmentálních a ekologických hnutí"/>
    <m/>
    <m/>
    <m/>
    <m/>
    <m/>
    <m/>
    <m/>
    <m/>
    <m/>
    <m/>
    <m/>
    <m/>
    <m/>
    <m/>
    <m/>
    <m/>
    <m/>
  </r>
  <r>
    <s v="01356224"/>
    <s v="Krajina a památky, z.s."/>
    <s v="706"/>
    <x v="1"/>
    <x v="2"/>
    <s v="Zlámanec"/>
    <s v="Zlámanec 37, PSČ 68712"/>
    <s v="94995"/>
    <s v="Činnosti environmentálních a ekologických hnutí"/>
    <m/>
    <m/>
    <m/>
    <m/>
    <m/>
    <m/>
    <m/>
    <m/>
    <m/>
    <m/>
    <m/>
    <m/>
    <m/>
    <m/>
    <m/>
    <m/>
    <m/>
  </r>
  <r>
    <s v="00425419"/>
    <s v="Krajská organizace ČSŽ Zlínský kraj"/>
    <s v="736"/>
    <x v="0"/>
    <x v="0"/>
    <s v="Zlín"/>
    <s v="Zlín, Divadelní 133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020114"/>
    <s v="Krajská organizace SPMP ČR - Zlínský kraj"/>
    <s v="736"/>
    <x v="0"/>
    <x v="0"/>
    <s v="Zlín"/>
    <s v="Zlín, Lazy 369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30139"/>
    <s v="Krajská rada Asociace školních sportovních klubů České republiky Zlínského kraje, pobočný spolek"/>
    <s v="736"/>
    <x v="0"/>
    <x v="3"/>
    <s v="Holešov"/>
    <s v="Holešov, Tyršova 1561, PSČ 76901"/>
    <s v="9311"/>
    <s v="Provozování sportovních zařízení"/>
    <m/>
    <m/>
    <m/>
    <m/>
    <m/>
    <m/>
    <m/>
    <m/>
    <m/>
    <m/>
    <m/>
    <m/>
    <m/>
    <m/>
    <m/>
    <m/>
    <m/>
  </r>
  <r>
    <s v="02250365"/>
    <s v="Krajská rada seniorů Zlínského kraje, p.s."/>
    <s v="736"/>
    <x v="0"/>
    <x v="0"/>
    <s v="Zlín"/>
    <s v="Zlín, Kvítková 432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297504"/>
    <s v="Krajské centrum dalšího profesního vzdělávání a Centrum uznávání a celoživotního učení Zlínského kraje, o.p.s."/>
    <s v="141"/>
    <x v="2"/>
    <x v="2"/>
    <s v="Uherský Brod"/>
    <s v="Uherský Brod, Nivnická 1763, PSČ 68801"/>
    <s v="8559"/>
    <s v="Ostatní vzdělávání j. n."/>
    <s v="Ostatní profesní, vědecké a technické činnosti"/>
    <s v="Poradenství v oblasti řízení"/>
    <s v="Výzkum a vývoj v oblasti společenských a humanitních věd"/>
    <m/>
    <m/>
    <m/>
    <m/>
    <m/>
    <m/>
    <m/>
    <m/>
    <m/>
    <m/>
    <m/>
    <m/>
    <m/>
    <m/>
  </r>
  <r>
    <s v="70864276"/>
    <s v="Krajský svaz cyklistiky Zlín z.s."/>
    <s v="706"/>
    <x v="1"/>
    <x v="0"/>
    <s v="Zlín"/>
    <s v="Zlín, Hradská 854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440912"/>
    <s v="Krajský svaz ČSPS - Zlínský kraj"/>
    <s v="736"/>
    <x v="0"/>
    <x v="0"/>
    <s v="Otrokovice"/>
    <s v="Otrokovice, Na Uličce 1362, PSČ 76502"/>
    <s v="931"/>
    <s v="Sportovní činnosti"/>
    <m/>
    <m/>
    <m/>
    <m/>
    <m/>
    <m/>
    <m/>
    <m/>
    <m/>
    <m/>
    <m/>
    <m/>
    <m/>
    <m/>
    <m/>
    <m/>
    <m/>
  </r>
  <r>
    <s v="22746471"/>
    <s v="Krajský svaz juda Zlínského kraje, pobočný spolek Českého svazu juda"/>
    <s v="736"/>
    <x v="0"/>
    <x v="0"/>
    <s v="Zlín"/>
    <s v="Zlín, K Pasekám 1553, PSČ 76001"/>
    <s v="93110"/>
    <s v="Provozování sportovních zařízení"/>
    <m/>
    <m/>
    <m/>
    <m/>
    <m/>
    <m/>
    <m/>
    <m/>
    <m/>
    <m/>
    <m/>
    <m/>
    <m/>
    <m/>
    <m/>
    <m/>
    <m/>
  </r>
  <r>
    <s v="04477723"/>
    <s v="Krajský svaz karate ČSKe Zlínského kraje, z.s."/>
    <s v="706"/>
    <x v="1"/>
    <x v="3"/>
    <s v="Kroměříž"/>
    <s v="Kroměříž, Kotojedská 2590/6, PSČ 76701"/>
    <s v="93190"/>
    <s v="Ostatní sportovní činnosti"/>
    <m/>
    <m/>
    <m/>
    <m/>
    <m/>
    <m/>
    <m/>
    <m/>
    <m/>
    <m/>
    <m/>
    <m/>
    <m/>
    <m/>
    <m/>
    <m/>
    <m/>
  </r>
  <r>
    <s v="05136687"/>
    <s v="Krajský svaz lyžařů Zlínského kraje p.s."/>
    <s v="736"/>
    <x v="0"/>
    <x v="1"/>
    <s v="Rožnov pod Radhoštěm"/>
    <s v="Rožnov pod Radhoštěm, Meziříčská 525, PSČ 75661"/>
    <s v="93190"/>
    <s v="Ostatní sportovní činnosti"/>
    <m/>
    <m/>
    <m/>
    <m/>
    <m/>
    <m/>
    <m/>
    <m/>
    <m/>
    <m/>
    <m/>
    <m/>
    <m/>
    <m/>
    <m/>
    <m/>
    <m/>
  </r>
  <r>
    <s v="13695967"/>
    <s v="KRAJSKÝ ŠTÁB SÁLOVÉHO FOTBALU V BRNĚ"/>
    <s v="736"/>
    <x v="0"/>
    <x v="3"/>
    <s v="Kvasice"/>
    <s v="Kvasice, HUSOVA 627 /KOPECKÝ LUMÍR"/>
    <s v="93110"/>
    <s v="Provozování sportovních zařízení"/>
    <m/>
    <m/>
    <m/>
    <m/>
    <m/>
    <m/>
    <m/>
    <m/>
    <m/>
    <m/>
    <m/>
    <m/>
    <m/>
    <m/>
    <m/>
    <m/>
    <m/>
  </r>
  <r>
    <s v="09782001"/>
    <s v="Krajský volejbalový svaz Zlínského kraje"/>
    <s v="736"/>
    <x v="0"/>
    <x v="0"/>
    <s v="Zlín"/>
    <s v="Zlín, Hradská 854, PSČ 76001"/>
    <s v="9319"/>
    <s v="Ostatní sportovní činnosti"/>
    <m/>
    <m/>
    <m/>
    <m/>
    <m/>
    <m/>
    <m/>
    <m/>
    <m/>
    <m/>
    <m/>
    <m/>
    <m/>
    <m/>
    <m/>
    <m/>
    <m/>
  </r>
  <r>
    <s v="08555125"/>
    <s v="Krásné stáří, z. s."/>
    <s v="706"/>
    <x v="1"/>
    <x v="0"/>
    <s v="Zlín"/>
    <s v="Zlín, Kotěrova 91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57183"/>
    <s v="Kraso club Valašské Klobouky z.s."/>
    <s v="706"/>
    <x v="1"/>
    <x v="0"/>
    <s v="Valašské Klobouky"/>
    <s v="Valašské Klobouky, Lipina 106, PSČ 76601"/>
    <s v="93190"/>
    <s v="Ostatní sportovní činnosti"/>
    <m/>
    <m/>
    <m/>
    <m/>
    <m/>
    <m/>
    <m/>
    <m/>
    <m/>
    <m/>
    <m/>
    <m/>
    <m/>
    <m/>
    <m/>
    <m/>
    <m/>
  </r>
  <r>
    <s v="22889434"/>
    <s v="Kreativní dílna a školka, z.s."/>
    <s v="706"/>
    <x v="1"/>
    <x v="2"/>
    <s v="Osvětimany"/>
    <s v="Osvětimany 295, PSČ 68742"/>
    <s v="9499"/>
    <s v="Činnosti ostatních organizací sdružujících osoby za účelem prosazování společných zájmů j. n."/>
    <s v="Ostatní vzdělávání"/>
    <s v="Ostatní zábavní a rekreační činnosti j. n."/>
    <m/>
    <m/>
    <m/>
    <m/>
    <m/>
    <m/>
    <m/>
    <m/>
    <m/>
    <m/>
    <m/>
    <m/>
    <m/>
    <m/>
    <m/>
  </r>
  <r>
    <s v="04986318"/>
    <s v="KreKrA z.s."/>
    <s v="706"/>
    <x v="1"/>
    <x v="0"/>
    <s v="Zlín"/>
    <s v="Zlín, Prštné, U Sokolovny 12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448244"/>
    <s v="Krhovské divadlo z.s."/>
    <s v="706"/>
    <x v="1"/>
    <x v="2"/>
    <s v="Bojkovice"/>
    <s v="Bojkovice, Krhov 134, PSČ 68771"/>
    <s v="90010"/>
    <s v="Scénická umění"/>
    <m/>
    <m/>
    <m/>
    <m/>
    <m/>
    <m/>
    <m/>
    <m/>
    <m/>
    <m/>
    <m/>
    <m/>
    <m/>
    <m/>
    <m/>
    <m/>
    <m/>
  </r>
  <r>
    <s v="22610715"/>
    <s v="Kroměřížan.cz, o. s."/>
    <s v="706"/>
    <x v="1"/>
    <x v="3"/>
    <s v="Bařice-Velké Těšany"/>
    <s v="Bařice-Velké Těšany, Velké Těšany 6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4823"/>
    <s v="Kroměřížská dráha, z. s."/>
    <s v="706"/>
    <x v="1"/>
    <x v="3"/>
    <s v="Osíčko"/>
    <s v="Osíčko 122, PSČ 76861"/>
    <s v="9499"/>
    <s v="Činnosti ostatních organizací sdružujících osoby za účelem prosazování společných zájmů j. n."/>
    <s v="Vydavatelské činnosti"/>
    <s v="Maloobchod v nespecializovaných prodejnách"/>
    <s v="Opravy přístrojů a zařízení převážně pro domácnost, dům a zahradu"/>
    <m/>
    <m/>
    <m/>
    <m/>
    <m/>
    <m/>
    <m/>
    <m/>
    <m/>
    <m/>
    <m/>
    <m/>
    <m/>
    <m/>
  </r>
  <r>
    <s v="22763015"/>
    <s v="„Kroměřížská fotbalová a sportovní budoucnost”, o.s."/>
    <s v="706"/>
    <x v="1"/>
    <x v="3"/>
    <s v="Kroměříž"/>
    <s v="Kroměříž, Obvodová 3607/19, PSČ 76701"/>
    <s v="93110"/>
    <s v="Provozování sportovních zařízení"/>
    <m/>
    <m/>
    <m/>
    <m/>
    <m/>
    <m/>
    <m/>
    <m/>
    <m/>
    <m/>
    <m/>
    <m/>
    <m/>
    <m/>
    <m/>
    <m/>
    <m/>
  </r>
  <r>
    <s v="02093359"/>
    <s v="Kroměřížská hokejová liga"/>
    <s v="706"/>
    <x v="1"/>
    <x v="3"/>
    <s v="Kroměříž"/>
    <s v="Kroměříž, Obvodová 3474/11, PSČ 76701"/>
    <s v="93110"/>
    <s v="Provozování sportovních zařízení"/>
    <m/>
    <m/>
    <m/>
    <m/>
    <m/>
    <m/>
    <m/>
    <m/>
    <m/>
    <m/>
    <m/>
    <m/>
    <m/>
    <m/>
    <m/>
    <m/>
    <m/>
  </r>
  <r>
    <s v="27726444"/>
    <s v="Kroměřížská rozvojová kancelář o.p.s."/>
    <s v="141"/>
    <x v="2"/>
    <x v="3"/>
    <s v="Kroměříž"/>
    <s v="Kroměříž, Velké náměstí 115/1, PSČ 76701"/>
    <s v="9499"/>
    <s v="Činnosti ostatních organizací sdružujících osoby za účelem prosazování společných zájmů j. n."/>
    <s v="Výroba, obchod a služby neuvedené v přílohách 1 až 3 živnostenského zákona"/>
    <s v="Ostatní vzdělávání"/>
    <s v="Činnosti zpravodajských tiskových kanceláří a agentur"/>
    <s v="Činnosti reklamních agentur"/>
    <m/>
    <m/>
    <m/>
    <m/>
    <m/>
    <m/>
    <m/>
    <m/>
    <m/>
    <m/>
    <m/>
    <m/>
    <m/>
  </r>
  <r>
    <s v="60575654"/>
    <s v="KROMĚŘÍŽSKO - sdružení pro cestovní ruch, z. s."/>
    <s v="706"/>
    <x v="1"/>
    <x v="3"/>
    <s v="Kroměříž"/>
    <s v="Kroměříž, Velké náměstí 115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3127"/>
    <s v="Kroměřížský akvaristický spolek"/>
    <s v="706"/>
    <x v="1"/>
    <x v="3"/>
    <s v="Kroměříž"/>
    <s v="Kroměříž, Vážany, Osvoboditelů 92/66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515697"/>
    <s v="Kroměřížský okresní svaz stolního tenisu, z. s."/>
    <s v="706"/>
    <x v="1"/>
    <x v="3"/>
    <s v="Bystřice pod Hostýnem"/>
    <s v="Bystřice pod Hostýnem, Sportovní 1357, PSČ 76861"/>
    <s v="93120"/>
    <s v="Činnosti sportovních klubů"/>
    <m/>
    <m/>
    <m/>
    <m/>
    <m/>
    <m/>
    <m/>
    <m/>
    <m/>
    <m/>
    <m/>
    <m/>
    <m/>
    <m/>
    <m/>
    <m/>
    <m/>
  </r>
  <r>
    <s v="65270134"/>
    <s v="Kroměřížský šipkový klub SAILA"/>
    <s v="706"/>
    <x v="1"/>
    <x v="3"/>
    <s v="Kroměříž"/>
    <s v="Kroměříž, Vrobelova 2741/10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597714"/>
    <s v="Kroužek divadelních ochotníků ve Hvozdné z.s."/>
    <s v="706"/>
    <x v="1"/>
    <x v="0"/>
    <s v="Hvozdná"/>
    <s v="Hvozdná, Hlavní 148, PSČ 76310"/>
    <s v="90010"/>
    <s v="Scénická umění"/>
    <m/>
    <m/>
    <m/>
    <m/>
    <m/>
    <m/>
    <m/>
    <m/>
    <m/>
    <m/>
    <m/>
    <m/>
    <m/>
    <m/>
    <m/>
    <m/>
    <m/>
  </r>
  <r>
    <s v="19467940"/>
    <s v="KRPŠ VŠEMINA z. s."/>
    <s v="706"/>
    <x v="1"/>
    <x v="0"/>
    <s v="Všemina"/>
    <s v="Všemina 80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843216"/>
    <s v="KRTEK Břestek z. s."/>
    <s v="706"/>
    <x v="1"/>
    <x v="2"/>
    <s v="Břestek"/>
    <s v="Břestek 326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15048"/>
    <s v="Kruh přátel Karla Hofmana, nadační fond"/>
    <s v="118"/>
    <x v="6"/>
    <x v="1"/>
    <s v="Velké Karlovice"/>
    <s v="Velké Karlovice 657, PSČ 75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6528"/>
    <s v="Kruh přátel při Velehradě, z.s."/>
    <s v="706"/>
    <x v="1"/>
    <x v="2"/>
    <s v="Velehrad"/>
    <s v="Velehrad, Hradišťská 231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743583"/>
    <s v="Kruh Sluneční hole, z.s."/>
    <s v="706"/>
    <x v="1"/>
    <x v="0"/>
    <s v="Dolní Lhota"/>
    <s v="Dolní Lhota 166, PSČ 76323"/>
    <s v="94991"/>
    <s v="Činnosti organizací dětí a mládeže"/>
    <m/>
    <m/>
    <m/>
    <m/>
    <m/>
    <m/>
    <m/>
    <m/>
    <m/>
    <m/>
    <m/>
    <m/>
    <m/>
    <m/>
    <m/>
    <m/>
    <m/>
  </r>
  <r>
    <s v="26535114"/>
    <s v="Křesťanská škola, občanské sdružení"/>
    <s v="706"/>
    <x v="1"/>
    <x v="0"/>
    <s v="Zlín"/>
    <s v="Zlín, Příluky, Pod Mlýnem 30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8006"/>
    <s v="Křesťanské centrum OS Holešov"/>
    <s v="706"/>
    <x v="1"/>
    <x v="3"/>
    <s v="Holešov"/>
    <s v="Holešov, Žopy 192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79958"/>
    <s v="Křesťanské centrum víry AGAPÉ"/>
    <s v="706"/>
    <x v="1"/>
    <x v="2"/>
    <s v="Uherské Hradiště"/>
    <s v="Uherské Hradiště, Hradební 119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29576"/>
    <s v="Křesťanské kulturní centrum Zlín z.s."/>
    <s v="706"/>
    <x v="1"/>
    <x v="0"/>
    <s v="Zlín"/>
    <s v="Zlín, 2. května 238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99242"/>
    <s v="&quot;Křesťanské modlitební společenství Lydie, z. s.&quot;"/>
    <s v="706"/>
    <x v="1"/>
    <x v="1"/>
    <s v="Vsetín"/>
    <s v="Vsetín, Mládí 119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77432"/>
    <s v="Křesťanské občanské sdružení ve Vsetíně"/>
    <s v="706"/>
    <x v="1"/>
    <x v="1"/>
    <s v="Vsetín"/>
    <s v="Vsetín, Svárov 1055, Dům kultury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0193"/>
    <s v="Křesťanské sdružení Benjamin"/>
    <s v="706"/>
    <x v="1"/>
    <x v="0"/>
    <s v="Jasenná"/>
    <s v="Jasenná 54, PSČ 763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91091"/>
    <s v="Křesťanské sdružení BENJAMIN, pobočka Vsetín"/>
    <s v="736"/>
    <x v="0"/>
    <x v="1"/>
    <s v="Vsetín"/>
    <s v="Vsetín, Bratří Hlaviců 68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38600"/>
    <s v="Křesťanský sbor Prlov"/>
    <s v="722"/>
    <x v="5"/>
    <x v="1"/>
    <s v="Prlov"/>
    <s v="Prlov 127, PSČ 75611"/>
    <s v="94910"/>
    <s v="Činnosti náboženských organizací"/>
    <m/>
    <m/>
    <m/>
    <m/>
    <m/>
    <m/>
    <m/>
    <m/>
    <m/>
    <m/>
    <m/>
    <m/>
    <m/>
    <m/>
    <m/>
    <m/>
    <m/>
  </r>
  <r>
    <s v="07016638"/>
    <s v="Křesťanský sbor Vizovice"/>
    <s v="722"/>
    <x v="5"/>
    <x v="0"/>
    <s v="Loučka"/>
    <s v="Loučka 41, PSČ 76325"/>
    <s v="94910"/>
    <s v="Činnosti náboženských organizací"/>
    <m/>
    <m/>
    <m/>
    <m/>
    <m/>
    <m/>
    <m/>
    <m/>
    <m/>
    <m/>
    <m/>
    <m/>
    <m/>
    <m/>
    <m/>
    <m/>
    <m/>
  </r>
  <r>
    <s v="26522900"/>
    <s v="Křesťanský sbor Vsetín"/>
    <s v="722"/>
    <x v="5"/>
    <x v="1"/>
    <s v="Vsetín"/>
    <s v="Vsetín, Podsedky 950, PSČ 75501"/>
    <s v="94910"/>
    <s v="Činnosti náboženských organizací"/>
    <m/>
    <m/>
    <m/>
    <m/>
    <m/>
    <m/>
    <m/>
    <m/>
    <m/>
    <m/>
    <m/>
    <m/>
    <m/>
    <m/>
    <m/>
    <m/>
    <m/>
  </r>
  <r>
    <s v="70418985"/>
    <s v="Křesťanský sbor Zlín"/>
    <s v="722"/>
    <x v="5"/>
    <x v="0"/>
    <s v="Zlín"/>
    <s v="Zlín, Divadelní 3242, PSČ 76001"/>
    <s v="94910"/>
    <s v="Činnosti náboženských organizací"/>
    <m/>
    <m/>
    <m/>
    <m/>
    <m/>
    <m/>
    <m/>
    <m/>
    <m/>
    <m/>
    <m/>
    <m/>
    <m/>
    <m/>
    <m/>
    <m/>
    <m/>
  </r>
  <r>
    <s v="08049661"/>
    <s v="Křídla pomoci, nadační fond"/>
    <s v="118"/>
    <x v="6"/>
    <x v="0"/>
    <s v="Zlín"/>
    <s v="Zlín, třída Tomáše Bati 329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2401"/>
    <s v="Křivská nohejbalová liga"/>
    <s v="706"/>
    <x v="1"/>
    <x v="1"/>
    <s v="Valašské Meziříčí"/>
    <s v="Valašské Meziříčí, Podlesí 77, PSČ 75701"/>
    <s v="93110"/>
    <s v="Provozování sportovních zařízení"/>
    <m/>
    <m/>
    <m/>
    <m/>
    <m/>
    <m/>
    <m/>
    <m/>
    <m/>
    <m/>
    <m/>
    <m/>
    <m/>
    <m/>
    <m/>
    <m/>
    <m/>
  </r>
  <r>
    <s v="19733232"/>
    <s v="KŘÍŽ Thaibox Gym, z.s."/>
    <s v="706"/>
    <x v="1"/>
    <x v="3"/>
    <s v="Rymice"/>
    <s v="Rymice 51, PSČ 76901"/>
    <s v="93190"/>
    <s v="Ostatní sportovní činnosti"/>
    <m/>
    <m/>
    <m/>
    <m/>
    <m/>
    <m/>
    <m/>
    <m/>
    <m/>
    <m/>
    <m/>
    <m/>
    <m/>
    <m/>
    <m/>
    <m/>
    <m/>
  </r>
  <r>
    <s v="26992345"/>
    <s v="KSK Všetuly, z.s."/>
    <s v="706"/>
    <x v="1"/>
    <x v="3"/>
    <s v="Holešov"/>
    <s v="Holešov, Tučapská 758/1, PSČ 76901"/>
    <s v="93110"/>
    <s v="Provozování sportovních zařízení"/>
    <m/>
    <m/>
    <m/>
    <m/>
    <m/>
    <m/>
    <m/>
    <m/>
    <m/>
    <m/>
    <m/>
    <m/>
    <m/>
    <m/>
    <m/>
    <m/>
    <m/>
  </r>
  <r>
    <s v="49157523"/>
    <s v="KST Zlín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18044816"/>
    <s v="KUB Koala Uherský Brod z.s."/>
    <s v="706"/>
    <x v="1"/>
    <x v="2"/>
    <s v="Uherský Brod"/>
    <s v="Uherský Brod, Svat. Čecha 1025, PSČ 68801"/>
    <s v="93190"/>
    <s v="Ostatní sportovní činnosti"/>
    <m/>
    <m/>
    <m/>
    <m/>
    <m/>
    <m/>
    <m/>
    <m/>
    <m/>
    <m/>
    <m/>
    <m/>
    <m/>
    <m/>
    <m/>
    <m/>
    <m/>
  </r>
  <r>
    <s v="02350998"/>
    <s v="Kudlovské ateliéry o.p.s."/>
    <s v="141"/>
    <x v="2"/>
    <x v="0"/>
    <s v="Tečovice"/>
    <s v="Tečovice 349, PSČ 76302"/>
    <s v="91030"/>
    <s v="Provozování kulturních památek, historických staveb a obdobných turistických zajímavostí"/>
    <m/>
    <m/>
    <m/>
    <m/>
    <m/>
    <m/>
    <m/>
    <m/>
    <m/>
    <m/>
    <m/>
    <m/>
    <m/>
    <m/>
    <m/>
    <m/>
    <m/>
  </r>
  <r>
    <s v="22894080"/>
    <s v="Kudlovské výhledy"/>
    <s v="706"/>
    <x v="1"/>
    <x v="0"/>
    <s v="Zlín"/>
    <s v="Zlín, Kudlov, K Dálnici 59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814060"/>
    <s v="Kulečníkový klub Střílky z.s."/>
    <s v="706"/>
    <x v="1"/>
    <x v="3"/>
    <s v="Střílky"/>
    <s v="Střílky, Močidla 298, PSČ 76804"/>
    <s v="93190"/>
    <s v="Ostatní sportovní činnosti"/>
    <m/>
    <m/>
    <m/>
    <m/>
    <m/>
    <m/>
    <m/>
    <m/>
    <m/>
    <m/>
    <m/>
    <m/>
    <m/>
    <m/>
    <m/>
    <m/>
    <m/>
  </r>
  <r>
    <s v="65822625"/>
    <s v="Kulečníkový klub Zlín, z.s.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22280"/>
    <s v="Kulečníkový spolek Myslivna, z.s."/>
    <s v="706"/>
    <x v="1"/>
    <x v="3"/>
    <s v="Kroměříž"/>
    <s v="Kroměříž, Velehradská 507/41, PSČ 76701"/>
    <s v="93190"/>
    <s v="Ostatní sportovní činnosti"/>
    <m/>
    <m/>
    <m/>
    <m/>
    <m/>
    <m/>
    <m/>
    <m/>
    <m/>
    <m/>
    <m/>
    <m/>
    <m/>
    <m/>
    <m/>
    <m/>
    <m/>
  </r>
  <r>
    <s v="07619146"/>
    <s v="Kulečníkový spolek Zdislavice"/>
    <s v="706"/>
    <x v="1"/>
    <x v="3"/>
    <s v="Troubky-Zdislavice"/>
    <s v="Troubky-Zdislavice, Zdislavice 103, PSČ 76802"/>
    <s v="93190"/>
    <s v="Ostatní sportovní činnosti"/>
    <m/>
    <m/>
    <m/>
    <m/>
    <m/>
    <m/>
    <m/>
    <m/>
    <m/>
    <m/>
    <m/>
    <m/>
    <m/>
    <m/>
    <m/>
    <m/>
    <m/>
  </r>
  <r>
    <s v="14097435"/>
    <s v="kultiK, z. s."/>
    <s v="706"/>
    <x v="1"/>
    <x v="3"/>
    <s v="Kroměříž"/>
    <s v="Kroměříž, Husovo náměstí 427/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42925"/>
    <s v="Kulturák, z.s."/>
    <s v="706"/>
    <x v="1"/>
    <x v="3"/>
    <s v="Chvalčov"/>
    <s v="Chvalčov, Kroužky 780, PSČ 7687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33327"/>
    <s v="Kulturistika Kunovice z. s."/>
    <s v="706"/>
    <x v="1"/>
    <x v="2"/>
    <s v="Kunovice"/>
    <s v="Kunovice, Panská 25, PSČ 68604"/>
    <s v="93190"/>
    <s v="Ostatní sportovní činnosti"/>
    <m/>
    <m/>
    <m/>
    <m/>
    <m/>
    <m/>
    <m/>
    <m/>
    <m/>
    <m/>
    <m/>
    <m/>
    <m/>
    <m/>
    <m/>
    <m/>
    <m/>
  </r>
  <r>
    <s v="26612674"/>
    <s v="KULTURNÍ DĚDICTVÍ z.s."/>
    <s v="706"/>
    <x v="1"/>
    <x v="1"/>
    <s v="Rožnov pod Radhoštěm"/>
    <s v="Rožnov pod Radhoštěm, Polanského 1625, PSČ 75661"/>
    <s v="9499"/>
    <s v="Činnosti ostatních organizací sdružujících osoby za účelem prosazování společných zájmů j. n."/>
    <s v="Informační a komunikační činnosti"/>
    <s v="Výroba, obchod a služby neuvedené v přílohách 1 až 3 živnostenského zákona"/>
    <s v="Výzkum a vývoj"/>
    <s v="Podpůrné činnosti pro zemědělství a posklizňové činnosti"/>
    <s v="Fotografické činnosti"/>
    <s v="Činnosti cestovních agentur"/>
    <s v="Podpůrné činnosti pro scénická umění"/>
    <m/>
    <m/>
    <m/>
    <m/>
    <m/>
    <m/>
    <m/>
    <m/>
    <m/>
    <m/>
  </r>
  <r>
    <s v="70838518"/>
    <s v="Kulturní klub Osvětimany, z. s."/>
    <s v="706"/>
    <x v="1"/>
    <x v="2"/>
    <s v="Osvětimany"/>
    <s v="Osvětimany 350, PSČ 6874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75906"/>
    <s v="Kulturní Luhačovice z.s."/>
    <s v="706"/>
    <x v="1"/>
    <x v="0"/>
    <s v="Luhačovice"/>
    <s v="Luhačovice, nám. 28. října 543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0187"/>
    <s v="Kulturní nadační fond Bystřice pod Hostýnem"/>
    <s v="118"/>
    <x v="6"/>
    <x v="3"/>
    <s v="Bystřice pod Hostýnem"/>
    <s v="Bystřice pod Hostýnem, Pod Platany 1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40654"/>
    <s v="„Kulturní odkaz“"/>
    <s v="706"/>
    <x v="1"/>
    <x v="2"/>
    <s v="Buchlovice"/>
    <s v="Buchlovice, Váhovy 628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8735"/>
    <s v="Kulturní Sdružení Omladina Martinice, z.s."/>
    <s v="706"/>
    <x v="1"/>
    <x v="3"/>
    <s v="Martinice"/>
    <s v="Martinice 165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9513"/>
    <s v="Kulturní spolek BIG BAND Holešov, z.s."/>
    <s v="706"/>
    <x v="1"/>
    <x v="3"/>
    <s v="Holešov"/>
    <s v="Holešov, Pivovarská 676/3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8690"/>
    <s v="Kultůrní tradice Zubří, z. s."/>
    <s v="706"/>
    <x v="1"/>
    <x v="1"/>
    <s v="Zubří"/>
    <s v="Zubří, Nad Fojstvím 776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0611"/>
    <s v="Kunkovice"/>
    <s v="706"/>
    <x v="1"/>
    <x v="3"/>
    <s v="Kunkovice"/>
    <s v="Kunkovice 40, PSČ 76813"/>
    <s v="94995"/>
    <s v="Činnosti environmentálních a ekologických hnutí"/>
    <m/>
    <m/>
    <m/>
    <m/>
    <m/>
    <m/>
    <m/>
    <m/>
    <m/>
    <m/>
    <m/>
    <m/>
    <m/>
    <m/>
    <m/>
    <m/>
    <m/>
  </r>
  <r>
    <s v="22890483"/>
    <s v="KUNOVIAN AIR FORCE"/>
    <s v="706"/>
    <x v="1"/>
    <x v="2"/>
    <s v="Strání"/>
    <s v="Strání, Dolina 468, PSČ 6876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1309"/>
    <s v="Kunovské centrum mládeže z.s."/>
    <s v="706"/>
    <x v="1"/>
    <x v="2"/>
    <s v="Kunovice"/>
    <s v="Kunovice, Pod Kostelem 1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0754"/>
    <s v="Kunovští Komedianti z.s."/>
    <s v="706"/>
    <x v="1"/>
    <x v="2"/>
    <s v="Kunovice"/>
    <s v="Kunovice, Na Zelničkách 1327, PSČ 68604"/>
    <s v="90010"/>
    <s v="Scénická umění"/>
    <m/>
    <m/>
    <m/>
    <m/>
    <m/>
    <m/>
    <m/>
    <m/>
    <m/>
    <m/>
    <m/>
    <m/>
    <m/>
    <m/>
    <m/>
    <m/>
    <m/>
  </r>
  <r>
    <s v="17978491"/>
    <s v="Kurzy o vztazích z. s."/>
    <s v="706"/>
    <x v="1"/>
    <x v="3"/>
    <s v="Bystřice pod Hostýnem"/>
    <s v="Bystřice pod Hostýnem, Kroužky 1703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43024"/>
    <s v="Kuželkářský club Athéna Kroměříž"/>
    <s v="706"/>
    <x v="1"/>
    <x v="3"/>
    <s v="Kroměříž"/>
    <s v="Kroměříž, Velehradská 507/4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1038"/>
    <s v="Kuželkářský club Zlín, z.s.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5561"/>
    <s v="Kuželkářský klub Kroměříž z.s."/>
    <s v="706"/>
    <x v="1"/>
    <x v="3"/>
    <s v="Kroměříž"/>
    <s v="Kroměříž, Skopalíkova 1661/38, PSČ 76701"/>
    <s v="93110"/>
    <s v="Provozování sportovních zařízení"/>
    <m/>
    <m/>
    <m/>
    <m/>
    <m/>
    <m/>
    <m/>
    <m/>
    <m/>
    <m/>
    <m/>
    <m/>
    <m/>
    <m/>
    <m/>
    <m/>
    <m/>
  </r>
  <r>
    <s v="22730583"/>
    <s v="Kuželkářský klub Slavičín, z. s."/>
    <s v="706"/>
    <x v="1"/>
    <x v="0"/>
    <s v="Slavičín"/>
    <s v="Slavičín, Osvobození 237, PSČ 76321"/>
    <s v="93120"/>
    <s v="Činnosti sportovních klubů"/>
    <m/>
    <m/>
    <m/>
    <m/>
    <m/>
    <m/>
    <m/>
    <m/>
    <m/>
    <m/>
    <m/>
    <m/>
    <m/>
    <m/>
    <m/>
    <m/>
    <m/>
  </r>
  <r>
    <s v="02039371"/>
    <s v="KVĚT ŽIVOTA"/>
    <s v="706"/>
    <x v="1"/>
    <x v="3"/>
    <s v="Hulín"/>
    <s v="Hulín, Družba 1195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5424"/>
    <s v="KVH Maxim z.s."/>
    <s v="706"/>
    <x v="1"/>
    <x v="0"/>
    <s v="Napajedla"/>
    <s v="Napajedla, Masarykovo náměstí 558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42070"/>
    <s v="KVH NAPA"/>
    <s v="706"/>
    <x v="1"/>
    <x v="0"/>
    <s v="Halenkovice"/>
    <s v="Halenkovice 73, PSČ 763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108729"/>
    <s v="KVHS CTR z.s."/>
    <s v="706"/>
    <x v="1"/>
    <x v="0"/>
    <s v="Lukov"/>
    <s v="Lukov, K Lůčkám 350, PSČ 76317"/>
    <s v="93190"/>
    <s v="Ostatní sportovní činnosti"/>
    <m/>
    <m/>
    <m/>
    <m/>
    <m/>
    <m/>
    <m/>
    <m/>
    <m/>
    <m/>
    <m/>
    <m/>
    <m/>
    <m/>
    <m/>
    <m/>
    <m/>
  </r>
  <r>
    <s v="22666052"/>
    <s v="KVK PARTNER o. s."/>
    <s v="706"/>
    <x v="1"/>
    <x v="1"/>
    <s v="Rožnov pod Radhoštěm"/>
    <s v="Rožnov pod Radhoštěm, 5. května 1536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00166"/>
    <s v="Kybernetický jezevec, z.s."/>
    <s v="706"/>
    <x v="1"/>
    <x v="3"/>
    <s v="Kroměříž"/>
    <s v="Kroměříž, Peřinkova 2392/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1293"/>
    <s v="Kynologický klub Areál Hvězda Kroměříž"/>
    <s v="736"/>
    <x v="0"/>
    <x v="3"/>
    <s v="Kroměříž"/>
    <s v="Kroměříž, Kotojedy 8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184236"/>
    <s v="Kynologický klub Bojkovice ZO MSKS 11010"/>
    <s v="736"/>
    <x v="0"/>
    <x v="2"/>
    <s v="Bojkovice"/>
    <s v="Bojkovice,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964"/>
    <s v="KYNOLOGICKÝ KLUB HOLEŠOV"/>
    <s v="736"/>
    <x v="0"/>
    <x v="3"/>
    <s v="Holešov"/>
    <s v="Holešov, Střelnice 1288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10138"/>
    <s v="Kynologický klub Hřivínův Újezd, z.s."/>
    <s v="706"/>
    <x v="1"/>
    <x v="0"/>
    <s v="Hřivínův Újezd"/>
    <s v="Hřivínův Újezd 50, PSČ 7630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66254"/>
    <s v="Kynologický klub Jasenná"/>
    <s v="736"/>
    <x v="0"/>
    <x v="0"/>
    <s v="Jasenná"/>
    <s v="Jasenná, 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5455"/>
    <s v="Kynologický klub Koryčany"/>
    <s v="706"/>
    <x v="1"/>
    <x v="3"/>
    <s v="Koryčany"/>
    <s v="Koryčany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14384"/>
    <s v="KYNOLOGICKÝ KLUB MORKOVICE"/>
    <s v="736"/>
    <x v="0"/>
    <x v="3"/>
    <s v="Morkovice-Slížany"/>
    <s v="Morkovice-Slížany, Nádražní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46626"/>
    <s v="Kynologický klub Valašské Klobouky"/>
    <s v="706"/>
    <x v="1"/>
    <x v="0"/>
    <s v="Poteč"/>
    <s v="Valašské Klobouky, Poteč 13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289"/>
    <s v="Kynologický klub Zlín pobočný spolek Moravskoslezského kynologického svazu"/>
    <s v="736"/>
    <x v="0"/>
    <x v="0"/>
    <s v="Želechovice nad Dřevnicí"/>
    <s v="Želechovice nad Dřevnicí, Lysá 572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9667"/>
    <s v="KYNOLOGICKÝ ODDÍL CBA o.s."/>
    <s v="736"/>
    <x v="0"/>
    <x v="2"/>
    <s v="Bojkovice"/>
    <s v="Bojkovice, Krhov 14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2732"/>
    <s v="Kynologický spolek Dog Zlín"/>
    <s v="706"/>
    <x v="1"/>
    <x v="0"/>
    <s v="Zlín"/>
    <s v="Zlín, Kudlov, Modrá 67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80141"/>
    <s v="Kynologický spolek Doubravy"/>
    <s v="706"/>
    <x v="1"/>
    <x v="0"/>
    <s v="Doubravy"/>
    <s v="Doubravy 7, PSČ 7634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0749594"/>
    <s v="Kynologický spolek HUBERT"/>
    <s v="706"/>
    <x v="1"/>
    <x v="0"/>
    <s v="Březnice"/>
    <s v="Březnice 23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89668"/>
    <s v="Kynologický spolek Morkovice"/>
    <s v="706"/>
    <x v="1"/>
    <x v="3"/>
    <s v="Hoštice"/>
    <s v="Hoštice 92, PSČ 7681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36366"/>
    <s v="Kyokushin karate klub Slavičín"/>
    <s v="706"/>
    <x v="1"/>
    <x v="0"/>
    <s v="Slavičín"/>
    <s v="Slavičín, Školní 403, PSČ 76321"/>
    <s v="93110"/>
    <s v="Provozování sportovních zařízení"/>
    <m/>
    <m/>
    <m/>
    <m/>
    <m/>
    <m/>
    <m/>
    <m/>
    <m/>
    <m/>
    <m/>
    <m/>
    <m/>
    <m/>
    <m/>
    <m/>
    <m/>
  </r>
  <r>
    <s v="05721253"/>
    <s v="K+Z+H, z.s."/>
    <s v="706"/>
    <x v="1"/>
    <x v="1"/>
    <s v="Rožnov pod Radhoštěm"/>
    <s v="Rožnov pod Radhoštěm, Palackého 45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06468"/>
    <s v="&quot;Lačnovjané pro lepší Lačnov z.s./zapsaný spolek&quot;"/>
    <s v="706"/>
    <x v="1"/>
    <x v="1"/>
    <s v="Lačnov"/>
    <s v="Lačnov 286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03355"/>
    <s v="LADIVA, Prostor pro zdraví a radost, z.s."/>
    <s v="706"/>
    <x v="1"/>
    <x v="1"/>
    <s v="Nový Hrozenkov"/>
    <s v="Nový Hrozenkov 461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2117"/>
    <s v="Lajbl, z.s."/>
    <s v="706"/>
    <x v="1"/>
    <x v="2"/>
    <s v="Kostelany nad Moravou"/>
    <s v="Kostelany nad Moravou 33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9886"/>
    <s v="Lakros klub Kroměříž z.s."/>
    <s v="706"/>
    <x v="1"/>
    <x v="3"/>
    <s v="Kroměříž"/>
    <s v="Kroměříž, Vrchlického 2899/3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944784"/>
    <s v="Lampion - dětem i rodičům, z.s."/>
    <s v="706"/>
    <x v="1"/>
    <x v="0"/>
    <s v="Zlín"/>
    <s v="Zlín, Příluky, Přílucká 4117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6569949"/>
    <s v="LARS DH racing team"/>
    <s v="706"/>
    <x v="1"/>
    <x v="1"/>
    <s v="Pržno"/>
    <s v="Pržno 88, PSČ 756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38922"/>
    <s v="LAUDATE, z.s."/>
    <s v="706"/>
    <x v="1"/>
    <x v="2"/>
    <s v="Hluk"/>
    <s v="Hluk, nám. Komenského 59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9207"/>
    <s v="LAWN TENIS CLUB LÍSKOVEC z.s."/>
    <s v="706"/>
    <x v="1"/>
    <x v="3"/>
    <s v="Koryčany"/>
    <s v="Koryčany, Lískovec 70, PSČ 76805"/>
    <s v="93120"/>
    <s v="Činnosti sportovních klubů"/>
    <s v="Ostatní vzdělávání"/>
    <s v="Pronájem a leasing ostatních výrobků pro osobní potřebu a převážně pro domácnost"/>
    <m/>
    <m/>
    <m/>
    <m/>
    <m/>
    <m/>
    <m/>
    <m/>
    <m/>
    <m/>
    <m/>
    <m/>
    <m/>
    <m/>
    <m/>
  </r>
  <r>
    <s v="29188172"/>
    <s v="Lázeňská kolonáda Luhačovice, o.p.s."/>
    <s v="141"/>
    <x v="2"/>
    <x v="0"/>
    <s v="Luhačovice"/>
    <s v="Luhačovice, Lázeňské náměstí 436, PSČ 76326"/>
    <s v="9499"/>
    <s v="Činnosti ostatních organizací sdružujících osoby za účelem prosazování společných zájmů j. n."/>
    <s v="Činnosti v oblasti nemovitostí"/>
    <s v="Bezpečnostní a pátrací činnosti"/>
    <s v="Vydávání knih, periodických publikací a ostatní vydavatelské činnosti"/>
    <s v="Reklamní činnosti"/>
    <s v="Pronájem a leasing výrobků pro osobní potřebu a převážně pro domácnost"/>
    <s v="Činnosti cestovních agentur a cestovních kanceláří"/>
    <s v="Ostatní zábavní a rekreační činnosti j. n."/>
    <m/>
    <m/>
    <m/>
    <m/>
    <m/>
    <m/>
    <m/>
    <m/>
    <m/>
    <m/>
  </r>
  <r>
    <s v="27020720"/>
    <s v="Lazy - Kamenná"/>
    <s v="706"/>
    <x v="1"/>
    <x v="0"/>
    <s v="Zlín"/>
    <s v="Zlín, Slovenská 268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11033"/>
    <s v="Lebedovský mlýn z.s."/>
    <s v="706"/>
    <x v="1"/>
    <x v="3"/>
    <s v="Zdounky"/>
    <s v="Zdounky, Lebedov 108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319685"/>
    <s v="Ledňáček - bezpečí dětem, z. s."/>
    <s v="706"/>
    <x v="1"/>
    <x v="0"/>
    <s v="Zlín"/>
    <s v="Zlín, Malenovice, třída 3. května 910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9480"/>
    <s v="Leluja, z.s."/>
    <s v="706"/>
    <x v="1"/>
    <x v="0"/>
    <s v="Provodov"/>
    <s v="Provodov 56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267964"/>
    <s v="LENAS z.s."/>
    <s v="706"/>
    <x v="1"/>
    <x v="0"/>
    <s v="Hvozdná"/>
    <s v="Hvozdná, K Větřáku 436, PSČ 76310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4118871"/>
    <s v="Lepší budoucnost, z.s."/>
    <s v="706"/>
    <x v="1"/>
    <x v="2"/>
    <s v="Uherské Hradiště"/>
    <s v="Uherské Hradiště, Jarošov, Pivovarská 273, PSČ 68601"/>
    <s v="94993"/>
    <s v="Činnosti organizací na podporu rekreační a zájmové činnosti"/>
    <s v="Činnosti ostatních organizací sdružujících osoby za účelem prosazování společných zájmů j. n."/>
    <s v="Činnosti organizací na podporu kulturní činnosti"/>
    <m/>
    <m/>
    <m/>
    <m/>
    <m/>
    <m/>
    <m/>
    <m/>
    <m/>
    <m/>
    <m/>
    <m/>
    <m/>
    <m/>
    <m/>
  </r>
  <r>
    <s v="09833633"/>
    <s v="Lepší život Elince, z.s."/>
    <s v="706"/>
    <x v="1"/>
    <x v="0"/>
    <s v="Zlín"/>
    <s v="Zlín, Křiby 4708, PSČ 760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1546783"/>
    <s v="LESAN, z.s."/>
    <s v="706"/>
    <x v="1"/>
    <x v="3"/>
    <s v="Hoštice"/>
    <s v="Hoštice 66, PSČ 768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71781"/>
    <s v="Lesní družstvo Maršov, z.s."/>
    <s v="706"/>
    <x v="1"/>
    <x v="2"/>
    <s v="Uherský Brod"/>
    <s v="Uherský Brod, Maršov 33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335125"/>
    <s v="Lesní klub Lileška, z.s."/>
    <s v="706"/>
    <x v="1"/>
    <x v="0"/>
    <s v="Zlín"/>
    <s v="Zlín, Lhotka 64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047994"/>
    <s v="Lesní klub Oříšek z. s."/>
    <s v="706"/>
    <x v="1"/>
    <x v="1"/>
    <s v="Hovězí"/>
    <s v="Hovězí 239, PSČ 75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366292"/>
    <s v="Lesní klub Vrběnka, z.s."/>
    <s v="706"/>
    <x v="1"/>
    <x v="0"/>
    <s v="Valašské Klobouky"/>
    <s v="Valašské Klobouky, Kramolišova 12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773629"/>
    <s v="Lesní komunitní škola Sýkorka, z.s."/>
    <s v="706"/>
    <x v="1"/>
    <x v="0"/>
    <s v="Zlín"/>
    <s v="Zlín, Velíková, Vlnitá 18, PSČ 76314"/>
    <s v="855"/>
    <s v="Ostatní vzdělávání"/>
    <m/>
    <m/>
    <m/>
    <m/>
    <m/>
    <m/>
    <m/>
    <m/>
    <m/>
    <m/>
    <m/>
    <m/>
    <m/>
    <m/>
    <m/>
    <m/>
    <m/>
  </r>
  <r>
    <s v="06393691"/>
    <s v="Lesní mateřská škola Clavicula, z.ú."/>
    <s v="161"/>
    <x v="3"/>
    <x v="2"/>
    <s v="Uherské Hradiště"/>
    <s v="Uherské Hradiště, Svatoplukova 288, PSČ 68601"/>
    <s v="85100"/>
    <s v="Předškolní vzdělávání"/>
    <s v="Stravování ve školních zařízeních, menzách"/>
    <m/>
    <m/>
    <m/>
    <m/>
    <m/>
    <m/>
    <m/>
    <m/>
    <m/>
    <m/>
    <m/>
    <m/>
    <m/>
    <m/>
    <m/>
    <m/>
  </r>
  <r>
    <s v="27018644"/>
    <s v="Lesní singulární sdružení Provodov"/>
    <s v="706"/>
    <x v="1"/>
    <x v="0"/>
    <s v="Provodov"/>
    <s v="Provodov 221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11211"/>
    <s v="Lesní singulární společnost č.1 Březová"/>
    <s v="706"/>
    <x v="1"/>
    <x v="0"/>
    <s v="Březová"/>
    <s v="Březov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11203"/>
    <s v="Lesní singulární společnost č.2 Březová, spolek"/>
    <s v="706"/>
    <x v="1"/>
    <x v="0"/>
    <s v="Březová"/>
    <s v="Březová 36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3880"/>
    <s v="Lesní singulární společnost Jasenná ,z.s."/>
    <s v="706"/>
    <x v="1"/>
    <x v="0"/>
    <s v="Jasenná"/>
    <s v="Jasenná 54, PSČ 76313"/>
    <s v="02400"/>
    <s v="Podpůrné činnosti pro lesnictví"/>
    <m/>
    <m/>
    <m/>
    <m/>
    <m/>
    <m/>
    <m/>
    <m/>
    <m/>
    <m/>
    <m/>
    <m/>
    <m/>
    <m/>
    <m/>
    <m/>
    <m/>
  </r>
  <r>
    <s v="06259715"/>
    <s v="Lesní singulární společnost Lípa, z.s."/>
    <s v="706"/>
    <x v="1"/>
    <x v="0"/>
    <s v="Lípa"/>
    <s v="Lípa 220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5073"/>
    <s v="Lesní singulární společnost Nětčice, zapsaný spolek"/>
    <s v="706"/>
    <x v="1"/>
    <x v="3"/>
    <s v="Kroměříž"/>
    <s v="Kroměříž, Havlíčkova 4257/119C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408840"/>
    <s v="Lesní singulární společnost Ostrata, spolek"/>
    <s v="706"/>
    <x v="1"/>
    <x v="0"/>
    <s v="Ostrata"/>
    <s v="Ostrata 23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7851"/>
    <s v="Lesní singulární společnost Pozděchov, z.s."/>
    <s v="706"/>
    <x v="1"/>
    <x v="1"/>
    <s v="Pozděchov"/>
    <s v="Pozděchov 215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653691"/>
    <s v="Lesní singulární společnost ve Vizovicích, z.s."/>
    <s v="706"/>
    <x v="1"/>
    <x v="0"/>
    <s v="Vizovice"/>
    <s v="Vizovice, čtvrť A. Háby 841, PSČ 76312"/>
    <s v="94995"/>
    <s v="Činnosti environmentálních a ekologických hnutí"/>
    <m/>
    <m/>
    <m/>
    <m/>
    <m/>
    <m/>
    <m/>
    <m/>
    <m/>
    <m/>
    <m/>
    <m/>
    <m/>
    <m/>
    <m/>
    <m/>
    <m/>
  </r>
  <r>
    <s v="48472191"/>
    <s v="Lesní singulární spolek Raková"/>
    <s v="706"/>
    <x v="1"/>
    <x v="0"/>
    <s v="Zádveřice-Raková"/>
    <s v="Zádveřice-Raková, Raková 6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400"/>
    <s v="Lesní spolek Návojná"/>
    <s v="706"/>
    <x v="1"/>
    <x v="0"/>
    <s v="Návojná"/>
    <s v="Návojná 32, PSČ 763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55976"/>
    <s v="Lesní škola Včelka, z.s."/>
    <s v="706"/>
    <x v="1"/>
    <x v="1"/>
    <s v="Valašské Meziříčí"/>
    <s v="Valašské Meziříčí, Výletní 142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164084"/>
    <s v="Lesní školka Vičanov, z.s."/>
    <s v="706"/>
    <x v="1"/>
    <x v="0"/>
    <s v="Tlumačov"/>
    <s v="Tlumačov, Nádražní 204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148970"/>
    <s v="Lesní zvěřinec z.s."/>
    <s v="706"/>
    <x v="1"/>
    <x v="1"/>
    <s v="Rožnov pod Radhoštěm"/>
    <s v="Rožnov pod Radhoštěm, Chodská 532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071810"/>
    <s v="LESNICKO DŘEVAŘSKÝ VZDĚLÁVACÍ INSTITUT z.s."/>
    <s v="706"/>
    <x v="1"/>
    <x v="3"/>
    <s v="Holešov"/>
    <s v="Holešov, Palackého 961/61, PSČ 76901"/>
    <s v="855"/>
    <s v="Ostatní vzdělávání"/>
    <m/>
    <m/>
    <m/>
    <m/>
    <m/>
    <m/>
    <m/>
    <m/>
    <m/>
    <m/>
    <m/>
    <m/>
    <m/>
    <m/>
    <m/>
    <m/>
    <m/>
  </r>
  <r>
    <s v="06252451"/>
    <s v="Letecká bitva Bílé Karpaty 1944, z.s."/>
    <s v="706"/>
    <x v="1"/>
    <x v="2"/>
    <s v="Bojkovice"/>
    <s v="Bojkovice, Palackého 17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675171"/>
    <s v="Letecké muzeum v Kunovicích pobočka Slováckého aeroklubu Kunovice"/>
    <s v="736"/>
    <x v="0"/>
    <x v="2"/>
    <s v="Kunovice"/>
    <s v="Kunovice, Letecká 1383, PSČ 68604"/>
    <s v="9499"/>
    <s v="Činnosti ostatních organizací sdružujících osoby za účelem prosazování společných zájmů j. n."/>
    <s v="Velkoobchod a maloobchod; opravy a údržba motorových vozidel"/>
    <s v="Výroba, obchod a služby neuvedené v přílohách 1 až 3 živnostenského zákona"/>
    <s v="Činnosti reklamních agentur"/>
    <s v="Činnosti cestovních agentur"/>
    <s v="Podpůrné činnosti pro scénická umění"/>
    <m/>
    <m/>
    <m/>
    <m/>
    <m/>
    <m/>
    <m/>
    <m/>
    <m/>
    <m/>
    <m/>
    <m/>
  </r>
  <r>
    <s v="67025889"/>
    <s v="Letecko modelářský klub &quot;&quot;Čmelák&quot;&quot; p.s., reg.č. 194 Holešov"/>
    <s v="736"/>
    <x v="0"/>
    <x v="3"/>
    <s v="Holešov"/>
    <s v="Holešov, Masarykova 653/15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134489"/>
    <s v="Letecko modelářský klub Halenkovice p.s."/>
    <s v="736"/>
    <x v="0"/>
    <x v="0"/>
    <s v="Halenkovice"/>
    <s v="Halenkovice 538, PSČ 763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145332"/>
    <s v="LETECKOMODELÁŘSKÝ KLUB KOSTELEC U HOLEŠOVA"/>
    <s v="736"/>
    <x v="0"/>
    <x v="3"/>
    <s v="Kostelec u Holešova"/>
    <s v="Kostelec u Holešova 5, PSČ 768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82996"/>
    <s v="leteckomodelářský klub Kroměříž p.s."/>
    <s v="736"/>
    <x v="0"/>
    <x v="3"/>
    <s v="Kroměříž"/>
    <s v="Kroměříž, Gen. Svobody 1288/17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9225504"/>
    <s v="Letecký klub Valašský Sršáň  z. s."/>
    <s v="706"/>
    <x v="1"/>
    <x v="1"/>
    <s v="Valašské Meziříčí"/>
    <s v="Valašské Meziříčí, Kardinála Bauera 1452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9560459"/>
    <s v="Letní škola barokní hudby, z.s."/>
    <s v="706"/>
    <x v="1"/>
    <x v="1"/>
    <s v="Loučka"/>
    <s v="Loučka, Lázy 14, PSČ 756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870011"/>
    <s v="Letokruhy, o. p. s."/>
    <s v="141"/>
    <x v="2"/>
    <x v="1"/>
    <s v="Vsetín"/>
    <s v="Vsetín, Tyršova 1271, PSČ 75501"/>
    <s v="88"/>
    <s v="Ambulantní nebo terénní sociální služby"/>
    <m/>
    <m/>
    <m/>
    <m/>
    <m/>
    <m/>
    <m/>
    <m/>
    <m/>
    <m/>
    <m/>
    <m/>
    <m/>
    <m/>
    <m/>
    <m/>
    <m/>
  </r>
  <r>
    <s v="27024989"/>
    <s v="Lezecký klub Vertikon Zlín z.s."/>
    <s v="706"/>
    <x v="1"/>
    <x v="0"/>
    <s v="Zlín"/>
    <s v="Zlín, Příluky, Boněcko I 264, PSČ 76001"/>
    <s v="93110"/>
    <s v="Provozování sportovních zařízení"/>
    <m/>
    <m/>
    <m/>
    <m/>
    <m/>
    <m/>
    <m/>
    <m/>
    <m/>
    <m/>
    <m/>
    <m/>
    <m/>
    <m/>
    <m/>
    <m/>
    <m/>
  </r>
  <r>
    <s v="27037452"/>
    <s v="Lidečanka, z. s."/>
    <s v="706"/>
    <x v="1"/>
    <x v="1"/>
    <s v="Lidečko"/>
    <s v="Lidečko 467, PSČ 75612"/>
    <s v="93110"/>
    <s v="Provozování sportovních zařízení"/>
    <m/>
    <m/>
    <m/>
    <m/>
    <m/>
    <m/>
    <m/>
    <m/>
    <m/>
    <m/>
    <m/>
    <m/>
    <m/>
    <m/>
    <m/>
    <m/>
    <m/>
  </r>
  <r>
    <s v="26645289"/>
    <s v="LIDOVÁ DECHOVÁ HUDBA ZUBROVKA"/>
    <s v="706"/>
    <x v="1"/>
    <x v="1"/>
    <s v="Zubří"/>
    <s v="Zubří, Rožnovská 444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8501"/>
    <s v="Lidová myslivecká společnost Kyselovice"/>
    <s v="706"/>
    <x v="1"/>
    <x v="3"/>
    <s v="Kyselovice"/>
    <s v="Kyselovice 143, PSČ 76811"/>
    <s v="01700"/>
    <s v="Lov a odchyt divokých zvířat a související činnosti"/>
    <m/>
    <m/>
    <m/>
    <m/>
    <m/>
    <m/>
    <m/>
    <m/>
    <m/>
    <m/>
    <m/>
    <m/>
    <m/>
    <m/>
    <m/>
    <m/>
    <m/>
  </r>
  <r>
    <s v="28309146"/>
    <s v="Lidové tradice a řemesla, o.p.s."/>
    <s v="141"/>
    <x v="2"/>
    <x v="2"/>
    <s v="Uherský Ostroh"/>
    <s v="Uherský Ostroh, Zámecká 196, PSČ 68724"/>
    <s v="9499"/>
    <s v="Činnosti ostatních organizací sdružujících osoby za účelem prosazování společných zájmů j. n."/>
    <s v="Úprava a spřádání textilních vláken a příze"/>
    <s v="Výroba brašnářských, sedlářských a podobných výrobků"/>
    <s v="Ostatní zábavní a rekreační činnosti j. n."/>
    <m/>
    <m/>
    <m/>
    <m/>
    <m/>
    <m/>
    <m/>
    <m/>
    <m/>
    <m/>
    <m/>
    <m/>
    <m/>
    <m/>
  </r>
  <r>
    <s v="02434679"/>
    <s v="Lidový dům Pitín"/>
    <s v="706"/>
    <x v="1"/>
    <x v="2"/>
    <s v="Pitín"/>
    <s v="Pit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79170"/>
    <s v="Lidový umělecký spolek Kaňúr"/>
    <s v="706"/>
    <x v="1"/>
    <x v="0"/>
    <s v="Študlov"/>
    <s v="Študlov 142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675432"/>
    <s v="Lidská pouta, z. ú."/>
    <s v="161"/>
    <x v="3"/>
    <x v="2"/>
    <s v="Buchlovice"/>
    <s v="Buchlovice, Příční 101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1241"/>
    <s v="Lifetime Taekwondo School, z. s."/>
    <s v="706"/>
    <x v="1"/>
    <x v="0"/>
    <s v="Zlín"/>
    <s v="Zlín, nám. T. G. Masaryka 1281, PSČ 76001"/>
    <s v="93190"/>
    <s v="Ostatní sportovní činnosti"/>
    <s v="Sportovní a rekreační vzdělávání"/>
    <m/>
    <m/>
    <m/>
    <m/>
    <m/>
    <m/>
    <m/>
    <m/>
    <m/>
    <m/>
    <m/>
    <m/>
    <m/>
    <m/>
    <m/>
    <m/>
  </r>
  <r>
    <s v="70435111"/>
    <s v="Liga lesní moudrosti - kmen Arapaho"/>
    <s v="736"/>
    <x v="0"/>
    <x v="2"/>
    <s v="Uherské Hradiště"/>
    <s v="Uherské Hradiště, Prostřední 4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749"/>
    <s v="Liga na ochranu zvířat ČR, místní pobočka Zlín"/>
    <s v="736"/>
    <x v="0"/>
    <x v="0"/>
    <s v="Zlín"/>
    <s v="Zlín, Vodní 420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102110"/>
    <s v="LINGUA CAMP z.s."/>
    <s v="706"/>
    <x v="1"/>
    <x v="0"/>
    <s v="Zlín"/>
    <s v="Zlín, nám. T. G. Masaryka 2433, PSČ 76001"/>
    <s v="94991"/>
    <s v="Činnosti organizací dětí a mládeže"/>
    <s v="Ostatní vzdělávání"/>
    <m/>
    <m/>
    <m/>
    <m/>
    <m/>
    <m/>
    <m/>
    <m/>
    <m/>
    <m/>
    <m/>
    <m/>
    <m/>
    <m/>
    <m/>
    <m/>
  </r>
  <r>
    <s v="07364997"/>
    <s v="Lion Fight Club z. s."/>
    <s v="706"/>
    <x v="1"/>
    <x v="0"/>
    <s v="Pohořelice"/>
    <s v="Pohořelice, Pod Zámkem 158, PSČ 76361"/>
    <s v="93190"/>
    <s v="Ostatní sportovní činnosti"/>
    <m/>
    <m/>
    <m/>
    <m/>
    <m/>
    <m/>
    <m/>
    <m/>
    <m/>
    <m/>
    <m/>
    <m/>
    <m/>
    <m/>
    <m/>
    <m/>
    <m/>
  </r>
  <r>
    <s v="22689729"/>
    <s v="Lions Club Holešov Cecilie, o.s."/>
    <s v="706"/>
    <x v="1"/>
    <x v="3"/>
    <s v="Holešov"/>
    <s v="Holešov, Sportovní 1460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876454"/>
    <s v="Lipské čarodějnice, z.s."/>
    <s v="706"/>
    <x v="1"/>
    <x v="0"/>
    <s v="Lípa"/>
    <s v="Lípa 220, PSČ 76311"/>
    <s v="9499"/>
    <s v="Činnosti ostatních organizací sdružujících osoby za účelem prosazování společných zájmů j. n."/>
    <s v="Maloobchod v nespecializovaných prodejnách"/>
    <s v="Stravování v restauracích, u stánků a v mobilních zařízeních"/>
    <m/>
    <m/>
    <m/>
    <m/>
    <m/>
    <m/>
    <m/>
    <m/>
    <m/>
    <m/>
    <m/>
    <m/>
    <m/>
    <m/>
    <m/>
  </r>
  <r>
    <s v="28558863"/>
    <s v="LÍSKA, z.s."/>
    <s v="706"/>
    <x v="1"/>
    <x v="1"/>
    <s v="Vsetín"/>
    <s v="Vsetín, Dolní náměstí 429, PSČ 75501"/>
    <s v="94995"/>
    <s v="Činnosti environmentálních a ekologických hnutí"/>
    <m/>
    <m/>
    <m/>
    <m/>
    <m/>
    <m/>
    <m/>
    <m/>
    <m/>
    <m/>
    <m/>
    <m/>
    <m/>
    <m/>
    <m/>
    <m/>
    <m/>
  </r>
  <r>
    <s v="26656035"/>
    <s v="Literární klub U Pěti Káčat"/>
    <s v="706"/>
    <x v="1"/>
    <x v="0"/>
    <s v="Otrokovice"/>
    <s v="Otrokovice, Havlíčkova 290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340360"/>
    <s v="Liv4U spolek"/>
    <s v="706"/>
    <x v="1"/>
    <x v="2"/>
    <s v="Huštěnovice"/>
    <s v="Huštěnovice 407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513418"/>
    <s v="LK Dopohody z.s."/>
    <s v="706"/>
    <x v="1"/>
    <x v="1"/>
    <s v="Valašské Meziříčí"/>
    <s v="Valašské Meziříčí, Krásno nad Bečvou, Václavkova 373/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05314"/>
    <s v="LK Falcon z.s."/>
    <s v="706"/>
    <x v="1"/>
    <x v="1"/>
    <s v="Rožnov pod Radhoštěm"/>
    <s v="Rožnov pod Radhoštěm, 1. máje 1277, PSČ 75661"/>
    <s v="93190"/>
    <s v="Ostatní sportovní činnosti"/>
    <m/>
    <m/>
    <m/>
    <m/>
    <m/>
    <m/>
    <m/>
    <m/>
    <m/>
    <m/>
    <m/>
    <m/>
    <m/>
    <m/>
    <m/>
    <m/>
    <m/>
  </r>
  <r>
    <s v="75093430"/>
    <s v="LMK Blaník p.s."/>
    <s v="736"/>
    <x v="0"/>
    <x v="2"/>
    <s v="Kunovice"/>
    <s v="Kunovice, Pekařská 863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338781"/>
    <s v="LMK BLANÍK Uh.Hradiště p.s."/>
    <s v="736"/>
    <x v="0"/>
    <x v="2"/>
    <s v="Kunovice"/>
    <s v="Kunovice, Panská 9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8613"/>
    <s v="LMK BŘEST - CRAZY PILOTS,modelářský klub p.s."/>
    <s v="736"/>
    <x v="0"/>
    <x v="3"/>
    <s v="Břest"/>
    <s v="Břest, Břest 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7181"/>
    <s v="LMK Prakšice - Pašovice"/>
    <s v="706"/>
    <x v="1"/>
    <x v="2"/>
    <s v="Prakšice"/>
    <s v="Prakšice 29, Obecní úřad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800291"/>
    <s v="LMK Slavičín p.s."/>
    <s v="736"/>
    <x v="0"/>
    <x v="0"/>
    <s v="Bohuslavice nad Vláří"/>
    <s v="Bohuslavice nad Vláří 105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027517"/>
    <s v="LMK Staré Město"/>
    <s v="736"/>
    <x v="0"/>
    <x v="2"/>
    <s v="Staré Město"/>
    <s v="Staré Město, Trávník 2097, PSČ 68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9054073"/>
    <s v="LMK Staré Město p.s."/>
    <s v="736"/>
    <x v="0"/>
    <x v="2"/>
    <s v="Staré Město"/>
    <s v="Staré Město, Trávník 2097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467597"/>
    <s v="LMK Valašské Klobouky- modelářský klub p.s."/>
    <s v="736"/>
    <x v="0"/>
    <x v="0"/>
    <s v="Valašské Klobouky"/>
    <s v="Valašské Klobouky, Palackého 648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092875"/>
    <s v="LMK Zlín modelářský klub p.s."/>
    <s v="736"/>
    <x v="0"/>
    <x v="2"/>
    <s v="Traplice"/>
    <s v="Traplice 57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69190"/>
    <s v="LocalGym, z. s."/>
    <s v="706"/>
    <x v="1"/>
    <x v="2"/>
    <s v="Strání"/>
    <s v="Strání, Květná, Mlýnky 282, PSČ 68766"/>
    <s v="93190"/>
    <s v="Ostatní sportovní činnosti"/>
    <m/>
    <m/>
    <m/>
    <m/>
    <m/>
    <m/>
    <m/>
    <m/>
    <m/>
    <m/>
    <m/>
    <m/>
    <m/>
    <m/>
    <m/>
    <m/>
    <m/>
  </r>
  <r>
    <s v="22832025"/>
    <s v="Lodě Staré Město, o.s."/>
    <s v="706"/>
    <x v="1"/>
    <x v="2"/>
    <s v="Staré Město"/>
    <s v="Staré Město, Na Zerzavici 4500, Přístaviště Baťův kanál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8554396"/>
    <s v="Lodě-hausbóty z.s."/>
    <s v="706"/>
    <x v="1"/>
    <x v="2"/>
    <s v="Staré Město"/>
    <s v="Staré Město, Zerzavice 2173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89911"/>
    <s v="Lodní Sporty Kroměříž z.s."/>
    <s v="706"/>
    <x v="1"/>
    <x v="3"/>
    <s v="Kroměříž"/>
    <s v="Kroměříž, Fügnerova 923/4, PSČ 76701"/>
    <s v="93110"/>
    <s v="Provozování sportovních zařízení"/>
    <m/>
    <m/>
    <m/>
    <m/>
    <m/>
    <m/>
    <m/>
    <m/>
    <m/>
    <m/>
    <m/>
    <m/>
    <m/>
    <m/>
    <m/>
    <m/>
    <m/>
  </r>
  <r>
    <s v="62180932"/>
    <s v="Lodní sporty Zlín, z.s."/>
    <s v="706"/>
    <x v="1"/>
    <x v="0"/>
    <s v="Otrokovice"/>
    <s v="Otrokovice, Štěrkoviště 1292, PSČ 76502"/>
    <s v="93120"/>
    <s v="Činnosti sportovních klubů"/>
    <m/>
    <m/>
    <m/>
    <m/>
    <m/>
    <m/>
    <m/>
    <m/>
    <m/>
    <m/>
    <m/>
    <m/>
    <m/>
    <m/>
    <m/>
    <m/>
    <m/>
  </r>
  <r>
    <s v="17948185"/>
    <s v="Lofofora z. s."/>
    <s v="706"/>
    <x v="1"/>
    <x v="0"/>
    <s v="Zlín"/>
    <s v="Zlín, nám. T. G. Masaryka 128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4504"/>
    <s v="Longbird o. s."/>
    <s v="706"/>
    <x v="1"/>
    <x v="0"/>
    <s v="Zlín"/>
    <s v="Zlín, třída Tomáše Bati 2596, PSČ 76001"/>
    <s v="93190"/>
    <s v="Ostatní sportovní činnosti"/>
    <m/>
    <m/>
    <m/>
    <m/>
    <m/>
    <m/>
    <m/>
    <m/>
    <m/>
    <m/>
    <m/>
    <m/>
    <m/>
    <m/>
    <m/>
    <m/>
    <m/>
  </r>
  <r>
    <s v="48773263"/>
    <s v="Loutkové divadélko KOHÚTEK Vsetín, z.s."/>
    <s v="706"/>
    <x v="1"/>
    <x v="1"/>
    <s v="Vsetín"/>
    <s v="Vsetín, Rokytnice, Rokytnice 326, PSČ 75501"/>
    <s v="90010"/>
    <s v="Scénická umění"/>
    <m/>
    <m/>
    <m/>
    <m/>
    <m/>
    <m/>
    <m/>
    <m/>
    <m/>
    <m/>
    <m/>
    <m/>
    <m/>
    <m/>
    <m/>
    <m/>
    <m/>
  </r>
  <r>
    <s v="62831771"/>
    <s v="LR Motocross Prakšice klub v AČR"/>
    <s v="736"/>
    <x v="0"/>
    <x v="2"/>
    <s v="Prakšice"/>
    <s v="Prakšice 25, PSČ 6875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08871"/>
    <s v="LUCKY DANCERS ZLÍN"/>
    <s v="706"/>
    <x v="1"/>
    <x v="0"/>
    <s v="Zlín"/>
    <s v="Zlín, SNP 4746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30529"/>
    <s v="LUDOSITAMET spolek"/>
    <s v="706"/>
    <x v="1"/>
    <x v="0"/>
    <s v="Zlín"/>
    <s v="Zlín, Nad Stráněmi 4684, PSČ 76005"/>
    <s v="93190"/>
    <s v="Ostatní sportovní činnosti"/>
    <s v="Činnosti ostatních organizací sdružujících osoby za účelem prosazování společných zájmů j. n."/>
    <s v="Podpůrné činnosti pro scénická umění"/>
    <m/>
    <m/>
    <m/>
    <m/>
    <m/>
    <m/>
    <m/>
    <m/>
    <m/>
    <m/>
    <m/>
    <m/>
    <m/>
    <m/>
    <m/>
  </r>
  <r>
    <s v="01383566"/>
    <s v="LUHAČOVICKÁ o.p.s."/>
    <s v="141"/>
    <x v="2"/>
    <x v="0"/>
    <s v="Zlín"/>
    <s v="Zlín, K Pasekám 2984/45, PSČ 76001"/>
    <s v="8730"/>
    <s v="Sociální péče v domovech pro seniory a osoby se zdravotním postižením"/>
    <s v="Ubytování"/>
    <m/>
    <m/>
    <m/>
    <m/>
    <m/>
    <m/>
    <m/>
    <m/>
    <m/>
    <m/>
    <m/>
    <m/>
    <m/>
    <m/>
    <m/>
    <m/>
  </r>
  <r>
    <s v="22833528"/>
    <s v="Luhačovický okrašlovací spolek CALMA"/>
    <s v="706"/>
    <x v="1"/>
    <x v="0"/>
    <s v="Luhačovice"/>
    <s v="Luhačovice, Masarykova 950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735109"/>
    <s v="Luhačovské Zálesí, o.p.s."/>
    <s v="141"/>
    <x v="2"/>
    <x v="0"/>
    <s v="Slavičín"/>
    <s v="Slavičín, Osvobození 25, PSČ 76321"/>
    <s v="9499"/>
    <s v="Činnosti ostatních organizací sdružujících osoby za účelem prosazování společných zájmů j. n."/>
    <s v="Poradenství v oblasti řízení"/>
    <m/>
    <m/>
    <m/>
    <m/>
    <m/>
    <m/>
    <m/>
    <m/>
    <m/>
    <m/>
    <m/>
    <m/>
    <m/>
    <m/>
    <m/>
    <m/>
  </r>
  <r>
    <s v="22831606"/>
    <s v="LUHOvaný VINCENT, z.s."/>
    <s v="706"/>
    <x v="1"/>
    <x v="0"/>
    <s v="Luhačovice"/>
    <s v="Luhačovice, Antonína Slavíčka 267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0075"/>
    <s v="LUISA, z.s."/>
    <s v="706"/>
    <x v="1"/>
    <x v="2"/>
    <s v="Uherský Brod"/>
    <s v="Uherský Brod, Bří Lužů 116, PSČ 68801"/>
    <s v="8899"/>
    <s v="Ostatní ambulantní nebo terénní sociální služby j. n."/>
    <m/>
    <m/>
    <m/>
    <m/>
    <m/>
    <m/>
    <m/>
    <m/>
    <m/>
    <m/>
    <m/>
    <m/>
    <m/>
    <m/>
    <m/>
    <m/>
    <m/>
  </r>
  <r>
    <s v="07536224"/>
    <s v="Lukostřelba Kroměříž z.s."/>
    <s v="706"/>
    <x v="1"/>
    <x v="3"/>
    <s v="Kroměříž"/>
    <s v="Kroměříž, U Rejdiště 3791/17, PSČ 76701"/>
    <s v="93190"/>
    <s v="Ostatní sportovní činnosti"/>
    <m/>
    <m/>
    <m/>
    <m/>
    <m/>
    <m/>
    <m/>
    <m/>
    <m/>
    <m/>
    <m/>
    <m/>
    <m/>
    <m/>
    <m/>
    <m/>
    <m/>
  </r>
  <r>
    <s v="03037797"/>
    <s v="Lukostřelecký klub Phoenix Kostelec, z.s."/>
    <s v="706"/>
    <x v="1"/>
    <x v="0"/>
    <s v="Zlín"/>
    <s v="Zlín, Kostelec, Zlínská 75, PSČ 76314"/>
    <s v="93190"/>
    <s v="Ostatní sportovní činnosti"/>
    <m/>
    <m/>
    <m/>
    <m/>
    <m/>
    <m/>
    <m/>
    <m/>
    <m/>
    <m/>
    <m/>
    <m/>
    <m/>
    <m/>
    <m/>
    <m/>
    <m/>
  </r>
  <r>
    <s v="26642701"/>
    <s v="Lukostřelecký klub 3D Mrlínek, z.s."/>
    <s v="706"/>
    <x v="1"/>
    <x v="3"/>
    <s v="Bystřice pod Hostýnem"/>
    <s v="Bystřice pod Hostýnem, Rusavská 472, PSČ 76861"/>
    <s v="93110"/>
    <s v="Provozování sportovních zařízení"/>
    <m/>
    <m/>
    <m/>
    <m/>
    <m/>
    <m/>
    <m/>
    <m/>
    <m/>
    <m/>
    <m/>
    <m/>
    <m/>
    <m/>
    <m/>
    <m/>
    <m/>
  </r>
  <r>
    <s v="26602679"/>
    <s v="Lukovští"/>
    <s v="706"/>
    <x v="1"/>
    <x v="0"/>
    <s v="Zlín"/>
    <s v="Zlín, 2. května 409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184312"/>
    <s v="Lumír Vsetín, z.s."/>
    <s v="706"/>
    <x v="1"/>
    <x v="1"/>
    <s v="Vsetín"/>
    <s v="Vsetín, Luční 200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95941"/>
    <s v="Lutopecká - Kroměříž, o. s."/>
    <s v="706"/>
    <x v="1"/>
    <x v="3"/>
    <s v="Kroměříž"/>
    <s v="Kroměříž, Lutopecká 1422/1a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03688"/>
    <s v="Lužňáci, z.s."/>
    <s v="706"/>
    <x v="1"/>
    <x v="3"/>
    <s v="Chropyně"/>
    <s v="Chropyně, Nádražní 645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932726"/>
    <s v="Ly-Ko Chřiby z.s."/>
    <s v="706"/>
    <x v="1"/>
    <x v="3"/>
    <s v="Cetechovice"/>
    <s v="Cetechovice 84, PSČ 76802"/>
    <s v="93190"/>
    <s v="Ostatní sportovní činnosti"/>
    <m/>
    <m/>
    <m/>
    <m/>
    <m/>
    <m/>
    <m/>
    <m/>
    <m/>
    <m/>
    <m/>
    <m/>
    <m/>
    <m/>
    <m/>
    <m/>
    <m/>
  </r>
  <r>
    <s v="22874976"/>
    <s v="&quot;LYSB, o.s.&quot;"/>
    <s v="706"/>
    <x v="1"/>
    <x v="0"/>
    <s v="Zlín"/>
    <s v="Zlín, Prštné, U Sokolovny 121, PSČ 76001"/>
    <s v="93190"/>
    <s v="Ostatní sportovní činnosti"/>
    <m/>
    <m/>
    <m/>
    <m/>
    <m/>
    <m/>
    <m/>
    <m/>
    <m/>
    <m/>
    <m/>
    <m/>
    <m/>
    <m/>
    <m/>
    <m/>
    <m/>
  </r>
  <r>
    <s v="42340101"/>
    <s v="Lyžařský klub Javorník - Zlín, z.s.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990503"/>
    <s v="Lyžařský klub Lidečko, z.s."/>
    <s v="706"/>
    <x v="1"/>
    <x v="1"/>
    <s v="Lidečko"/>
    <s v="Lidečko, Obecní úřad čp.467"/>
    <s v="93120"/>
    <s v="Činnosti sportovních klubů"/>
    <m/>
    <m/>
    <m/>
    <m/>
    <m/>
    <m/>
    <m/>
    <m/>
    <m/>
    <m/>
    <m/>
    <m/>
    <m/>
    <m/>
    <m/>
    <m/>
    <m/>
  </r>
  <r>
    <s v="22844716"/>
    <s v="Lyžařský klub Petrůvka, z. s."/>
    <s v="706"/>
    <x v="1"/>
    <x v="0"/>
    <s v="Petrůvka"/>
    <s v="Petrůvka 90, PSČ 76321"/>
    <s v="93120"/>
    <s v="Činnosti sportovních klubů"/>
    <m/>
    <m/>
    <m/>
    <m/>
    <m/>
    <m/>
    <m/>
    <m/>
    <m/>
    <m/>
    <m/>
    <m/>
    <m/>
    <m/>
    <m/>
    <m/>
    <m/>
  </r>
  <r>
    <s v="44740719"/>
    <s v="Lyžařský klub Radhošť z.s."/>
    <s v="706"/>
    <x v="1"/>
    <x v="1"/>
    <s v="Dolní Bečva"/>
    <s v="Dolní Bečva 340, PSČ 75655"/>
    <s v="93120"/>
    <s v="Činnosti sportovních klubů"/>
    <m/>
    <m/>
    <m/>
    <m/>
    <m/>
    <m/>
    <m/>
    <m/>
    <m/>
    <m/>
    <m/>
    <m/>
    <m/>
    <m/>
    <m/>
    <m/>
    <m/>
  </r>
  <r>
    <s v="22737235"/>
    <s v="&quot;Lyžařský klub Razula Velké Karlovice&quot;"/>
    <s v="706"/>
    <x v="1"/>
    <x v="1"/>
    <s v="Velké Karlovice"/>
    <s v="Velké Karlovice 929, PSČ 75606"/>
    <s v="93110"/>
    <s v="Provozování sportovních zařízení"/>
    <m/>
    <m/>
    <m/>
    <m/>
    <m/>
    <m/>
    <m/>
    <m/>
    <m/>
    <m/>
    <m/>
    <m/>
    <m/>
    <m/>
    <m/>
    <m/>
    <m/>
  </r>
  <r>
    <s v="60371633"/>
    <s v="Lyžařský klub Strání - Květná, z. s."/>
    <s v="706"/>
    <x v="1"/>
    <x v="2"/>
    <s v="Strání"/>
    <s v="Strání, Květná, Slovenská 414, PSČ 68766"/>
    <s v="931"/>
    <s v="Sportovní činnosti"/>
    <m/>
    <m/>
    <m/>
    <m/>
    <m/>
    <m/>
    <m/>
    <m/>
    <m/>
    <m/>
    <m/>
    <m/>
    <m/>
    <m/>
    <m/>
    <m/>
    <m/>
  </r>
  <r>
    <s v="00208680"/>
    <s v="Lyžařský klub Zlín, z. s.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4344"/>
    <s v="Lyžařský oddíl CBA o.s."/>
    <s v="736"/>
    <x v="0"/>
    <x v="2"/>
    <s v="Bojkovice"/>
    <s v="Bojkovice, Krhov 14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4751"/>
    <s v="Lyžařský oddíl Hrachovec, z.s."/>
    <s v="706"/>
    <x v="1"/>
    <x v="1"/>
    <s v="Valašské Meziříčí"/>
    <s v="Valašské Meziříčí, Hrachovec 211, PSČ 75701"/>
    <s v="93190"/>
    <s v="Ostatní sportovní činnosti"/>
    <m/>
    <m/>
    <m/>
    <m/>
    <m/>
    <m/>
    <m/>
    <m/>
    <m/>
    <m/>
    <m/>
    <m/>
    <m/>
    <m/>
    <m/>
    <m/>
    <m/>
  </r>
  <r>
    <s v="47935715"/>
    <s v="Lyžařský oddíl SKI Bystřice pod Hostýnem"/>
    <s v="706"/>
    <x v="1"/>
    <x v="3"/>
    <s v="Bystřice pod Hostýnem"/>
    <s v="Bystřice pod Hostýnem"/>
    <s v="93110"/>
    <s v="Provozování sportovních zařízení"/>
    <m/>
    <m/>
    <m/>
    <m/>
    <m/>
    <m/>
    <m/>
    <m/>
    <m/>
    <m/>
    <m/>
    <m/>
    <m/>
    <m/>
    <m/>
    <m/>
    <m/>
  </r>
  <r>
    <s v="01491393"/>
    <s v="Lyžařský oddíl Slavičín, z.s."/>
    <s v="706"/>
    <x v="1"/>
    <x v="0"/>
    <s v="Slavičín"/>
    <s v="Slavičín, Školní 29, PSČ 76321"/>
    <s v="93190"/>
    <s v="Ostatní sportovní činnosti"/>
    <m/>
    <m/>
    <m/>
    <m/>
    <m/>
    <m/>
    <m/>
    <m/>
    <m/>
    <m/>
    <m/>
    <m/>
    <m/>
    <m/>
    <m/>
    <m/>
    <m/>
  </r>
  <r>
    <s v="60370173"/>
    <s v="M - klub Uh. Hradiště"/>
    <s v="706"/>
    <x v="1"/>
    <x v="2"/>
    <s v="Uherské Hradiště"/>
    <s v="Uherské Hradiště - Reduta, Masarykovo nám, 256, PSČ 686 01"/>
    <s v="9499"/>
    <s v="Činnosti ostatních organizací sdružujících osoby za účelem prosazování společných zájmů j. n."/>
    <s v="Stravování v restauracích, u stánků a v mobilních zařízeních"/>
    <m/>
    <m/>
    <m/>
    <m/>
    <m/>
    <m/>
    <m/>
    <m/>
    <m/>
    <m/>
    <m/>
    <m/>
    <m/>
    <m/>
    <m/>
    <m/>
  </r>
  <r>
    <s v="06267891"/>
    <s v="M Dance Crew KM Junior, z.s."/>
    <s v="706"/>
    <x v="1"/>
    <x v="3"/>
    <s v="Kroměříž"/>
    <s v="Kroměříž, Ztracená 62/18, PSČ 76701"/>
    <s v="90010"/>
    <s v="Scénická umění"/>
    <m/>
    <m/>
    <m/>
    <m/>
    <m/>
    <m/>
    <m/>
    <m/>
    <m/>
    <m/>
    <m/>
    <m/>
    <m/>
    <m/>
    <m/>
    <m/>
    <m/>
  </r>
  <r>
    <s v="22870296"/>
    <s v="MADE IN CZ production, z.s."/>
    <s v="706"/>
    <x v="1"/>
    <x v="2"/>
    <s v="Uherský Brod"/>
    <s v="Uherský Brod, U Plynárny 137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2702"/>
    <s v="MADIO z.s."/>
    <s v="706"/>
    <x v="1"/>
    <x v="0"/>
    <s v="Zlín"/>
    <s v="Zlín, Kvítková 3687, PSČ 76001"/>
    <s v="94991"/>
    <s v="Činnosti organizací dětí a mládeže"/>
    <m/>
    <m/>
    <m/>
    <m/>
    <m/>
    <m/>
    <m/>
    <m/>
    <m/>
    <m/>
    <m/>
    <m/>
    <m/>
    <m/>
    <m/>
    <m/>
    <m/>
  </r>
  <r>
    <s v="05492190"/>
    <s v="Magdala, z.s."/>
    <s v="706"/>
    <x v="1"/>
    <x v="3"/>
    <s v="Kroměříž"/>
    <s v="Kroměříž, Kotojedská 2518/20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9561"/>
    <s v="Magna Mysteria"/>
    <s v="706"/>
    <x v="1"/>
    <x v="0"/>
    <s v="Otrokovice"/>
    <s v="Otrokovice, Kvítkovice, Luční 1169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1050"/>
    <s v="MAJÁK Bojkovice z.s."/>
    <s v="706"/>
    <x v="1"/>
    <x v="2"/>
    <s v="Bojkovice"/>
    <s v="Bojkovice, Sušilova 95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664838"/>
    <s v="Maják Trails Zlín, z.s."/>
    <s v="706"/>
    <x v="1"/>
    <x v="0"/>
    <s v="Zlín"/>
    <s v="Zlín, Lesní 3333, PSČ 76001"/>
    <s v="93190"/>
    <s v="Ostatní sportovní činnosti"/>
    <s v="Ostatní vzdělávání"/>
    <m/>
    <m/>
    <m/>
    <m/>
    <m/>
    <m/>
    <m/>
    <m/>
    <m/>
    <m/>
    <m/>
    <m/>
    <m/>
    <m/>
    <m/>
    <m/>
  </r>
  <r>
    <s v="26562073"/>
    <s v="&quot;Majitelé nemovitostí v Kunovicích, o.s.&quot;"/>
    <s v="706"/>
    <x v="1"/>
    <x v="2"/>
    <s v="Kunovice"/>
    <s v="Kunovice, Panská 16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66465"/>
    <s v="Majlov z. s."/>
    <s v="706"/>
    <x v="1"/>
    <x v="3"/>
    <s v="Kroměříž"/>
    <s v="Kroměříž, Trávník 9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90291"/>
    <s v="Maková, z.s."/>
    <s v="706"/>
    <x v="1"/>
    <x v="1"/>
    <s v="Huslenky"/>
    <s v="Huslenky 554, PSČ 756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5201"/>
    <s v="Malá múza z.s."/>
    <s v="706"/>
    <x v="1"/>
    <x v="0"/>
    <s v="Zlín"/>
    <s v="Zlín, Mladcová, Kalinová 635, PSČ 76001"/>
    <s v="94991"/>
    <s v="Činnosti organizací dětí a mládeže"/>
    <m/>
    <m/>
    <m/>
    <m/>
    <m/>
    <m/>
    <m/>
    <m/>
    <m/>
    <m/>
    <m/>
    <m/>
    <m/>
    <m/>
    <m/>
    <m/>
    <m/>
  </r>
  <r>
    <s v="26652188"/>
    <s v="Malá scéna Zlín o.p.s"/>
    <s v="141"/>
    <x v="2"/>
    <x v="0"/>
    <s v="Zlín"/>
    <s v="Zlín, Štefánikova 2987/91, PSČ 76001"/>
    <s v="90010"/>
    <s v="Scénická umění"/>
    <m/>
    <m/>
    <m/>
    <m/>
    <m/>
    <m/>
    <m/>
    <m/>
    <m/>
    <m/>
    <m/>
    <m/>
    <m/>
    <m/>
    <m/>
    <m/>
    <m/>
  </r>
  <r>
    <s v="06613241"/>
    <s v="Malé mimi, nadační fond"/>
    <s v="118"/>
    <x v="6"/>
    <x v="0"/>
    <s v="Zlín"/>
    <s v="Zlín, třída Tomáše Bati 409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15956"/>
    <s v="Malé Zálesí, z. s."/>
    <s v="706"/>
    <x v="1"/>
    <x v="0"/>
    <s v="Luhačovice"/>
    <s v="Luhačovice, Masarykova 950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5955"/>
    <s v="MALOCH racing team"/>
    <s v="706"/>
    <x v="1"/>
    <x v="0"/>
    <s v="Otrokovice"/>
    <s v="Otrokovice, Kvítkovice, Kpt. Nálepky 1203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8705"/>
    <s v="MALVAS bike team o.s."/>
    <s v="706"/>
    <x v="1"/>
    <x v="0"/>
    <s v="Zlín"/>
    <s v="Zlín, Zálešná VIII 123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930"/>
    <s v="MAMI KLUB"/>
    <s v="706"/>
    <x v="1"/>
    <x v="3"/>
    <s v="Koryčany"/>
    <s v="Koryčany, Městská knihovna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32958"/>
    <s v="Mamila, z.s."/>
    <s v="706"/>
    <x v="1"/>
    <x v="1"/>
    <s v="Rožnov pod Radhoštěm"/>
    <s v="Rožnov pod Radhoštěm, Svazarmovská 1578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02203"/>
    <s v="MANGOES ENGLISH"/>
    <s v="706"/>
    <x v="1"/>
    <x v="1"/>
    <s v="Valašské Meziříčí"/>
    <s v="Valašské Meziříčí, Sokolská 346/5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0336"/>
    <s v="MANIAC PEDALS, z. s."/>
    <s v="706"/>
    <x v="1"/>
    <x v="2"/>
    <s v="Uherský Ostroh"/>
    <s v="Uherský Ostroh, Ostrožské Předměstí, Blatnická 200, PSČ 687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08588"/>
    <s v="Maníci o.s."/>
    <s v="706"/>
    <x v="1"/>
    <x v="3"/>
    <s v="Kroměříž"/>
    <s v="Kroměříž, Rumunská 4041/2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6182259"/>
    <s v="MARETTA, z.s."/>
    <s v="706"/>
    <x v="1"/>
    <x v="1"/>
    <s v="Vsetín"/>
    <s v="Vsetín, Pod Zakopaniců 269, PSČ 75501"/>
    <s v="9319"/>
    <s v="Ostatní sportovní činnosti"/>
    <m/>
    <m/>
    <m/>
    <m/>
    <m/>
    <m/>
    <m/>
    <m/>
    <m/>
    <m/>
    <m/>
    <m/>
    <m/>
    <m/>
    <m/>
    <m/>
    <m/>
  </r>
  <r>
    <s v="09615636"/>
    <s v="Martinice Gama z.s."/>
    <s v="706"/>
    <x v="1"/>
    <x v="3"/>
    <s v="Martinice"/>
    <s v="Martinice 212, PSČ 76901"/>
    <s v="94995"/>
    <s v="Činnosti environmentálních a ekologických hnutí"/>
    <m/>
    <m/>
    <m/>
    <m/>
    <m/>
    <m/>
    <m/>
    <m/>
    <m/>
    <m/>
    <m/>
    <m/>
    <m/>
    <m/>
    <m/>
    <m/>
    <m/>
  </r>
  <r>
    <s v="22879625"/>
    <s v="Mařaťané z. s."/>
    <s v="706"/>
    <x v="1"/>
    <x v="2"/>
    <s v="Uherské Hradiště"/>
    <s v="Uherské Hradiště, Mařatice, Pod Zahrady 345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2239"/>
    <s v="MAS Bojkovska, z.s."/>
    <s v="706"/>
    <x v="1"/>
    <x v="2"/>
    <s v="Bojkovice"/>
    <s v="Bojkovice, Sušilova 95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2698"/>
    <s v="MAS Buchlov, z.s."/>
    <s v="706"/>
    <x v="1"/>
    <x v="2"/>
    <s v="Buchlovice"/>
    <s v="Buchlovice, Masarykova 273, PSČ 68708"/>
    <s v="94999"/>
    <s v="Činnosti ostatních organizací j. n."/>
    <m/>
    <m/>
    <m/>
    <m/>
    <m/>
    <m/>
    <m/>
    <m/>
    <m/>
    <m/>
    <m/>
    <m/>
    <m/>
    <m/>
    <m/>
    <m/>
    <m/>
  </r>
  <r>
    <s v="26676109"/>
    <s v="MAS Hornolidečska, z.s."/>
    <s v="706"/>
    <x v="1"/>
    <x v="1"/>
    <s v="Lidečko"/>
    <s v="Lidečko 467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0354"/>
    <s v="MAS Ploština, z. s."/>
    <s v="706"/>
    <x v="1"/>
    <x v="0"/>
    <s v="Vysoké Pole"/>
    <s v="Vysoké Pole 118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07441"/>
    <s v="MAS Staroměstsko, z.s."/>
    <s v="706"/>
    <x v="1"/>
    <x v="2"/>
    <s v="Staré Město"/>
    <s v="Staré Město, náměstí Hrdinů 10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3458"/>
    <s v="MAS Střední Vsetínsko, z. s."/>
    <s v="706"/>
    <x v="1"/>
    <x v="1"/>
    <s v="Ratiboř"/>
    <s v="Ratiboř 75, PSČ 7562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7056660"/>
    <s v="MAS Vizovicko a Slušovicko, o.p.s."/>
    <s v="141"/>
    <x v="2"/>
    <x v="0"/>
    <s v="Vizovice"/>
    <s v="Vizovice, Masarykovo nám. 1007, PSČ 76312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7015777"/>
    <s v="MAS Východní Slovácko, z.s."/>
    <s v="706"/>
    <x v="1"/>
    <x v="2"/>
    <s v="Suchá Loz"/>
    <s v="Suchá Loz 72, PSČ 68753"/>
    <s v="94999"/>
    <s v="Činnosti ostatních organizací j. n."/>
    <m/>
    <m/>
    <m/>
    <m/>
    <m/>
    <m/>
    <m/>
    <m/>
    <m/>
    <m/>
    <m/>
    <m/>
    <m/>
    <m/>
    <m/>
    <m/>
    <m/>
  </r>
  <r>
    <s v="22847685"/>
    <s v="Mateřské a rodinné centrum BERUŠKA, z.s."/>
    <s v="706"/>
    <x v="1"/>
    <x v="0"/>
    <s v="Vizovice"/>
    <s v="Vizovice, Říčanská 335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40366"/>
    <s v="Mateřské a rodinné centrum Ozničánek, z. s."/>
    <s v="706"/>
    <x v="1"/>
    <x v="1"/>
    <s v="Oznice"/>
    <s v="Oznice 91, PSČ 75624"/>
    <s v="94991"/>
    <s v="Činnosti organizací dětí a mládeže"/>
    <m/>
    <m/>
    <m/>
    <m/>
    <m/>
    <m/>
    <m/>
    <m/>
    <m/>
    <m/>
    <m/>
    <m/>
    <m/>
    <m/>
    <m/>
    <m/>
    <m/>
  </r>
  <r>
    <s v="67006825"/>
    <s v="Mateřské centrum Batole - club"/>
    <s v="706"/>
    <x v="1"/>
    <x v="0"/>
    <s v="Vizovice"/>
    <s v="Vizovice, Slušovská 813, PSČ 763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1760265"/>
    <s v="Mateřské centrum MateříDoušek, z. s."/>
    <s v="706"/>
    <x v="1"/>
    <x v="0"/>
    <s v="Zlín"/>
    <s v="Zlín, Okružní 4736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25506"/>
    <s v="Mateřské centrum Motýlek Morkovice-Slížany z.s."/>
    <s v="706"/>
    <x v="1"/>
    <x v="3"/>
    <s v="Morkovice-Slížany"/>
    <s v="Morkovice-Slížany, Morkovice, 17. listopadu 140, PSČ 76833"/>
    <s v="94991"/>
    <s v="Činnosti organizací dětí a mládeže"/>
    <m/>
    <m/>
    <m/>
    <m/>
    <m/>
    <m/>
    <m/>
    <m/>
    <m/>
    <m/>
    <m/>
    <m/>
    <m/>
    <m/>
    <m/>
    <m/>
    <m/>
  </r>
  <r>
    <s v="26557894"/>
    <s v="Mateřské centrum Motýlek, o.s."/>
    <s v="706"/>
    <x v="1"/>
    <x v="1"/>
    <s v="Halenkov"/>
    <s v="Halenkov 57, PSČ 75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677198"/>
    <s v="Mateřské centrum Terezka z.s."/>
    <s v="706"/>
    <x v="1"/>
    <x v="3"/>
    <s v="Pravčice"/>
    <s v="Pravčice 26, PSČ 76824"/>
    <s v="9499"/>
    <s v="Činnosti ostatních organizací sdružujících osoby za účelem prosazování společných zájmů j. n."/>
    <s v="Výroba, obchod a služby neuvedené v přílohách 1 až 3 živnostenského zákona"/>
    <m/>
    <m/>
    <m/>
    <m/>
    <m/>
    <m/>
    <m/>
    <m/>
    <m/>
    <m/>
    <m/>
    <m/>
    <m/>
    <m/>
    <m/>
    <m/>
  </r>
  <r>
    <s v="02259541"/>
    <s v="Mateřské centrum Zlín"/>
    <s v="706"/>
    <x v="1"/>
    <x v="0"/>
    <s v="Zlín"/>
    <s v="Zlín, Sídliště 835, PSČ 760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206776"/>
    <s v="Matice svatohostýnská, z.s."/>
    <s v="706"/>
    <x v="1"/>
    <x v="3"/>
    <s v="Chvalčov"/>
    <s v="Chvalčov, Svatý Hostýn 115, PSČ 76872"/>
    <s v="94910"/>
    <s v="Činnosti náboženských organizací"/>
    <s v="Maloobchod v nespecializovaných prodejnách"/>
    <s v="Ostatní vzdělávání j. n."/>
    <s v="Výroba elektřiny"/>
    <s v="Činnosti související s odpadními vodami"/>
    <s v="Nespecializovaný velkoobchod"/>
    <s v="Skladování"/>
    <s v="Rekreační a ostatní krátkodobé ubytování"/>
    <s v="Provozování kulturních zařízení"/>
    <m/>
    <m/>
    <m/>
    <m/>
    <m/>
    <m/>
    <m/>
    <m/>
    <m/>
  </r>
  <r>
    <s v="21060754"/>
    <s v="Matice Štípská, z.s."/>
    <s v="706"/>
    <x v="1"/>
    <x v="0"/>
    <s v="Zlín"/>
    <s v="Zlín, Štípa, Mariánské náměstí 56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9825"/>
    <s v="Matice velehradská z.s."/>
    <s v="706"/>
    <x v="1"/>
    <x v="2"/>
    <s v="Velehrad"/>
    <s v="Velehrad, U Lípy 302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066992"/>
    <s v="Matice zašovská zapsaný spolek"/>
    <s v="706"/>
    <x v="1"/>
    <x v="1"/>
    <s v="Zašová"/>
    <s v="Zašová 45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9696"/>
    <s v="Mazlíčci SOS"/>
    <s v="706"/>
    <x v="1"/>
    <x v="2"/>
    <s v="Babice"/>
    <s v="Babice 550, PSČ 687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39089"/>
    <s v="Mažoretky Holešov, z.s."/>
    <s v="706"/>
    <x v="1"/>
    <x v="3"/>
    <s v="Holešov"/>
    <s v="Holešov, Osvobození 1659, PSČ 76901"/>
    <s v="93120"/>
    <s v="Činnosti sportovních klubů"/>
    <m/>
    <m/>
    <m/>
    <m/>
    <m/>
    <m/>
    <m/>
    <m/>
    <m/>
    <m/>
    <m/>
    <m/>
    <m/>
    <m/>
    <m/>
    <m/>
    <m/>
  </r>
  <r>
    <s v="06454291"/>
    <s v="Mažoretky Infinity z.s."/>
    <s v="706"/>
    <x v="1"/>
    <x v="3"/>
    <s v="Kroměříž"/>
    <s v="Kroměříž, Hradisko 40, PSČ 76701"/>
    <s v="93120"/>
    <s v="Činnosti sportovních klubů"/>
    <m/>
    <m/>
    <m/>
    <m/>
    <m/>
    <m/>
    <m/>
    <m/>
    <m/>
    <m/>
    <m/>
    <m/>
    <m/>
    <m/>
    <m/>
    <m/>
    <m/>
  </r>
  <r>
    <s v="22607552"/>
    <s v="Mažoretky Jany Pavlíčkové, z.s."/>
    <s v="706"/>
    <x v="1"/>
    <x v="3"/>
    <s v="Kroměříž"/>
    <s v="Kroměříž, Komenského náměstí 381/20, PSČ 76701"/>
    <s v="93120"/>
    <s v="Činnosti sportovních klubů"/>
    <m/>
    <m/>
    <m/>
    <m/>
    <m/>
    <m/>
    <m/>
    <m/>
    <m/>
    <m/>
    <m/>
    <m/>
    <m/>
    <m/>
    <m/>
    <m/>
    <m/>
  </r>
  <r>
    <s v="64529401"/>
    <s v="M-CENTRUM, konzultační, rekvalifikační a školicí středisko, z.s."/>
    <s v="706"/>
    <x v="1"/>
    <x v="2"/>
    <s v="Uherské Hradiště"/>
    <s v="Uherské Hradiště, Mařatice, Studentské náměstí 1531, PSČ 68601"/>
    <s v="94991"/>
    <s v="Činnosti organizací dětí a mládeže"/>
    <m/>
    <m/>
    <m/>
    <m/>
    <m/>
    <m/>
    <m/>
    <m/>
    <m/>
    <m/>
    <m/>
    <m/>
    <m/>
    <m/>
    <m/>
    <m/>
    <m/>
  </r>
  <r>
    <s v="09779256"/>
    <s v="MDK Pohořelice p.s."/>
    <s v="736"/>
    <x v="0"/>
    <x v="0"/>
    <s v="Pohořelice"/>
    <s v="Pohořelice, Školní 35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336135"/>
    <s v="Media Valašsko, o.p.s."/>
    <s v="141"/>
    <x v="2"/>
    <x v="0"/>
    <s v="Valašské Klobouky"/>
    <s v="Valašské Klobouky, Masarykovo náměstí 42, PSČ 76601"/>
    <s v="74"/>
    <s v="Ostatní profesní, vědecké a technické činnosti"/>
    <m/>
    <m/>
    <m/>
    <m/>
    <m/>
    <m/>
    <m/>
    <m/>
    <m/>
    <m/>
    <m/>
    <m/>
    <m/>
    <m/>
    <m/>
    <m/>
    <m/>
  </r>
  <r>
    <s v="22726047"/>
    <s v="Mediační centrum Zlín z.s."/>
    <s v="706"/>
    <x v="1"/>
    <x v="0"/>
    <s v="Žlutava"/>
    <s v="Žlutava 435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169507"/>
    <s v="Medlovské stezky, z.s."/>
    <s v="706"/>
    <x v="1"/>
    <x v="2"/>
    <s v="Medlovice"/>
    <s v="Medlovice 120, PSČ 68741"/>
    <s v="9499"/>
    <s v="Činnosti ostatních organizací sdružujících osoby za účelem prosazování společných zájmů j. n."/>
    <s v="Ostatní vzdělávání"/>
    <s v="Podpůrné činnosti pro scénická umění"/>
    <m/>
    <m/>
    <m/>
    <m/>
    <m/>
    <m/>
    <m/>
    <m/>
    <m/>
    <m/>
    <m/>
    <m/>
    <m/>
    <m/>
    <m/>
  </r>
  <r>
    <s v="01751891"/>
    <s v="Medovníček, z.s."/>
    <s v="706"/>
    <x v="1"/>
    <x v="2"/>
    <s v="Ostrožská Nová Ves"/>
    <s v="Ostrožská Nová Ves, Dědina 2, PSČ 68722"/>
    <s v="8899"/>
    <s v="Ostatní ambulantní nebo terénní sociální služby j. n."/>
    <m/>
    <m/>
    <m/>
    <m/>
    <m/>
    <m/>
    <m/>
    <m/>
    <m/>
    <m/>
    <m/>
    <m/>
    <m/>
    <m/>
    <m/>
    <m/>
    <m/>
  </r>
  <r>
    <s v="05424054"/>
    <s v="Meduňka z.s."/>
    <s v="706"/>
    <x v="1"/>
    <x v="0"/>
    <s v="Otrokovice"/>
    <s v="Otrokovice, Kvítkovice, SNP 1181, PSČ 765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9416366"/>
    <s v="Medvědín u Provodova, z.s."/>
    <s v="706"/>
    <x v="1"/>
    <x v="0"/>
    <s v="Provodov"/>
    <s v="Provodov 293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83455"/>
    <s v="MEDVÍDKOV, z. s."/>
    <s v="706"/>
    <x v="1"/>
    <x v="0"/>
    <s v="Zlín"/>
    <s v="Zlín, Prštné, L. Váchy 51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793974"/>
    <s v="Melius Vita, z.s."/>
    <s v="706"/>
    <x v="1"/>
    <x v="2"/>
    <s v="Bojkovice"/>
    <s v="Bojkovice, Bezručova čtvrť 56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5069"/>
    <s v="Memoria - iniciativa za důstojné využití věznice v Uherském Hradišti, z.s."/>
    <s v="706"/>
    <x v="1"/>
    <x v="2"/>
    <s v="Staré Město"/>
    <s v="Staré Město, Mojmírova 7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992662"/>
    <s v="Memoriál Jana Šrubaře, z. s."/>
    <s v="706"/>
    <x v="1"/>
    <x v="1"/>
    <s v="Valašské Meziříčí"/>
    <s v="Valašské Meziříčí, Fügnerova 901/13, PSČ 75701"/>
    <s v="93190"/>
    <s v="Ostatní sportovní činnosti"/>
    <m/>
    <m/>
    <m/>
    <m/>
    <m/>
    <m/>
    <m/>
    <m/>
    <m/>
    <m/>
    <m/>
    <m/>
    <m/>
    <m/>
    <m/>
    <m/>
    <m/>
  </r>
  <r>
    <s v="28556542"/>
    <s v="MERCEDES &amp; OLDTIMER Club, z.s."/>
    <s v="706"/>
    <x v="1"/>
    <x v="0"/>
    <s v="Zlín"/>
    <s v="Zlín, Prštné, třída Tomáše Bati 532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73886"/>
    <s v="Mercedes Benz Historic Club"/>
    <s v="706"/>
    <x v="1"/>
    <x v="1"/>
    <s v="Rožnov pod Radhoštěm"/>
    <s v="Rožnov pod Radhoštěm, Tvarůžkova 2491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5712"/>
    <s v="Meruňka Team HLUK"/>
    <s v="706"/>
    <x v="1"/>
    <x v="2"/>
    <s v="Hluk"/>
    <s v="Hluk, Okluková 1473, PSČ 68725"/>
    <s v="93110"/>
    <s v="Provozování sportovních zařízení"/>
    <m/>
    <m/>
    <m/>
    <m/>
    <m/>
    <m/>
    <m/>
    <m/>
    <m/>
    <m/>
    <m/>
    <m/>
    <m/>
    <m/>
    <m/>
    <m/>
    <m/>
  </r>
  <r>
    <s v="25318390"/>
    <s v="MESIT střední škola, o.p.s."/>
    <s v="141"/>
    <x v="2"/>
    <x v="2"/>
    <s v="Uherské Hradiště"/>
    <s v="Uherské Hradiště, Mařatice, Družstevní 818, PSČ 68605"/>
    <s v="85200"/>
    <s v="Primární vzdělávání"/>
    <s v="Výroba, obchod a služby neuvedené v přílohách 1 až 3 živnostenského zákona"/>
    <s v="Výroba oděvů"/>
    <s v="Výroba kovových konstrukcí a kovodělných výrobků, kromě strojů a zařízení"/>
    <s v="Ostatní vzdělávání"/>
    <m/>
    <m/>
    <m/>
    <m/>
    <m/>
    <m/>
    <m/>
    <m/>
    <m/>
    <m/>
    <m/>
    <m/>
    <m/>
  </r>
  <r>
    <s v="22318241"/>
    <s v="Městská místní akční skupina Vsetín, z.s."/>
    <s v="706"/>
    <x v="1"/>
    <x v="1"/>
    <s v="Vsetín"/>
    <s v="Vsetín, Svárov 1080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4327"/>
    <s v="METEA - meteo a astro služby"/>
    <s v="706"/>
    <x v="1"/>
    <x v="1"/>
    <s v="Hošťálková"/>
    <s v="Hošťálková 419, PSČ 756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59851"/>
    <s v="Mezinárodní akademie informatizace, o.p.s."/>
    <s v="141"/>
    <x v="2"/>
    <x v="0"/>
    <s v="Zlín"/>
    <s v="Zlín, Růmy 1598, PSČ 76001"/>
    <s v="855"/>
    <s v="Ostatní vzdělávání"/>
    <m/>
    <m/>
    <m/>
    <m/>
    <m/>
    <m/>
    <m/>
    <m/>
    <m/>
    <m/>
    <m/>
    <m/>
    <m/>
    <m/>
    <m/>
    <m/>
    <m/>
  </r>
  <r>
    <s v="47934603"/>
    <s v="Mezinárodní středisko pro Integrovanou psychoterapii a zdravý životní styl, z. s. (INCIP)"/>
    <s v="706"/>
    <x v="1"/>
    <x v="3"/>
    <s v="Kroměříž"/>
    <s v="Kroměříž, Havlíčkova 803/21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6934249"/>
    <s v="Mezříčan, z.s."/>
    <s v="706"/>
    <x v="1"/>
    <x v="1"/>
    <s v="Valašské Meziříčí"/>
    <s v="Valašské Meziříčí, 28. října 38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9880"/>
    <s v="MFC Hutisko-Solanec, z.s."/>
    <s v="706"/>
    <x v="1"/>
    <x v="1"/>
    <s v="Hutisko-Solanec"/>
    <s v="Hutisko-Solanec, Hutisko 322, PSČ 75662"/>
    <s v="93110"/>
    <s v="Provozování sportovních zařízení"/>
    <m/>
    <m/>
    <m/>
    <m/>
    <m/>
    <m/>
    <m/>
    <m/>
    <m/>
    <m/>
    <m/>
    <m/>
    <m/>
    <m/>
    <m/>
    <m/>
    <m/>
  </r>
  <r>
    <s v="05134129"/>
    <s v="MG Elite Zlín z.s."/>
    <s v="706"/>
    <x v="1"/>
    <x v="0"/>
    <s v="Zlín"/>
    <s v="Zlín, Lámanisko 5089, PSČ 76001"/>
    <s v="93190"/>
    <s v="Ostatní sportovní činnosti"/>
    <m/>
    <m/>
    <m/>
    <m/>
    <m/>
    <m/>
    <m/>
    <m/>
    <m/>
    <m/>
    <m/>
    <m/>
    <m/>
    <m/>
    <m/>
    <m/>
    <m/>
  </r>
  <r>
    <s v="26615606"/>
    <s v="MGC Holešov, z.s."/>
    <s v="706"/>
    <x v="1"/>
    <x v="3"/>
    <s v="Holešov"/>
    <s v="Holešov, Palackého 166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09436"/>
    <s v="MHDUH.cz - Za lepší MHD v Uherském Hradišti, Starém Městě a Kunovicích, o. s."/>
    <s v="706"/>
    <x v="1"/>
    <x v="2"/>
    <s v="Uherské Hradiště"/>
    <s v="Uherské Hradiště, Svatováclavská 907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0291"/>
    <s v="&quot;MIBIDIZO z. s.&quot;"/>
    <s v="706"/>
    <x v="1"/>
    <x v="1"/>
    <s v="Valašské Meziříčí"/>
    <s v="Valašské Meziříčí, Komenského 67/1, PSČ 75701"/>
    <s v="94991"/>
    <s v="Činnosti organizací dětí a mládeže"/>
    <m/>
    <m/>
    <m/>
    <m/>
    <m/>
    <m/>
    <m/>
    <m/>
    <m/>
    <m/>
    <m/>
    <m/>
    <m/>
    <m/>
    <m/>
    <m/>
    <m/>
  </r>
  <r>
    <s v="19501749"/>
    <s v="MIKA project z. s."/>
    <s v="706"/>
    <x v="1"/>
    <x v="2"/>
    <s v="Uherské Hradiště"/>
    <s v="Uherské Hradiště, Sady, Tř. Maršála Malinovského 88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598033"/>
    <s v="MIKI GYM, z.s."/>
    <s v="706"/>
    <x v="1"/>
    <x v="1"/>
    <s v="Vsetín"/>
    <s v="Vsetín, Mládí 1563, PSČ 75501"/>
    <s v="93190"/>
    <s v="Ostatní sportovní činnosti"/>
    <s v="Velkoobchod a maloobchod; opravy a údržba motorových vozidel"/>
    <s v="Zprostředkování velkoobchodu a velkoobchod v zastoupení"/>
    <s v="Ostatní vzdělávání"/>
    <s v="Sportovní činnosti"/>
    <s v="Podpůrné činnosti pro scénická umění"/>
    <m/>
    <m/>
    <m/>
    <m/>
    <m/>
    <m/>
    <m/>
    <m/>
    <m/>
    <m/>
    <m/>
    <m/>
  </r>
  <r>
    <s v="70897425"/>
    <s v="MILLENIUM - sdružení občanů"/>
    <s v="706"/>
    <x v="1"/>
    <x v="3"/>
    <s v="Kroměříž"/>
    <s v="Kroměříž, Nádražní 2014/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098961"/>
    <s v="Milovníci vína a žen z.s."/>
    <s v="706"/>
    <x v="1"/>
    <x v="2"/>
    <s v="Zlechov"/>
    <s v="Zlechov 540, PSČ 6871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051671"/>
    <s v="MindRise z.s."/>
    <s v="706"/>
    <x v="1"/>
    <x v="0"/>
    <s v="Zádveřice-Raková"/>
    <s v="Zádveřice-Raková, Zádveřice 252, PSČ 76312"/>
    <s v="9499"/>
    <s v="Činnosti ostatních organizací sdružujících osoby za účelem prosazování společných zájmů j. n."/>
    <s v="Jiné vzdělávání j. n."/>
    <m/>
    <m/>
    <m/>
    <m/>
    <m/>
    <m/>
    <m/>
    <m/>
    <m/>
    <m/>
    <m/>
    <m/>
    <m/>
    <m/>
    <m/>
    <m/>
  </r>
  <r>
    <s v="22184040"/>
    <s v="Minga z.s."/>
    <s v="706"/>
    <x v="1"/>
    <x v="1"/>
    <s v="Vsetín"/>
    <s v="Vsetín, Palackého 388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515"/>
    <s v="Mini golf club Vsetín"/>
    <s v="706"/>
    <x v="1"/>
    <x v="1"/>
    <s v="Vsetín"/>
    <s v="Vsetín, sídliště Trávníky"/>
    <s v="93120"/>
    <s v="Činnosti sportovních klubů"/>
    <m/>
    <m/>
    <m/>
    <m/>
    <m/>
    <m/>
    <m/>
    <m/>
    <m/>
    <m/>
    <m/>
    <m/>
    <m/>
    <m/>
    <m/>
    <m/>
    <m/>
  </r>
  <r>
    <s v="01996983"/>
    <s v="Mini-golf klub Klokan"/>
    <s v="706"/>
    <x v="1"/>
    <x v="1"/>
    <s v="Valašské Meziříčí"/>
    <s v="Valašské Meziříčí"/>
    <s v="93190"/>
    <s v="Ostatní sportovní činnosti"/>
    <m/>
    <m/>
    <m/>
    <m/>
    <m/>
    <m/>
    <m/>
    <m/>
    <m/>
    <m/>
    <m/>
    <m/>
    <m/>
    <m/>
    <m/>
    <m/>
    <m/>
  </r>
  <r>
    <s v="19154704"/>
    <s v="MINORITY SUPPORT z.s."/>
    <s v="706"/>
    <x v="1"/>
    <x v="2"/>
    <s v="Suchá Loz"/>
    <s v="Suchá Loz 421, PSČ 687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4436"/>
    <s v="MioTech. z.s."/>
    <s v="706"/>
    <x v="1"/>
    <x v="2"/>
    <s v="Vlčnov"/>
    <s v="Vlčnov 827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94540"/>
    <s v="MirisCorp, o.s."/>
    <s v="706"/>
    <x v="1"/>
    <x v="0"/>
    <s v="Luhačovice"/>
    <s v="Luhačovice, Masarykova 101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7593"/>
    <s v="Místní akční skupina Dolní Poolšaví, z.s."/>
    <s v="706"/>
    <x v="1"/>
    <x v="2"/>
    <s v="Kunovice"/>
    <s v="Kunovice, náměstí Svobody 361, PSČ 68604"/>
    <s v="94"/>
    <s v="Činnosti organizací sdružujících osoby za účelem prosazování společných zájmů"/>
    <s v="Ostatní vzdělávání j. n."/>
    <s v="Univerzální administrativní činnosti"/>
    <s v="Podpůrné činnosti pro scénická umění"/>
    <m/>
    <m/>
    <m/>
    <m/>
    <m/>
    <m/>
    <m/>
    <m/>
    <m/>
    <m/>
    <m/>
    <m/>
    <m/>
    <m/>
  </r>
  <r>
    <s v="27002594"/>
    <s v="Místní akční skupina Hříběcí hory, z.s."/>
    <s v="706"/>
    <x v="1"/>
    <x v="3"/>
    <s v="Zdounky"/>
    <s v="Zdounky 27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2979"/>
    <s v="Místní akční skupina Podhostýnska, z. s."/>
    <s v="706"/>
    <x v="1"/>
    <x v="3"/>
    <s v="Bystřice pod Hostýnem"/>
    <s v="Bystřice pod Hostýnem, Fryčajova 888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4925"/>
    <s v="Místní akční skupina Rožnovsko, z.s."/>
    <s v="706"/>
    <x v="1"/>
    <x v="1"/>
    <s v="Zašová"/>
    <s v="Zašová 36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7607"/>
    <s v="Místní akční skupina Severní Chřiby a Pomoraví, z.s."/>
    <s v="706"/>
    <x v="1"/>
    <x v="2"/>
    <s v="Košíky"/>
    <s v="Košíky 172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9908"/>
    <s v="Místní akční skupina Valašsko - Horní Vsacko, z.s."/>
    <s v="706"/>
    <x v="1"/>
    <x v="1"/>
    <s v="Hovězí"/>
    <s v="Hovězí 74, PSČ 75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042168"/>
    <s v="Místní automotoklub Jablůnka"/>
    <s v="736"/>
    <x v="0"/>
    <x v="1"/>
    <s v="Vsetín"/>
    <s v="Vsetín, Sychrov 8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262881"/>
    <s v="Místní komunita Salesiánů Dona Boska v Kroměříži"/>
    <s v="722"/>
    <x v="5"/>
    <x v="3"/>
    <s v="Kroměříž"/>
    <s v="Kroměříž, Stojanovo náměstí 5/3, PSČ 76701"/>
    <s v="94910"/>
    <s v="Činnosti náboženských organizací"/>
    <m/>
    <m/>
    <m/>
    <m/>
    <m/>
    <m/>
    <m/>
    <m/>
    <m/>
    <m/>
    <m/>
    <m/>
    <m/>
    <m/>
    <m/>
    <m/>
    <m/>
  </r>
  <r>
    <s v="26522977"/>
    <s v="Místní komunita Salesiánů Dona Boska ve Fryštáku"/>
    <s v="722"/>
    <x v="5"/>
    <x v="0"/>
    <s v="Fryšták"/>
    <s v="Fryšták, P. I. Stuchlého 27, PSČ 76316"/>
    <s v="94910"/>
    <s v="Činnosti náboženských organizací"/>
    <m/>
    <m/>
    <m/>
    <m/>
    <m/>
    <m/>
    <m/>
    <m/>
    <m/>
    <m/>
    <m/>
    <m/>
    <m/>
    <m/>
    <m/>
    <m/>
    <m/>
  </r>
  <r>
    <s v="70863989"/>
    <s v="Místní komunita Salesiánů Dona Boska ve Zlíně"/>
    <s v="722"/>
    <x v="5"/>
    <x v="0"/>
    <s v="Zlín"/>
    <s v="Zlín, Okružní 5430, PSČ 76005"/>
    <s v="94910"/>
    <s v="Činnosti náboženských organizací"/>
    <m/>
    <m/>
    <m/>
    <m/>
    <m/>
    <m/>
    <m/>
    <m/>
    <m/>
    <m/>
    <m/>
    <m/>
    <m/>
    <m/>
    <m/>
    <m/>
    <m/>
  </r>
  <r>
    <s v="00461661"/>
    <s v="Místní sdružení Kostnické jednoty Uherské Hradiště"/>
    <s v="736"/>
    <x v="0"/>
    <x v="2"/>
    <s v="Uherské Hradiště"/>
    <s v="Uherské Hradiště, Moravní náměstí 397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630878"/>
    <s v="Mistřické frajárky, z.s."/>
    <s v="706"/>
    <x v="1"/>
    <x v="2"/>
    <s v="Mistřice"/>
    <s v="Mistřice 9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5512"/>
    <s v="MK DRAGOUNI"/>
    <s v="706"/>
    <x v="1"/>
    <x v="0"/>
    <s v="Slušovice"/>
    <s v="Slušovice, Hřbitovní 517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3155"/>
    <s v="Mladcová o.s."/>
    <s v="706"/>
    <x v="1"/>
    <x v="0"/>
    <s v="Zlín"/>
    <s v="Zlín, Mladcová, Malinová 532, PSČ 76001"/>
    <s v="94995"/>
    <s v="Činnosti environmentálních a ekologických hnutí"/>
    <m/>
    <m/>
    <m/>
    <m/>
    <m/>
    <m/>
    <m/>
    <m/>
    <m/>
    <m/>
    <m/>
    <m/>
    <m/>
    <m/>
    <m/>
    <m/>
    <m/>
  </r>
  <r>
    <s v="06268048"/>
    <s v="Mládež Dolní Lhota, z. s."/>
    <s v="706"/>
    <x v="1"/>
    <x v="0"/>
    <s v="Dolní Lhota"/>
    <s v="Dolní Lhota 129, PSČ 76323"/>
    <s v="9499"/>
    <s v="Činnosti ostatních organizací sdružujících osoby za účelem prosazování společných zájmů j. n."/>
    <s v="Velkoobchod, kromě motorových vozidel"/>
    <s v="Maloobchod, kromě motorových vozidel"/>
    <s v="Stravování v restauracích, u stánků a v mobilních zařízeních"/>
    <s v="Destilace, rektifikace a míchání lihovin"/>
    <s v="Umělecká tvorba"/>
    <m/>
    <m/>
    <m/>
    <m/>
    <m/>
    <m/>
    <m/>
    <m/>
    <m/>
    <m/>
    <m/>
    <m/>
  </r>
  <r>
    <s v="27773574"/>
    <s v="Mládežnická akademie Milana Baroše o.p.s."/>
    <s v="141"/>
    <x v="2"/>
    <x v="1"/>
    <s v="Vigantice"/>
    <s v="Vigantice 248, PSČ 75661"/>
    <s v="94991"/>
    <s v="Činnosti organizací dětí a mládeže"/>
    <s v="Sportovní a rekreační vzdělávání"/>
    <m/>
    <m/>
    <m/>
    <m/>
    <m/>
    <m/>
    <m/>
    <m/>
    <m/>
    <m/>
    <m/>
    <m/>
    <m/>
    <m/>
    <m/>
    <m/>
  </r>
  <r>
    <s v="29216036"/>
    <s v="MLADÍ PODNIKATELÉ, o.p.s."/>
    <s v="141"/>
    <x v="2"/>
    <x v="2"/>
    <s v="Uherské Hradiště"/>
    <s v="Uherské Hradiště, Mařatice, Sadová 1029, PSČ 68605"/>
    <s v="74"/>
    <s v="Ostatní profesní, vědecké a technické činnosti"/>
    <s v="Výroba, obchod a služby neuvedené v přílohách 1 až 3 živnostenského zákona"/>
    <s v="Poradenství v oblasti řízení"/>
    <s v="Ostatní maloobchod v nespecializovaných prodejnách"/>
    <s v="Provozování kulturních zařízení"/>
    <m/>
    <m/>
    <m/>
    <m/>
    <m/>
    <m/>
    <m/>
    <m/>
    <m/>
    <m/>
    <m/>
    <m/>
    <m/>
  </r>
  <r>
    <s v="22813217"/>
    <s v="MM - GOLF TEAM z.s."/>
    <s v="706"/>
    <x v="1"/>
    <x v="0"/>
    <s v="Zlín"/>
    <s v="Zlín, Zarámí 399, PSČ 76001"/>
    <s v="93120"/>
    <s v="Činnosti sportovních klubů"/>
    <m/>
    <m/>
    <m/>
    <m/>
    <m/>
    <m/>
    <m/>
    <m/>
    <m/>
    <m/>
    <m/>
    <m/>
    <m/>
    <m/>
    <m/>
    <m/>
    <m/>
  </r>
  <r>
    <s v="47935022"/>
    <s v="MM KART TEAM HOLEŠOV"/>
    <s v="736"/>
    <x v="0"/>
    <x v="3"/>
    <s v="Holešov"/>
    <s v="Holešov, Všetuly, Slovenská 354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672756"/>
    <s v="MMA Club Zlín, z.s."/>
    <s v="706"/>
    <x v="1"/>
    <x v="0"/>
    <s v="Tečovice"/>
    <s v="Tečovice 330, PSČ 76302"/>
    <s v="93190"/>
    <s v="Ostatní sportovní činnosti"/>
    <m/>
    <m/>
    <m/>
    <m/>
    <m/>
    <m/>
    <m/>
    <m/>
    <m/>
    <m/>
    <m/>
    <m/>
    <m/>
    <m/>
    <m/>
    <m/>
    <m/>
  </r>
  <r>
    <s v="22014268"/>
    <s v="MMAS Uherské Hradiště z.s."/>
    <s v="706"/>
    <x v="1"/>
    <x v="2"/>
    <s v="Uherské Hradiště"/>
    <s v="Uherské Hradiště, Masarykovo náměstí 1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16154"/>
    <s v="MODEL KLUB OTROKOVICE z.s."/>
    <s v="706"/>
    <x v="1"/>
    <x v="0"/>
    <s v="Bělov"/>
    <s v="Bělov č. ev. 12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598273"/>
    <s v="Modelářský klub č. 347 Svazu modelářů České republiky"/>
    <s v="736"/>
    <x v="0"/>
    <x v="2"/>
    <s v="Uherské Hradiště"/>
    <s v="Uherské Hradiště, Jana Žižky 744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88630"/>
    <s v="modelářský klub LMK RACEK Chropyně p.s."/>
    <s v="736"/>
    <x v="0"/>
    <x v="3"/>
    <s v="Chropyně"/>
    <s v="Chropyně, Drahy 554, PSČ 768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6934745"/>
    <s v="Modelářský klub SMČR"/>
    <s v="736"/>
    <x v="0"/>
    <x v="1"/>
    <s v="Rožnov pod Radhoštěm"/>
    <s v="Rožnov pod Radhoštěm, Kulturní 1762, PSČ 75661"/>
    <s v="93110"/>
    <s v="Provozování sportovních zařízení"/>
    <m/>
    <m/>
    <m/>
    <m/>
    <m/>
    <m/>
    <m/>
    <m/>
    <m/>
    <m/>
    <m/>
    <m/>
    <m/>
    <m/>
    <m/>
    <m/>
    <m/>
  </r>
  <r>
    <s v="62335294"/>
    <s v="Modelářský klub SMČR Zubří p.s."/>
    <s v="736"/>
    <x v="0"/>
    <x v="1"/>
    <s v="Zubří"/>
    <s v="Zubří, Hamerská 10, PSČ 7565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42155"/>
    <s v="Modelářský klub Vsetín p.s."/>
    <s v="736"/>
    <x v="0"/>
    <x v="1"/>
    <s v="Vsetín"/>
    <s v="Vsetín, Rokytnice, Na Dolansku 19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1712"/>
    <s v="MODELKLUB Ostrožská Lhota 275 p.s."/>
    <s v="736"/>
    <x v="0"/>
    <x v="2"/>
    <s v="Ostrožská Lhota"/>
    <s v="Ostrožská Lhota 148, PSČ 687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3912230"/>
    <s v="Modo Via, z. ú."/>
    <s v="161"/>
    <x v="3"/>
    <x v="2"/>
    <s v="Uherský Ostroh"/>
    <s v="Uherský Ostroh, Ostrožské Předměstí, Školní 649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88982"/>
    <s v="Modrý dým, z.s."/>
    <s v="706"/>
    <x v="1"/>
    <x v="2"/>
    <s v="Buchlovice"/>
    <s v="Buchlovice, Masarykova 41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025303"/>
    <s v="Modrý Maják, z. s."/>
    <s v="706"/>
    <x v="1"/>
    <x v="0"/>
    <s v="Otrokovice"/>
    <s v="Otrokovice, Na Uličce 136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34862"/>
    <s v="Moje dílna, z.s."/>
    <s v="706"/>
    <x v="1"/>
    <x v="0"/>
    <s v="Zlín"/>
    <s v="Zlín, M. Knesla 401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192019"/>
    <s v="Mokřad Racková, o.s."/>
    <s v="706"/>
    <x v="1"/>
    <x v="0"/>
    <s v="Racková"/>
    <s v="Racková 238, PSČ 76001"/>
    <s v="94995"/>
    <s v="Činnosti environmentálních a ekologických hnutí"/>
    <m/>
    <m/>
    <m/>
    <m/>
    <m/>
    <m/>
    <m/>
    <m/>
    <m/>
    <m/>
    <m/>
    <m/>
    <m/>
    <m/>
    <m/>
    <m/>
    <m/>
  </r>
  <r>
    <s v="49181874"/>
    <s v="MOLOSS CLUB CZ, z.s."/>
    <s v="706"/>
    <x v="1"/>
    <x v="3"/>
    <s v="Litenčice"/>
    <s v="Litenčice 59, PSČ 7681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6539998"/>
    <s v="MONOSKIZLIN, z.s."/>
    <s v="706"/>
    <x v="1"/>
    <x v="0"/>
    <s v="Zlín"/>
    <s v="Zlín, Kudlov, Václavská 14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68406"/>
    <s v="MONTESSORI DĚTEM, z.s."/>
    <s v="706"/>
    <x v="1"/>
    <x v="2"/>
    <s v="Jalubí"/>
    <s v="Jalubí 662, PSČ 68705"/>
    <s v="94991"/>
    <s v="Činnosti organizací dětí a mládeže"/>
    <m/>
    <m/>
    <m/>
    <m/>
    <m/>
    <m/>
    <m/>
    <m/>
    <m/>
    <m/>
    <m/>
    <m/>
    <m/>
    <m/>
    <m/>
    <m/>
    <m/>
  </r>
  <r>
    <s v="01549243"/>
    <s v="Montessori rodinné centrum Zlín o.s."/>
    <s v="706"/>
    <x v="1"/>
    <x v="0"/>
    <s v="Ludkovice"/>
    <s v="Ludkovice 117, PSČ 763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49262"/>
    <s v="Montessori spolek Valmez, z. s."/>
    <s v="706"/>
    <x v="1"/>
    <x v="1"/>
    <s v="Valašské Meziříčí"/>
    <s v="Valašské Meziříčí, U Nemocnice 875/5, PSČ 75701"/>
    <s v="94999"/>
    <s v="Činnosti ostatních organizací j. n."/>
    <m/>
    <m/>
    <m/>
    <m/>
    <m/>
    <m/>
    <m/>
    <m/>
    <m/>
    <m/>
    <m/>
    <m/>
    <m/>
    <m/>
    <m/>
    <m/>
    <m/>
  </r>
  <r>
    <s v="27048934"/>
    <s v="Montessori Zlín o.s."/>
    <s v="706"/>
    <x v="1"/>
    <x v="0"/>
    <s v="Zlín"/>
    <s v="Zlín, Buková 1722, PSČ 7600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2832751"/>
    <s v="Montežirafka o.p.s."/>
    <s v="141"/>
    <x v="2"/>
    <x v="1"/>
    <s v="Valašské Meziříčí"/>
    <s v="Valašské Meziříčí, Zdeňka Fibicha 1217, PSČ 75701"/>
    <s v="949"/>
    <s v="Činnosti ostatních organizací sdružujících osoby za účelem prosazování společných zájmů"/>
    <s v="Velkoobchod a maloobchod; opravy a údržba motorových vozidel"/>
    <s v="Výroba, obchod a služby neuvedené v přílohách 1 až 3 živnostenského zákona"/>
    <s v="Výroba oděvů"/>
    <s v="Ubytování"/>
    <s v="Vydavatelské činnosti"/>
    <s v="Zprostředkování velkoobchodu a velkoobchod v zastoupení"/>
    <s v="Ostatní profesní, vědecké a technické činnosti j. n."/>
    <s v="Ostatní vzdělávání"/>
    <s v="Podpůrné činnosti ve vzdělávání"/>
    <s v="Podpůrné činnosti pro scénická umění"/>
    <m/>
    <m/>
    <m/>
    <m/>
    <m/>
    <m/>
    <m/>
  </r>
  <r>
    <s v="03717917"/>
    <s v="MOPED TEAM TLUMAČOV z.s."/>
    <s v="706"/>
    <x v="1"/>
    <x v="0"/>
    <s v="Tlumačov"/>
    <s v="Tlumačov, Mánesova 445, PSČ 76362"/>
    <s v="93190"/>
    <s v="Ostatní sportovní činnosti"/>
    <m/>
    <m/>
    <m/>
    <m/>
    <m/>
    <m/>
    <m/>
    <m/>
    <m/>
    <m/>
    <m/>
    <m/>
    <m/>
    <m/>
    <m/>
    <m/>
    <m/>
  </r>
  <r>
    <s v="09741470"/>
    <s v="Morava music z.s."/>
    <s v="706"/>
    <x v="1"/>
    <x v="3"/>
    <s v="Holešov"/>
    <s v="Holešov, Palackého 1232/102, PSČ 76901"/>
    <s v="9499"/>
    <s v="Činnosti ostatních organizací sdružujících osoby za účelem prosazování společných zájmů j. n."/>
    <s v="Velkoobchod a maloobchod; opravy a údržba motorových vozidel"/>
    <s v="Destilace, rektifikace a míchání lihovin"/>
    <s v="Stravování v restauracích, u stánků a v mobilních zařízeních"/>
    <s v="Podpůrné činnosti pro scénická umění"/>
    <m/>
    <m/>
    <m/>
    <m/>
    <m/>
    <m/>
    <m/>
    <m/>
    <m/>
    <m/>
    <m/>
    <m/>
    <m/>
  </r>
  <r>
    <s v="22845895"/>
    <s v="Morava racing team o.s."/>
    <s v="706"/>
    <x v="1"/>
    <x v="1"/>
    <s v="Krhová"/>
    <s v="Krhová, Hlavní 364, PSČ 756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2685"/>
    <s v="Moravan - komunikace z.s."/>
    <s v="706"/>
    <x v="1"/>
    <x v="0"/>
    <s v="Otrokovice"/>
    <s v="Otrokovice, Letiště 1876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9261"/>
    <s v="MORAVIAMAN TEAM, z. s."/>
    <s v="706"/>
    <x v="1"/>
    <x v="0"/>
    <s v="Otrokovice"/>
    <s v="Otrokovice, Štěrkoviště 1295, PSČ 76502"/>
    <s v="9499"/>
    <s v="Činnosti ostatních organizací sdružujících osoby za účelem prosazování společných zájmů j. n."/>
    <s v="Ostatní sportovní činnosti"/>
    <m/>
    <m/>
    <m/>
    <m/>
    <m/>
    <m/>
    <m/>
    <m/>
    <m/>
    <m/>
    <m/>
    <m/>
    <m/>
    <m/>
    <m/>
    <m/>
  </r>
  <r>
    <s v="06262490"/>
    <s v="Moravian Pitbulls, z.s."/>
    <s v="706"/>
    <x v="1"/>
    <x v="0"/>
    <s v="Slušovice"/>
    <s v="Slušovice, Na Vyhlídce 602, PSČ 76315"/>
    <s v="93190"/>
    <s v="Ostatní sportovní činnosti"/>
    <m/>
    <m/>
    <m/>
    <m/>
    <m/>
    <m/>
    <m/>
    <m/>
    <m/>
    <m/>
    <m/>
    <m/>
    <m/>
    <m/>
    <m/>
    <m/>
    <m/>
  </r>
  <r>
    <s v="75126630"/>
    <s v="Moravská hasičská jednota - hasičský sbor Nítkovice"/>
    <s v="736"/>
    <x v="0"/>
    <x v="3"/>
    <s v="Nítkovice"/>
    <s v="Nítkovice 89, PSČ 76813"/>
    <s v="84250"/>
    <s v="Činnosti v oblasti protipožární ochrany"/>
    <m/>
    <m/>
    <m/>
    <m/>
    <m/>
    <m/>
    <m/>
    <m/>
    <m/>
    <m/>
    <m/>
    <m/>
    <m/>
    <m/>
    <m/>
    <m/>
    <m/>
  </r>
  <r>
    <s v="47933798"/>
    <s v="Moravská hasičská jednota - hasičský sbor Strabenice"/>
    <s v="736"/>
    <x v="0"/>
    <x v="3"/>
    <s v="Litenčice"/>
    <s v="Litenčice, Strabenice 49, PSČ 76813"/>
    <s v="84250"/>
    <s v="Činnosti v oblasti protipožární ochrany"/>
    <s v="Destilace, rektifikace a míchání lihovin"/>
    <s v="Podpůrné činnosti pro scénická umění"/>
    <s v="Ostatní sportovní činnosti"/>
    <m/>
    <m/>
    <m/>
    <m/>
    <m/>
    <m/>
    <m/>
    <m/>
    <m/>
    <m/>
    <m/>
    <m/>
    <m/>
    <m/>
  </r>
  <r>
    <s v="01944746"/>
    <s v="Moravská lékařská unie"/>
    <s v="706"/>
    <x v="1"/>
    <x v="0"/>
    <s v="Zlín"/>
    <s v="Zlín, Česká 4752, PSČ 76005"/>
    <s v="941"/>
    <s v="Činnosti podnikatelských, zaměstnavatelských a profesních organizací"/>
    <m/>
    <m/>
    <m/>
    <m/>
    <m/>
    <m/>
    <m/>
    <m/>
    <m/>
    <m/>
    <m/>
    <m/>
    <m/>
    <m/>
    <m/>
    <m/>
    <m/>
  </r>
  <r>
    <s v="26665565"/>
    <s v="Moravská Misie"/>
    <s v="706"/>
    <x v="1"/>
    <x v="3"/>
    <s v="Kroměříž"/>
    <s v="Kroměříž, Bílany 3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2889"/>
    <s v="Moravská mládežnická organizace"/>
    <s v="706"/>
    <x v="1"/>
    <x v="0"/>
    <s v="Zlín"/>
    <s v="Zlín, Gahurova 5265, PSČ 76001"/>
    <s v="94991"/>
    <s v="Činnosti organizací dětí a mládeže"/>
    <m/>
    <m/>
    <m/>
    <m/>
    <m/>
    <m/>
    <m/>
    <m/>
    <m/>
    <m/>
    <m/>
    <m/>
    <m/>
    <m/>
    <m/>
    <m/>
    <m/>
  </r>
  <r>
    <s v="22896317"/>
    <s v="Moravská Organizace Vozíčkářů, z. s."/>
    <s v="706"/>
    <x v="1"/>
    <x v="1"/>
    <s v="Kateřinice"/>
    <s v="Kateřinice 112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8996"/>
    <s v="Moravské děti, z.s."/>
    <s v="706"/>
    <x v="1"/>
    <x v="3"/>
    <s v="Holešov"/>
    <s v="Holešov, U Letiště 1155/13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828972"/>
    <s v="Moravské Karpaty, o.p.s."/>
    <s v="141"/>
    <x v="2"/>
    <x v="1"/>
    <s v="Prlov"/>
    <s v="Prlov 141, PSČ 75611"/>
    <s v="9499"/>
    <s v="Činnosti ostatních organizací sdružujících osoby za účelem prosazování společných zájmů j. n."/>
    <s v="Ostatní profesní, vědecké a technické činnosti"/>
    <s v="Zprostředkování velkoobchodu a velkoobchod v zastoupení"/>
    <s v="Vydávání knih, periodických publikací a ostatní vydavatelské činnosti"/>
    <s v="Ostatní vzdělávání"/>
    <s v="Ostatní výzkum a vývoj v oblasti přírodních a technických věd"/>
    <s v="Výzkum a vývoj v oblasti společenských a humanitních věd"/>
    <m/>
    <m/>
    <m/>
    <m/>
    <m/>
    <m/>
    <m/>
    <m/>
    <m/>
    <m/>
    <m/>
  </r>
  <r>
    <s v="26601702"/>
    <s v="Moravské snowboardové sdružení"/>
    <s v="706"/>
    <x v="1"/>
    <x v="0"/>
    <s v="Otrokovice"/>
    <s v="Otrokovice, Jungmannova 1235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4098"/>
    <s v="Moravské srdce, z.s."/>
    <s v="706"/>
    <x v="1"/>
    <x v="2"/>
    <s v="Hluk"/>
    <s v="Hluk, Čtvrtě 1177, PSČ 68725"/>
    <s v="93110"/>
    <s v="Provozování sportovních zařízení"/>
    <m/>
    <m/>
    <m/>
    <m/>
    <m/>
    <m/>
    <m/>
    <m/>
    <m/>
    <m/>
    <m/>
    <m/>
    <m/>
    <m/>
    <m/>
    <m/>
    <m/>
  </r>
  <r>
    <s v="06643027"/>
    <s v="Moravské včelařské společenství, z.s."/>
    <s v="706"/>
    <x v="1"/>
    <x v="0"/>
    <s v="Zlín"/>
    <s v="Zlín, Malenovice, Fügnerova 309, PSČ 76302"/>
    <s v="94995"/>
    <s v="Činnosti environmentálních a ekologických hnutí"/>
    <s v="Výroba, obchod a služby neuvedené v přílohách 1 až 3 živnostenského zákona"/>
    <m/>
    <m/>
    <m/>
    <m/>
    <m/>
    <m/>
    <m/>
    <m/>
    <m/>
    <m/>
    <m/>
    <m/>
    <m/>
    <m/>
    <m/>
    <m/>
  </r>
  <r>
    <s v="65914261"/>
    <s v="Moravsko - Slezský dobrman klub spolek"/>
    <s v="706"/>
    <x v="1"/>
    <x v="3"/>
    <s v="Kroměříž"/>
    <s v="Kroměříž, Kotojedy 8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05349"/>
    <s v="Moravskoslezský klub chovatelů collií a sheltií, z.s."/>
    <s v="706"/>
    <x v="1"/>
    <x v="0"/>
    <s v="Zádveřice-Raková"/>
    <s v="Zádveřice-Raková, Zádveřice 347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1631"/>
    <s v="Moravskoslezský kynologický svaz,  Kynologický klub Uherský Brod, pobočný spolek"/>
    <s v="736"/>
    <x v="0"/>
    <x v="2"/>
    <s v="Uherský Brod"/>
    <s v="Uherský Brod, Amerika 37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3851"/>
    <s v="Moravskoslezský kynologický svaz, KK Nivnice 11007, pobočný spolek, Zámostí 1017, 68751 Nivnice"/>
    <s v="736"/>
    <x v="0"/>
    <x v="2"/>
    <s v="Nivnice"/>
    <s v="Nivnice, Zámostí č. ev. 1017, PSČ 6875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45081"/>
    <s v="Moravskoslezský kynologický svaz, Kynologický klub Biskupice u Luhačovic, pobočný spolek"/>
    <s v="736"/>
    <x v="0"/>
    <x v="0"/>
    <s v="Luhačovice"/>
    <s v="Luhačovice, Kuželova 898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3737"/>
    <s v="Moravskoslezský kynologický svaz Kynologický klub Boršice pobočný spolek"/>
    <s v="736"/>
    <x v="0"/>
    <x v="2"/>
    <s v="Boršice"/>
    <s v="Boršice 521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1607"/>
    <s v="Moravskoslezský kynologický svaz Kynologický klub Březolupy, pobočný spolek"/>
    <s v="736"/>
    <x v="0"/>
    <x v="2"/>
    <s v="Březolupy"/>
    <s v="Březolupy 573, PSČ 687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48542"/>
    <s v="Moravskoslezský kynologický svaz Kynologický klub Bystřice pod Hostýnem pobočný spolek"/>
    <s v="736"/>
    <x v="0"/>
    <x v="3"/>
    <s v="Chvalčov"/>
    <s v="Chvalčov, Pod Hostýnem 824, PSČ 7687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557"/>
    <s v="Moravskoslezský kynologický svaz, Kynologický klub Chropyně, pobočný spolek"/>
    <s v="736"/>
    <x v="0"/>
    <x v="3"/>
    <s v="Chropyně"/>
    <s v="Chropyně, Haltýře 876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8861"/>
    <s v="Moravskoslezský kynologický svaz, Kynologický klub Kroměříž, pobočný spolek"/>
    <s v="736"/>
    <x v="0"/>
    <x v="3"/>
    <s v="Kroměříž"/>
    <s v="Kroměříž, Obvodov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9434"/>
    <s v="Moravskoslezský kynologický svaz, Kynologický klub Loukov ZO 10703 pobočný spolek"/>
    <s v="736"/>
    <x v="0"/>
    <x v="3"/>
    <s v="Loukov"/>
    <s v="Loukov 199, PSČ 7687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9507"/>
    <s v="Moravskoslezský kynologický svaz, Kynologický klub Mrlínek, pobočný spolek"/>
    <s v="736"/>
    <x v="0"/>
    <x v="3"/>
    <s v="Mrlínek"/>
    <s v="Mrlínek,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3362"/>
    <s v="Moravskoslezský kynologický svaz, Kynologický klub Uherské Hradiště, pobočný spolek"/>
    <s v="736"/>
    <x v="0"/>
    <x v="2"/>
    <s v="Staré Město"/>
    <s v="Staré Město, Karoliny Světlé 1082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5605"/>
    <s v="Moravskoslezský kynologický svaz, Kynologický klub Uherský Ostroh, pobočný spolek"/>
    <s v="736"/>
    <x v="0"/>
    <x v="2"/>
    <s v="Uherský Ostroh"/>
    <s v="Uherský Ostroh, Zámecká 24, PSČ 68724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61703281"/>
    <s v="Moravskoslezský kynologický svaz, Kynologický klub Vlčnov"/>
    <s v="736"/>
    <x v="0"/>
    <x v="2"/>
    <s v="Vlčnov"/>
    <s v="Vlčnov 1153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3346"/>
    <s v="Moravskoslezský kynologický svaz, z. s., ZO Zlechov kynologický klub"/>
    <s v="736"/>
    <x v="0"/>
    <x v="2"/>
    <s v="Zlechov"/>
    <s v="Zlechov 596, PSČ 6871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5766"/>
    <s v="Moravskoslezský kynologický svaz, Základní kynologická organizace Hulín, pobočný spolek"/>
    <s v="736"/>
    <x v="0"/>
    <x v="3"/>
    <s v="Hulín"/>
    <s v="Hulín, Antonína Dvořáka 1200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70190"/>
    <s v="Moravskoslezský kynologický svaz, ZO Bojkovice pod Světlovem - kynologický klub"/>
    <s v="736"/>
    <x v="0"/>
    <x v="2"/>
    <s v="Bojkovice"/>
    <s v="Bojkovice, Krhov 134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641"/>
    <s v="Moravskoslezský kynologický svaz, ZO č. 11205, Kynologický klub Zlín-Lhotka, pobočný spolek"/>
    <s v="736"/>
    <x v="0"/>
    <x v="0"/>
    <s v="Napajedla"/>
    <s v="Napajedla, Dr. Beneše 651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22838"/>
    <s v="Moravskoslezský kynologický svaz z.s., Kynologický klub Slavičín, pobočný spolek"/>
    <s v="736"/>
    <x v="0"/>
    <x v="0"/>
    <s v="Lipová"/>
    <s v="Lipová 124, PSČ 76321"/>
    <s v="93290"/>
    <s v="Ostatní zábavní a rekreační činnosti j. n."/>
    <m/>
    <m/>
    <m/>
    <m/>
    <m/>
    <m/>
    <m/>
    <m/>
    <m/>
    <m/>
    <m/>
    <m/>
    <m/>
    <m/>
    <m/>
    <m/>
    <m/>
  </r>
  <r>
    <s v="72533757"/>
    <s v="Moravskoslezský kynologický svaz, z.s., pobočný spolek Bánov"/>
    <s v="736"/>
    <x v="0"/>
    <x v="2"/>
    <s v="Bánov"/>
    <s v="Bánov 237, PSČ 687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7946"/>
    <s v="Moravskoslezský kynologický svaz, z.s., ZO kynologický klub Otrokovice"/>
    <s v="736"/>
    <x v="0"/>
    <x v="0"/>
    <s v="Otrokovice"/>
    <s v="Otrokovice, Dobrovského 6424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8974"/>
    <s v="MoravskoSlezský Sarplaninac club"/>
    <s v="706"/>
    <x v="1"/>
    <x v="2"/>
    <s v="Bojkovice"/>
    <s v="Bojkovice, Krhov 36, PSČ 687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87172"/>
    <s v="Moravsko-slovenská rozvojová agentura, o. s."/>
    <s v="706"/>
    <x v="1"/>
    <x v="0"/>
    <s v="Otrokovice"/>
    <s v="Otrokovice, Na Uličce 1358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5611"/>
    <s v="Moravský letecký klastr, z.s."/>
    <s v="706"/>
    <x v="1"/>
    <x v="2"/>
    <s v="Kunovice"/>
    <s v="Kunovice, Panská 25, PSČ 68604"/>
    <s v="9499"/>
    <s v="Činnosti ostatních organizací sdružujících osoby za účelem prosazování společných zájmů j. n."/>
    <s v="Opravy a instalace strojů a zařízení"/>
    <s v="Výzkum a vývoj"/>
    <s v="Zprostředkování velkoobchodu a velkoobchod v zastoupení"/>
    <s v="Ostatní vzdělávání"/>
    <s v="Ostatní profesní, vědecké a technické činnosti j. n."/>
    <m/>
    <m/>
    <m/>
    <m/>
    <m/>
    <m/>
    <m/>
    <m/>
    <m/>
    <m/>
    <m/>
    <m/>
  </r>
  <r>
    <s v="19083769"/>
    <s v="Moravský myslivecký spolek Diana"/>
    <s v="706"/>
    <x v="1"/>
    <x v="3"/>
    <s v="Jankovice"/>
    <s v="Jankovice 154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45211400"/>
    <s v="Moravský myslivecký spolek Lužná"/>
    <s v="706"/>
    <x v="1"/>
    <x v="1"/>
    <s v="Lužná"/>
    <s v="Lužná 230, PSČ 75611"/>
    <s v="01700"/>
    <s v="Lov a odchyt divokých zvířat a související činnosti"/>
    <m/>
    <m/>
    <m/>
    <m/>
    <m/>
    <m/>
    <m/>
    <m/>
    <m/>
    <m/>
    <m/>
    <m/>
    <m/>
    <m/>
    <m/>
    <m/>
    <m/>
  </r>
  <r>
    <s v="00546721"/>
    <s v="Moravský rybářský svaz, z.s. pobočný spolek Bojkovice"/>
    <s v="736"/>
    <x v="0"/>
    <x v="2"/>
    <s v="Bojkovice"/>
    <s v="Bojkovice, Močidla 78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82813"/>
    <s v="Moravský rybářský svaz, z.s. pobočný spolek Bystřice pod Hostýnem"/>
    <s v="736"/>
    <x v="0"/>
    <x v="3"/>
    <s v="Bystřice pod Hostýnem"/>
    <s v="Bystřice pod Hostýnem, Masarykovo nám. 137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7981"/>
    <s v="Moravský rybářský svaz, z.s. pobočný spolek Chropyně"/>
    <s v="736"/>
    <x v="0"/>
    <x v="3"/>
    <s v="Chropyně"/>
    <s v="Chropyně, Haltýře 145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575875"/>
    <s v="Moravský rybářský svaz, z.s. pobočný spolek Hluk"/>
    <s v="736"/>
    <x v="0"/>
    <x v="2"/>
    <s v="Hluk"/>
    <s v="Hluk, Sokolská 1100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7964"/>
    <s v="Moravský rybářský svaz, z.s. pobočný spolek Holešov"/>
    <s v="736"/>
    <x v="0"/>
    <x v="3"/>
    <s v="Holešov"/>
    <s v="Holešov, nám. Dr. E. Beneše 17/56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11379"/>
    <s v="Moravský rybářský svaz, z.s. pobočný spolek Kostelany nad Moravou"/>
    <s v="736"/>
    <x v="0"/>
    <x v="2"/>
    <s v="Kostelany nad Moravou"/>
    <s v="Kostelany nad Moravou 34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8073"/>
    <s v="Moravský rybářský svaz, z.s. pobočný spolek Kroměříž"/>
    <s v="736"/>
    <x v="0"/>
    <x v="3"/>
    <s v="Kroměříž"/>
    <s v="Kroměříž, Kojetínská 1180/1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8081"/>
    <s v="Moravský rybářský svaz, z.s. pobočný spolek Kunovice"/>
    <s v="736"/>
    <x v="0"/>
    <x v="2"/>
    <s v="Kunovice"/>
    <s v="Kunovice, Na Bělince 1459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575565"/>
    <s v="Moravský rybářský svaz, z.s. pobočný spolek Kvasice"/>
    <s v="736"/>
    <x v="0"/>
    <x v="3"/>
    <s v="Kvasice"/>
    <s v="Kvasice, Tlumačovská 685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8154"/>
    <s v="Moravský rybářský svaz, z.s. pobočný spolek Nedakonice"/>
    <s v="736"/>
    <x v="0"/>
    <x v="2"/>
    <s v="Nedakonice"/>
    <s v="Nedakonice 294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8065"/>
    <s v="Moravský rybářský svaz, z.s. pobočný spolek Osvětimany"/>
    <s v="736"/>
    <x v="0"/>
    <x v="2"/>
    <s v="Osvětimany"/>
    <s v="Osvětimany 350, PSČ 6874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7042"/>
    <s v="Moravský rybářský svaz, z.s. pobočný spolek Otrokovice"/>
    <s v="736"/>
    <x v="0"/>
    <x v="0"/>
    <s v="Otrokovice"/>
    <s v="Otrokovice, tř. Tomáše Bati 1610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792335"/>
    <s v="Moravský rybářský svaz, z.s. pobočný spolek Sehradice"/>
    <s v="736"/>
    <x v="0"/>
    <x v="0"/>
    <s v="Sehradice"/>
    <s v="Sehradice 64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57242"/>
    <s v="Moravský rybářský svaz, z.s. pobočný spolek Slavičín"/>
    <s v="736"/>
    <x v="0"/>
    <x v="0"/>
    <s v="Slavičín"/>
    <s v="Slavičín, Osvobození 255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57269"/>
    <s v="Moravský rybářský svaz, z.s. pobočný spolek Staré Město"/>
    <s v="736"/>
    <x v="0"/>
    <x v="2"/>
    <s v="Staré Město"/>
    <s v="Staré Město 2219, PSČ 68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557323"/>
    <s v="Moravský rybářský svaz, z.s. pobočný spolek Uherské Hradiště"/>
    <s v="736"/>
    <x v="0"/>
    <x v="2"/>
    <s v="Uherské Hradiště"/>
    <s v="Uherské Hradiště, Mařatice, U Moravy 852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57331"/>
    <s v="Moravský rybářský svaz, z.s. pobočný spolek Uherský Brod"/>
    <s v="736"/>
    <x v="0"/>
    <x v="2"/>
    <s v="Uherský Brod"/>
    <s v="Uherský Brod, Na Láně 1976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57340"/>
    <s v="Moravský rybářský svaz, z.s. pobočný spolek Uherský Ostroh"/>
    <s v="736"/>
    <x v="0"/>
    <x v="2"/>
    <s v="Uherský Ostroh"/>
    <s v="Uherský Ostroh, Sv. Čecha 375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7956"/>
    <s v="Moravský rybářský svaz, z.s. pobočný spolek Zlín"/>
    <s v="736"/>
    <x v="0"/>
    <x v="0"/>
    <s v="Zlín"/>
    <s v="Zlín, třída Tomáše Bati 127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7034"/>
    <s v="MORAVSKÝ RYBÁŘSKÝ SVAZ,NAPAJEDLA MÍSTNÍ ORGANIZACE"/>
    <s v="736"/>
    <x v="0"/>
    <x v="0"/>
    <s v="Napajedla"/>
    <s v="Napajedla,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7014"/>
    <s v="Moravský spolek pro podporu ekoturismu a biofarem"/>
    <s v="706"/>
    <x v="1"/>
    <x v="0"/>
    <s v="Zlín"/>
    <s v="Zlín, Lužkovice, Pod Jurým 63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668721"/>
    <s v="Moravský sportovní klub z.s."/>
    <s v="706"/>
    <x v="1"/>
    <x v="0"/>
    <s v="Vizovice"/>
    <s v="Vizovice, 3. května 1280, PSČ 76312"/>
    <s v="93190"/>
    <s v="Ostatní sportovní činnosti"/>
    <m/>
    <m/>
    <m/>
    <m/>
    <m/>
    <m/>
    <m/>
    <m/>
    <m/>
    <m/>
    <m/>
    <m/>
    <m/>
    <m/>
    <m/>
    <m/>
    <m/>
  </r>
  <r>
    <s v="70870616"/>
    <s v="Moravští madrigalisté z.s."/>
    <s v="706"/>
    <x v="1"/>
    <x v="3"/>
    <s v="Kroměříž"/>
    <s v="Kroměříž, U Cihelny 643/1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727160"/>
    <s v="Moravští zemští páni, z.s."/>
    <s v="706"/>
    <x v="1"/>
    <x v="2"/>
    <s v="Kunovice"/>
    <s v="Kunovice, Na Bělince 109, PSČ 68604"/>
    <s v="94991"/>
    <s v="Činnosti organizací dětí a mládeže"/>
    <m/>
    <m/>
    <m/>
    <m/>
    <m/>
    <m/>
    <m/>
    <m/>
    <m/>
    <m/>
    <m/>
    <m/>
    <m/>
    <m/>
    <m/>
    <m/>
    <m/>
  </r>
  <r>
    <s v="17367808"/>
    <s v="MORE &amp; MOVE English Camp z. s."/>
    <s v="706"/>
    <x v="1"/>
    <x v="1"/>
    <s v="Rožnov pod Radhoštěm"/>
    <s v="Rožnov pod Radhoštěm, Žerotínská 265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15102"/>
    <s v="Morkovčanka, z. s."/>
    <s v="706"/>
    <x v="1"/>
    <x v="3"/>
    <s v="Morkovice-Slížany"/>
    <s v="Morkovice-Slížany, Morkovice, Havlíčkova 374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5027"/>
    <s v="MORKOVŠTÍ OCHOTNÍCI z.s."/>
    <s v="706"/>
    <x v="1"/>
    <x v="3"/>
    <s v="Morkovice-Slížany"/>
    <s v="Morkovice-Slížany, Morkovice, Náměstí 29, PSČ 76833"/>
    <s v="90010"/>
    <s v="Scénická umění"/>
    <m/>
    <m/>
    <m/>
    <m/>
    <m/>
    <m/>
    <m/>
    <m/>
    <m/>
    <m/>
    <m/>
    <m/>
    <m/>
    <m/>
    <m/>
    <m/>
    <m/>
  </r>
  <r>
    <s v="11637544"/>
    <s v="Most k domovu Zlín - sociální služby, z.ú.,"/>
    <s v="161"/>
    <x v="3"/>
    <x v="0"/>
    <s v="Zlín"/>
    <s v="Zlín, Štípa, Mariánské náměstí 48, PSČ 76314"/>
    <s v="8810"/>
    <s v="Ambulantní nebo terénní sociální služby pro seniory a osoby se zdravotním postižením"/>
    <s v="Ostatní ambulantní nebo terénní sociální služby j. n."/>
    <m/>
    <m/>
    <m/>
    <m/>
    <m/>
    <m/>
    <m/>
    <m/>
    <m/>
    <m/>
    <m/>
    <m/>
    <m/>
    <m/>
    <m/>
    <m/>
  </r>
  <r>
    <s v="22900144"/>
    <s v="Moto CAVALIERS 08 o.s."/>
    <s v="706"/>
    <x v="1"/>
    <x v="2"/>
    <s v="Nivnice"/>
    <s v="Nivnice, Nábřežní 625, PSČ 6875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2595"/>
    <s v="MOTO KLUB NAPAJEDLA V AČR"/>
    <s v="736"/>
    <x v="0"/>
    <x v="0"/>
    <s v="Napajedla"/>
    <s v="Napajedla, Dr. Beneše 1164, PSČ 76361"/>
    <s v="93120"/>
    <s v="Činnosti sportovních klubů"/>
    <m/>
    <m/>
    <m/>
    <m/>
    <m/>
    <m/>
    <m/>
    <m/>
    <m/>
    <m/>
    <m/>
    <m/>
    <m/>
    <m/>
    <m/>
    <m/>
    <m/>
  </r>
  <r>
    <s v="70238618"/>
    <s v="MOTO KLUB Valašské Meziříčí"/>
    <s v="736"/>
    <x v="0"/>
    <x v="1"/>
    <s v="Valašské Meziříčí"/>
    <s v="Valašské Meziříčí, Krásno nad Bečvou, Schlattauerova 539/3, PSČ 75701"/>
    <s v="9499"/>
    <s v="Činnosti ostatních organizací sdružujících osoby za účelem prosazování společných zájmů j. n."/>
    <s v="Činnosti sportovních klubů"/>
    <m/>
    <m/>
    <m/>
    <m/>
    <m/>
    <m/>
    <m/>
    <m/>
    <m/>
    <m/>
    <m/>
    <m/>
    <m/>
    <m/>
    <m/>
    <m/>
  </r>
  <r>
    <s v="01171844"/>
    <s v="Moto sport klub v AČR"/>
    <s v="736"/>
    <x v="0"/>
    <x v="2"/>
    <s v="Staré Město"/>
    <s v="Staré Město, Slavomírova 1101, PSČ 68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3163739"/>
    <s v="Motobanda PAZÚŘI, z. s."/>
    <s v="706"/>
    <x v="1"/>
    <x v="2"/>
    <s v="Zlechov"/>
    <s v="Zlechov 84, PSČ 68710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2552"/>
    <s v="MOTOCAR SPORT - Club v AČR"/>
    <s v="736"/>
    <x v="0"/>
    <x v="0"/>
    <s v="Zádveřice-Raková"/>
    <s v="Zádveřice-Raková, Zádveřice 202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8258"/>
    <s v="Moto-club Horní Lideč z. s."/>
    <s v="706"/>
    <x v="1"/>
    <x v="1"/>
    <s v="Horní Lideč"/>
    <s v="Horní Lideč 165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599119"/>
    <s v="Motoclub-Kelč z.s."/>
    <s v="706"/>
    <x v="1"/>
    <x v="1"/>
    <s v="Kelč"/>
    <s v="Kelč 5, PSČ 7564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9888918"/>
    <s v="Motoklub Staré Město z.s."/>
    <s v="706"/>
    <x v="1"/>
    <x v="2"/>
    <s v="Staré Město"/>
    <s v="Staré Město, Velehradská 2230, PSČ 68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495151"/>
    <s v="&quot;Motoklub Valašský Vyskoček z.s.&quot;"/>
    <s v="706"/>
    <x v="1"/>
    <x v="1"/>
    <s v="Střelná"/>
    <s v="Střelná 202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7295"/>
    <s v="Motoklub Vítonice z.s."/>
    <s v="706"/>
    <x v="1"/>
    <x v="3"/>
    <s v="Vítonice"/>
    <s v="Vítonice 91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6225"/>
    <s v="Motoklub Zlín"/>
    <s v="736"/>
    <x v="0"/>
    <x v="0"/>
    <s v="Zlín"/>
    <s v="Zlín, Budovatelská 4811"/>
    <s v="93120"/>
    <s v="Činnosti sportovních klubů"/>
    <m/>
    <m/>
    <m/>
    <m/>
    <m/>
    <m/>
    <m/>
    <m/>
    <m/>
    <m/>
    <m/>
    <m/>
    <m/>
    <m/>
    <m/>
    <m/>
    <m/>
  </r>
  <r>
    <s v="10770259"/>
    <s v="Motokros Prusinovice, z.s."/>
    <s v="706"/>
    <x v="1"/>
    <x v="3"/>
    <s v="Prusinovice"/>
    <s v="Prusinovice, Plačkov 56, PSČ 7684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990091"/>
    <s v="MOTOKROS VETERAN KLUB"/>
    <s v="736"/>
    <x v="0"/>
    <x v="1"/>
    <s v="Valašské Meziříčí"/>
    <s v="Valašské Meziříčí, Krásno nad Bečvou, Zašovská 238, PSČ 75701"/>
    <s v="93120"/>
    <s v="Činnosti sportovních klubů"/>
    <m/>
    <m/>
    <m/>
    <m/>
    <m/>
    <m/>
    <m/>
    <m/>
    <m/>
    <m/>
    <m/>
    <m/>
    <m/>
    <m/>
    <m/>
    <m/>
    <m/>
  </r>
  <r>
    <s v="01641557"/>
    <s v="motokros-zlutava z.s."/>
    <s v="706"/>
    <x v="1"/>
    <x v="0"/>
    <s v="Napajedla"/>
    <s v="Napajedla, Sadová 1279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9641"/>
    <s v="MOTOODDÍL CBA o.s."/>
    <s v="736"/>
    <x v="0"/>
    <x v="2"/>
    <s v="Bojkovice"/>
    <s v="Bojkovice, Krhov 14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3886"/>
    <s v="Motorkáři z Ořechova zapsaný spolek Žebrák"/>
    <s v="706"/>
    <x v="1"/>
    <x v="2"/>
    <s v="Ořechov"/>
    <s v="Ořechov 29, PSČ 68737"/>
    <s v="931"/>
    <s v="Sportovní činnosti"/>
    <m/>
    <m/>
    <m/>
    <m/>
    <m/>
    <m/>
    <m/>
    <m/>
    <m/>
    <m/>
    <m/>
    <m/>
    <m/>
    <m/>
    <m/>
    <m/>
    <m/>
  </r>
  <r>
    <s v="26580853"/>
    <s v="Motorsport Strnadel, z.s."/>
    <s v="706"/>
    <x v="1"/>
    <x v="1"/>
    <s v="Rožnov pod Radhoštěm"/>
    <s v="Rožnov pod Radhoštěm, Tylovice 2039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7457758"/>
    <s v="MOTORSPORT Světinský, z. s."/>
    <s v="706"/>
    <x v="1"/>
    <x v="2"/>
    <s v="Dolní Němčí"/>
    <s v="Dolní Němčí, Dvořákova 304, PSČ 68762"/>
    <s v="93190"/>
    <s v="Ostatní sportovní činnosti"/>
    <m/>
    <m/>
    <m/>
    <m/>
    <m/>
    <m/>
    <m/>
    <m/>
    <m/>
    <m/>
    <m/>
    <m/>
    <m/>
    <m/>
    <m/>
    <m/>
    <m/>
  </r>
  <r>
    <s v="22819886"/>
    <s v="&quot;MOTORSPORT VALAŠSKÉ PŘÍKAZY&quot;"/>
    <s v="706"/>
    <x v="1"/>
    <x v="0"/>
    <s v="Valašské Příkazy"/>
    <s v="Valašské Příkazy 25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05996"/>
    <s v="Motosport klub Uherské Hradiště"/>
    <s v="706"/>
    <x v="1"/>
    <x v="2"/>
    <s v="Uherské Hradiště"/>
    <s v="Uherské Hradiště, Rybárny, Šaňákova 4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10067"/>
    <s v="Motosport klub Zlín v AČR"/>
    <s v="736"/>
    <x v="0"/>
    <x v="0"/>
    <s v="Zlín"/>
    <s v="Zlín, Benešovo nábřeží 3686, PSČ 76001"/>
    <s v="93120"/>
    <s v="Činnosti sportovních klubů"/>
    <m/>
    <m/>
    <m/>
    <m/>
    <m/>
    <m/>
    <m/>
    <m/>
    <m/>
    <m/>
    <m/>
    <m/>
    <m/>
    <m/>
    <m/>
    <m/>
    <m/>
  </r>
  <r>
    <s v="01745590"/>
    <s v="Mountain Biking Kateřinice, z. s."/>
    <s v="706"/>
    <x v="1"/>
    <x v="1"/>
    <s v="Kateřinice"/>
    <s v="Kateřinice 191, PSČ 756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7567138"/>
    <s v="Mountaineering Academy, z.s."/>
    <s v="706"/>
    <x v="1"/>
    <x v="1"/>
    <s v="Hovězí"/>
    <s v="Hovězí 501, PSČ 75601"/>
    <s v="93190"/>
    <s v="Ostatní sportovní činnosti"/>
    <s v="Informační a komunikační činnosti"/>
    <s v="Zprostředkování velkoobchodu a velkoobchod v zastoupení"/>
    <s v="Ostatní vzdělávání"/>
    <s v="Činnosti reklamních agentur"/>
    <s v="Pronájem a leasing ostatních výrobků pro osobní potřebu a převážně pro domácnost"/>
    <m/>
    <m/>
    <m/>
    <m/>
    <m/>
    <m/>
    <m/>
    <m/>
    <m/>
    <m/>
    <m/>
    <m/>
  </r>
  <r>
    <s v="23296445"/>
    <s v="MoveInArt, z.s."/>
    <s v="706"/>
    <x v="1"/>
    <x v="1"/>
    <s v="Valašské Meziříčí"/>
    <s v="Valašské Meziříčí, Krásno nad Bečvou, Křižná 680/22, PSČ 75701"/>
    <s v="93120"/>
    <s v="Činnosti sportovních klubů"/>
    <m/>
    <m/>
    <m/>
    <m/>
    <m/>
    <m/>
    <m/>
    <m/>
    <m/>
    <m/>
    <m/>
    <m/>
    <m/>
    <m/>
    <m/>
    <m/>
    <m/>
  </r>
  <r>
    <s v="08382344"/>
    <s v="Mozaika - vzdělávací a volnočasové centrum z.s."/>
    <s v="706"/>
    <x v="1"/>
    <x v="3"/>
    <s v="Lutopecny"/>
    <s v="Lutopecny 129, PSČ 76701"/>
    <s v="94991"/>
    <s v="Činnosti organizací dětí a mládeže"/>
    <m/>
    <m/>
    <m/>
    <m/>
    <m/>
    <m/>
    <m/>
    <m/>
    <m/>
    <m/>
    <m/>
    <m/>
    <m/>
    <m/>
    <m/>
    <m/>
    <m/>
  </r>
  <r>
    <s v="29309212"/>
    <s v="Mozaika o.p.s."/>
    <s v="141"/>
    <x v="2"/>
    <x v="3"/>
    <s v="Holešov"/>
    <s v="Holešov, Žopy 50, PSČ 76901"/>
    <s v="85600"/>
    <s v="Podpůrné činnosti ve vzdělávání"/>
    <s v="Činnosti související se zaměstnáním"/>
    <s v="Činnosti ostatních organizací sdružujících osoby za účelem prosazování společných zájmů j. n."/>
    <s v="Podpůrné činnosti pro scénická umění"/>
    <m/>
    <m/>
    <m/>
    <m/>
    <m/>
    <m/>
    <m/>
    <m/>
    <m/>
    <m/>
    <m/>
    <m/>
    <m/>
    <m/>
  </r>
  <r>
    <s v="26659875"/>
    <s v="Mozaika Uherský Brod z. s."/>
    <s v="706"/>
    <x v="1"/>
    <x v="2"/>
    <s v="Uherský Brod"/>
    <s v="Uherský Brod, Františka Kožíka 2719, PSČ 68801"/>
    <s v="94991"/>
    <s v="Činnosti organizací dětí a mládeže"/>
    <m/>
    <m/>
    <m/>
    <m/>
    <m/>
    <m/>
    <m/>
    <m/>
    <m/>
    <m/>
    <m/>
    <m/>
    <m/>
    <m/>
    <m/>
    <m/>
    <m/>
  </r>
  <r>
    <s v="75051028"/>
    <s v="MR MOTORSPORT v AČR"/>
    <s v="736"/>
    <x v="0"/>
    <x v="0"/>
    <s v="Fryšták"/>
    <s v="Fryšták, Dr. Absolona 132, PSČ 76316"/>
    <s v="931"/>
    <s v="Sportovní činnosti"/>
    <m/>
    <m/>
    <m/>
    <m/>
    <m/>
    <m/>
    <m/>
    <m/>
    <m/>
    <m/>
    <m/>
    <m/>
    <m/>
    <m/>
    <m/>
    <m/>
    <m/>
  </r>
  <r>
    <s v="11736771"/>
    <s v="M-racing team, z.s."/>
    <s v="706"/>
    <x v="1"/>
    <x v="3"/>
    <s v="Kostelany"/>
    <s v="Kostelany 4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510341"/>
    <s v="MRAVENIŠTĚ Zlín, z.s."/>
    <s v="706"/>
    <x v="1"/>
    <x v="0"/>
    <s v="Zlín"/>
    <s v="Zlín, Podvesná VIII 309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25084"/>
    <s v="”Mrazivá Šála, o.s.”"/>
    <s v="706"/>
    <x v="1"/>
    <x v="0"/>
    <s v="Držková"/>
    <s v="Držková 102, PSČ 7631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7673"/>
    <s v="M-RODASPORT"/>
    <s v="706"/>
    <x v="1"/>
    <x v="2"/>
    <s v="Staré Město"/>
    <s v="Staré Město, Za Mlýnem 1879, PSČ 68603"/>
    <s v="93110"/>
    <s v="Provozování sportovních zařízení"/>
    <m/>
    <m/>
    <m/>
    <m/>
    <m/>
    <m/>
    <m/>
    <m/>
    <m/>
    <m/>
    <m/>
    <m/>
    <m/>
    <m/>
    <m/>
    <m/>
    <m/>
  </r>
  <r>
    <s v="01622625"/>
    <s v="MS Bílé Karpaty z.s."/>
    <s v="706"/>
    <x v="1"/>
    <x v="2"/>
    <s v="Uherský Brod"/>
    <s v="Uherský Brod, Na Chmelnici 2138, PSČ 68801"/>
    <s v="017"/>
    <s v="Lov a odchyt divokých zvířat a související činnosti"/>
    <m/>
    <m/>
    <m/>
    <m/>
    <m/>
    <m/>
    <m/>
    <m/>
    <m/>
    <m/>
    <m/>
    <m/>
    <m/>
    <m/>
    <m/>
    <m/>
    <m/>
  </r>
  <r>
    <s v="62182757"/>
    <s v="MS Bratřejov, z.s."/>
    <s v="706"/>
    <x v="1"/>
    <x v="0"/>
    <s v="Bratřejov"/>
    <s v="Bratřejov č. ev. 32, PSČ 76312"/>
    <s v="01700"/>
    <s v="Lov a odchyt divokých zvířat a související činnosti"/>
    <m/>
    <m/>
    <m/>
    <m/>
    <m/>
    <m/>
    <m/>
    <m/>
    <m/>
    <m/>
    <m/>
    <m/>
    <m/>
    <m/>
    <m/>
    <m/>
    <m/>
  </r>
  <r>
    <s v="64438881"/>
    <s v="MS CERONY BABICE, z.s."/>
    <s v="706"/>
    <x v="1"/>
    <x v="2"/>
    <s v="Babice"/>
    <s v="Babice 121, PSČ 68703"/>
    <s v="01700"/>
    <s v="Lov a odchyt divokých zvířat a související činnosti"/>
    <m/>
    <m/>
    <m/>
    <m/>
    <m/>
    <m/>
    <m/>
    <m/>
    <m/>
    <m/>
    <m/>
    <m/>
    <m/>
    <m/>
    <m/>
    <m/>
    <m/>
  </r>
  <r>
    <s v="48472816"/>
    <s v="MS Fryšták Dolní Ves z.s."/>
    <s v="706"/>
    <x v="1"/>
    <x v="0"/>
    <s v="Fryšták"/>
    <s v="Fryšták, Dolní Ves č. ev. 102, PSČ 76316"/>
    <s v="01700"/>
    <s v="Lov a odchyt divokých zvířat a související činnosti"/>
    <m/>
    <m/>
    <m/>
    <m/>
    <m/>
    <m/>
    <m/>
    <m/>
    <m/>
    <m/>
    <m/>
    <m/>
    <m/>
    <m/>
    <m/>
    <m/>
    <m/>
  </r>
  <r>
    <s v="01519689"/>
    <s v="MS Háj - Les, z.s."/>
    <s v="706"/>
    <x v="1"/>
    <x v="1"/>
    <s v="Huslenky"/>
    <s v="Huslenky 762, PSČ 756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7355"/>
    <s v="MS Háj RADOŠÍN, z.s.,"/>
    <s v="706"/>
    <x v="1"/>
    <x v="2"/>
    <s v="Uherský Brod"/>
    <s v="Uherský Brod, Na Chmelnici 2138, PSČ 68801"/>
    <s v="01700"/>
    <s v="Lov a odchyt divokých zvířat a související činnosti"/>
    <m/>
    <m/>
    <m/>
    <m/>
    <m/>
    <m/>
    <m/>
    <m/>
    <m/>
    <m/>
    <m/>
    <m/>
    <m/>
    <m/>
    <m/>
    <m/>
    <m/>
  </r>
  <r>
    <s v="28558260"/>
    <s v="MS Háj TROJÁK, o. s."/>
    <s v="706"/>
    <x v="1"/>
    <x v="3"/>
    <s v="Rajnochovice"/>
    <s v="Rajnochovice 144, PSČ 76871"/>
    <s v="01700"/>
    <s v="Lov a odchyt divokých zvířat a související činnosti"/>
    <m/>
    <m/>
    <m/>
    <m/>
    <m/>
    <m/>
    <m/>
    <m/>
    <m/>
    <m/>
    <m/>
    <m/>
    <m/>
    <m/>
    <m/>
    <m/>
    <m/>
  </r>
  <r>
    <s v="47930438"/>
    <s v="MS Hliník z. s."/>
    <s v="706"/>
    <x v="1"/>
    <x v="3"/>
    <s v="Kurovice"/>
    <s v="Kurovice 68, PSČ 76852"/>
    <s v="01700"/>
    <s v="Lov a odchyt divokých zvířat a související činnosti"/>
    <m/>
    <m/>
    <m/>
    <m/>
    <m/>
    <m/>
    <m/>
    <m/>
    <m/>
    <m/>
    <m/>
    <m/>
    <m/>
    <m/>
    <m/>
    <m/>
    <m/>
  </r>
  <r>
    <s v="26621215"/>
    <s v="MS Hložec Štítná nad Vláří"/>
    <s v="706"/>
    <x v="1"/>
    <x v="0"/>
    <s v="Štítná nad Vláří-Popov"/>
    <s v="Štítná nad Vláří-Popov, Štítná nad Vláří 435, PSČ 76333"/>
    <s v="01700"/>
    <s v="Lov a odchyt divokých zvířat a související činnosti"/>
    <m/>
    <m/>
    <m/>
    <m/>
    <m/>
    <m/>
    <m/>
    <m/>
    <m/>
    <m/>
    <m/>
    <m/>
    <m/>
    <m/>
    <m/>
    <m/>
    <m/>
  </r>
  <r>
    <s v="65326563"/>
    <s v="MS Hradčovice-Drslavice,z.s."/>
    <s v="706"/>
    <x v="1"/>
    <x v="2"/>
    <s v="Hradčovice"/>
    <s v="Hradčovice 168, PSČ 68733"/>
    <s v="01700"/>
    <s v="Lov a odchyt divokých zvířat a související činnosti"/>
    <m/>
    <m/>
    <m/>
    <m/>
    <m/>
    <m/>
    <m/>
    <m/>
    <m/>
    <m/>
    <m/>
    <m/>
    <m/>
    <m/>
    <m/>
    <m/>
    <m/>
  </r>
  <r>
    <s v="22761411"/>
    <s v="MS HRUBÁ JEDLA z.s."/>
    <s v="706"/>
    <x v="1"/>
    <x v="0"/>
    <s v="Slušovice"/>
    <s v="Slušovice, Zahradní 295, PSČ 76315"/>
    <s v="01700"/>
    <s v="Lov a odchyt divokých zvířat a související činnosti"/>
    <m/>
    <m/>
    <m/>
    <m/>
    <m/>
    <m/>
    <m/>
    <m/>
    <m/>
    <m/>
    <m/>
    <m/>
    <m/>
    <m/>
    <m/>
    <m/>
    <m/>
  </r>
  <r>
    <s v="26621452"/>
    <s v="MS JAVORNÍK RAJNOCHOVICE"/>
    <s v="706"/>
    <x v="1"/>
    <x v="3"/>
    <s v="Rajnochovice"/>
    <s v="Rajnochovice 216, PSČ 76871"/>
    <s v="01700"/>
    <s v="Lov a odchyt divokých zvířat a související činnosti"/>
    <m/>
    <m/>
    <m/>
    <m/>
    <m/>
    <m/>
    <m/>
    <m/>
    <m/>
    <m/>
    <m/>
    <m/>
    <m/>
    <m/>
    <m/>
    <m/>
    <m/>
  </r>
  <r>
    <s v="01461389"/>
    <s v="MS Jedlová, z.s."/>
    <s v="706"/>
    <x v="1"/>
    <x v="1"/>
    <s v="Nový Hrozenkov"/>
    <s v="Nový Hrozenkov 832, PSČ 75604"/>
    <s v="0170"/>
    <s v="Lov a odchyt divokých zvířat a související činnosti"/>
    <m/>
    <m/>
    <m/>
    <m/>
    <m/>
    <m/>
    <m/>
    <m/>
    <m/>
    <m/>
    <m/>
    <m/>
    <m/>
    <m/>
    <m/>
    <m/>
    <m/>
  </r>
  <r>
    <s v="27060331"/>
    <s v="MS JEHLIČKA, z.s."/>
    <s v="706"/>
    <x v="1"/>
    <x v="2"/>
    <s v="Bystřice pod Lopeníkem"/>
    <s v="Bystřice pod Lopeníkem č. ev. 8, PSČ 68755"/>
    <s v="01700"/>
    <s v="Lov a odchyt divokých zvířat a související činnosti"/>
    <m/>
    <m/>
    <m/>
    <m/>
    <m/>
    <m/>
    <m/>
    <m/>
    <m/>
    <m/>
    <m/>
    <m/>
    <m/>
    <m/>
    <m/>
    <m/>
    <m/>
  </r>
  <r>
    <s v="01579959"/>
    <s v="MS Jívina"/>
    <s v="706"/>
    <x v="1"/>
    <x v="2"/>
    <s v="Stupava"/>
    <s v="Stupava 8, PSČ 68601"/>
    <s v="017"/>
    <s v="Lov a odchyt divokých zvířat a související činnosti"/>
    <m/>
    <m/>
    <m/>
    <m/>
    <m/>
    <m/>
    <m/>
    <m/>
    <m/>
    <m/>
    <m/>
    <m/>
    <m/>
    <m/>
    <m/>
    <m/>
    <m/>
  </r>
  <r>
    <s v="70961646"/>
    <s v="MS Kněžpole z.s."/>
    <s v="706"/>
    <x v="1"/>
    <x v="2"/>
    <s v="Kněžpole"/>
    <s v="Kněžpole 125, PSČ 68712"/>
    <s v="01700"/>
    <s v="Lov a odchyt divokých zvířat a související činnosti"/>
    <m/>
    <m/>
    <m/>
    <m/>
    <m/>
    <m/>
    <m/>
    <m/>
    <m/>
    <m/>
    <m/>
    <m/>
    <m/>
    <m/>
    <m/>
    <m/>
    <m/>
  </r>
  <r>
    <s v="62182510"/>
    <s v="MS KOMONEC POZLOVICE z.s."/>
    <s v="706"/>
    <x v="1"/>
    <x v="0"/>
    <s v="Pozlovice"/>
    <s v="Pozlovice, Hlavní 51, PSČ 76326"/>
    <s v="01700"/>
    <s v="Lov a odchyt divokých zvířat a související činnosti"/>
    <m/>
    <m/>
    <m/>
    <m/>
    <m/>
    <m/>
    <m/>
    <m/>
    <m/>
    <m/>
    <m/>
    <m/>
    <m/>
    <m/>
    <m/>
    <m/>
    <m/>
  </r>
  <r>
    <s v="69725624"/>
    <s v="MS Královec - Val. Klobouky"/>
    <s v="706"/>
    <x v="1"/>
    <x v="0"/>
    <s v="Valašské Klobouky"/>
    <s v="Valašské Klobouky, Na Výsluní 868, PSČ 76601"/>
    <s v="01700"/>
    <s v="Lov a odchyt divokých zvířat a související činnosti"/>
    <m/>
    <m/>
    <m/>
    <m/>
    <m/>
    <m/>
    <m/>
    <m/>
    <m/>
    <m/>
    <m/>
    <m/>
    <m/>
    <m/>
    <m/>
    <m/>
    <m/>
  </r>
  <r>
    <s v="26620812"/>
    <s v="MS Lesy Korytná"/>
    <s v="706"/>
    <x v="1"/>
    <x v="2"/>
    <s v="Korytná"/>
    <s v="Korytná 292, PSČ 68752"/>
    <s v="01700"/>
    <s v="Lov a odchyt divokých zvířat a související činnosti"/>
    <m/>
    <m/>
    <m/>
    <m/>
    <m/>
    <m/>
    <m/>
    <m/>
    <m/>
    <m/>
    <m/>
    <m/>
    <m/>
    <m/>
    <m/>
    <m/>
    <m/>
  </r>
  <r>
    <s v="26617269"/>
    <s v="MS LHOTA"/>
    <s v="706"/>
    <x v="1"/>
    <x v="3"/>
    <s v="Pačlavice"/>
    <s v="Pačlavice, Lhota 111, PSČ 76834"/>
    <s v="01700"/>
    <s v="Lov a odchyt divokých zvířat a související činnosti"/>
    <m/>
    <m/>
    <m/>
    <m/>
    <m/>
    <m/>
    <m/>
    <m/>
    <m/>
    <m/>
    <m/>
    <m/>
    <m/>
    <m/>
    <m/>
    <m/>
    <m/>
  </r>
  <r>
    <s v="46277226"/>
    <s v="MS Lhota-Karlovice, z. s."/>
    <s v="706"/>
    <x v="1"/>
    <x v="0"/>
    <s v="Lhota"/>
    <s v="Lhota č. ev. 6, PSČ 76302"/>
    <s v="01700"/>
    <s v="Lov a odchyt divokých zvířat a související činnosti"/>
    <m/>
    <m/>
    <m/>
    <m/>
    <m/>
    <m/>
    <m/>
    <m/>
    <m/>
    <m/>
    <m/>
    <m/>
    <m/>
    <m/>
    <m/>
    <m/>
    <m/>
  </r>
  <r>
    <s v="60370378"/>
    <s v="MS Lípa Staré Město, z. s."/>
    <s v="706"/>
    <x v="1"/>
    <x v="2"/>
    <s v="Staré Město"/>
    <s v="Staré Město, Tovární 156, PSČ 68603"/>
    <s v="01700"/>
    <s v="Lov a odchyt divokých zvířat a související činnosti"/>
    <m/>
    <m/>
    <m/>
    <m/>
    <m/>
    <m/>
    <m/>
    <m/>
    <m/>
    <m/>
    <m/>
    <m/>
    <m/>
    <m/>
    <m/>
    <m/>
    <m/>
  </r>
  <r>
    <s v="01518178"/>
    <s v="MS Makyta - Les, z.s."/>
    <s v="706"/>
    <x v="1"/>
    <x v="1"/>
    <s v="Huslenky"/>
    <s v="Huslenky 762, PSČ 756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5931"/>
    <s v="MS MINAS - Hluboček o.s."/>
    <s v="706"/>
    <x v="1"/>
    <x v="2"/>
    <s v="Babice"/>
    <s v="Babice 81, PSČ 68703"/>
    <s v="01700"/>
    <s v="Lov a odchyt divokých zvířat a související činnosti"/>
    <m/>
    <m/>
    <m/>
    <m/>
    <m/>
    <m/>
    <m/>
    <m/>
    <m/>
    <m/>
    <m/>
    <m/>
    <m/>
    <m/>
    <m/>
    <m/>
    <m/>
  </r>
  <r>
    <s v="26591286"/>
    <s v="MS Neraz"/>
    <s v="706"/>
    <x v="1"/>
    <x v="2"/>
    <s v="Nedachlebice"/>
    <s v="Nedachlebice 198, PSČ 68712"/>
    <s v="01700"/>
    <s v="Lov a odchyt divokých zvířat a související činnosti"/>
    <m/>
    <m/>
    <m/>
    <m/>
    <m/>
    <m/>
    <m/>
    <m/>
    <m/>
    <m/>
    <m/>
    <m/>
    <m/>
    <m/>
    <m/>
    <m/>
    <m/>
  </r>
  <r>
    <s v="02252091"/>
    <s v="MS Ostrý vrch Hluk"/>
    <s v="706"/>
    <x v="1"/>
    <x v="2"/>
    <s v="Hluk"/>
    <s v="Hluk"/>
    <s v="0170"/>
    <s v="Lov a odchyt divokých zvířat a související činnosti"/>
    <m/>
    <m/>
    <m/>
    <m/>
    <m/>
    <m/>
    <m/>
    <m/>
    <m/>
    <m/>
    <m/>
    <m/>
    <m/>
    <m/>
    <m/>
    <m/>
    <m/>
  </r>
  <r>
    <s v="26620502"/>
    <s v="MS PÍSKY"/>
    <s v="706"/>
    <x v="1"/>
    <x v="0"/>
    <s v="Držková"/>
    <s v="Držková 34, PSČ 76319"/>
    <s v="01700"/>
    <s v="Lov a odchyt divokých zvířat a související činnosti"/>
    <m/>
    <m/>
    <m/>
    <m/>
    <m/>
    <m/>
    <m/>
    <m/>
    <m/>
    <m/>
    <m/>
    <m/>
    <m/>
    <m/>
    <m/>
    <m/>
    <m/>
  </r>
  <r>
    <s v="26595389"/>
    <s v="MS Pomoraví"/>
    <s v="706"/>
    <x v="1"/>
    <x v="0"/>
    <s v="Spytihněv"/>
    <s v="Spytihněv 409, PSČ 76364"/>
    <s v="01700"/>
    <s v="Lov a odchyt divokých zvířat a související činnosti"/>
    <m/>
    <m/>
    <m/>
    <m/>
    <m/>
    <m/>
    <m/>
    <m/>
    <m/>
    <m/>
    <m/>
    <m/>
    <m/>
    <m/>
    <m/>
    <m/>
    <m/>
  </r>
  <r>
    <s v="26624435"/>
    <s v="MS PROVODOV"/>
    <s v="706"/>
    <x v="1"/>
    <x v="0"/>
    <s v="Provodov"/>
    <s v="Provodov 91, PSČ 76345"/>
    <s v="01700"/>
    <s v="Lov a odchyt divokých zvířat a související činnosti"/>
    <m/>
    <m/>
    <m/>
    <m/>
    <m/>
    <m/>
    <m/>
    <m/>
    <m/>
    <m/>
    <m/>
    <m/>
    <m/>
    <m/>
    <m/>
    <m/>
    <m/>
  </r>
  <r>
    <s v="47863706"/>
    <s v="MS přehrada Bystřička z.s."/>
    <s v="706"/>
    <x v="1"/>
    <x v="1"/>
    <s v="Bystřička"/>
    <s v="Bystřička 82, PSČ 75624"/>
    <s v="01700"/>
    <s v="Lov a odchyt divokých zvířat a související činnosti"/>
    <m/>
    <m/>
    <m/>
    <m/>
    <m/>
    <m/>
    <m/>
    <m/>
    <m/>
    <m/>
    <m/>
    <m/>
    <m/>
    <m/>
    <m/>
    <m/>
    <m/>
  </r>
  <r>
    <s v="26630842"/>
    <s v="MS Příčky Chvalčov"/>
    <s v="706"/>
    <x v="1"/>
    <x v="3"/>
    <s v="Chvalčov"/>
    <s v="Chvalčov, Na Kamenci 608, PSČ 76872"/>
    <s v="01700"/>
    <s v="Lov a odchyt divokých zvířat a související činnosti"/>
    <m/>
    <m/>
    <m/>
    <m/>
    <m/>
    <m/>
    <m/>
    <m/>
    <m/>
    <m/>
    <m/>
    <m/>
    <m/>
    <m/>
    <m/>
    <m/>
    <m/>
  </r>
  <r>
    <s v="26626217"/>
    <s v="MS Radošín, z.s."/>
    <s v="706"/>
    <x v="1"/>
    <x v="1"/>
    <s v="Huslenky"/>
    <s v="Huslenky 762, PSČ 75602"/>
    <s v="01700"/>
    <s v="Lov a odchyt divokých zvířat a související činnosti"/>
    <m/>
    <m/>
    <m/>
    <m/>
    <m/>
    <m/>
    <m/>
    <m/>
    <m/>
    <m/>
    <m/>
    <m/>
    <m/>
    <m/>
    <m/>
    <m/>
    <m/>
  </r>
  <r>
    <s v="26623510"/>
    <s v="MS Rovná"/>
    <s v="706"/>
    <x v="1"/>
    <x v="2"/>
    <s v="Jankovice"/>
    <s v="Jankovice 8, PSČ 68704"/>
    <s v="01700"/>
    <s v="Lov a odchyt divokých zvířat a související činnosti"/>
    <m/>
    <m/>
    <m/>
    <m/>
    <m/>
    <m/>
    <m/>
    <m/>
    <m/>
    <m/>
    <m/>
    <m/>
    <m/>
    <m/>
    <m/>
    <m/>
    <m/>
  </r>
  <r>
    <s v="01518194"/>
    <s v="MS Sidonie - Les, z.s."/>
    <s v="706"/>
    <x v="1"/>
    <x v="1"/>
    <s v="Huslenky"/>
    <s v="Huslenky 762, PSČ 756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9485"/>
    <s v="MS Střílky-Zástřizly,z.s."/>
    <s v="706"/>
    <x v="1"/>
    <x v="3"/>
    <s v="Střílky"/>
    <s v="Střílky, Koryčanská 47, PSČ 76804"/>
    <s v="01700"/>
    <s v="Lov a odchyt divokých zvířat a související činnosti"/>
    <m/>
    <m/>
    <m/>
    <m/>
    <m/>
    <m/>
    <m/>
    <m/>
    <m/>
    <m/>
    <m/>
    <m/>
    <m/>
    <m/>
    <m/>
    <m/>
    <m/>
  </r>
  <r>
    <s v="48489484"/>
    <s v="MS Uherský Brod, z.s."/>
    <s v="706"/>
    <x v="1"/>
    <x v="2"/>
    <s v="Uherský Brod"/>
    <s v="Uherský Brod 2641, PSČ 68801"/>
    <s v="01700"/>
    <s v="Lov a odchyt divokých zvířat a související činnosti"/>
    <m/>
    <m/>
    <m/>
    <m/>
    <m/>
    <m/>
    <m/>
    <m/>
    <m/>
    <m/>
    <m/>
    <m/>
    <m/>
    <m/>
    <m/>
    <m/>
    <m/>
  </r>
  <r>
    <s v="01989138"/>
    <s v="MS Vážany-Tučapy, z.s."/>
    <s v="706"/>
    <x v="1"/>
    <x v="2"/>
    <s v="Vážany"/>
    <s v="Vážany 20, PSČ 68737"/>
    <s v="01700"/>
    <s v="Lov a odchyt divokých zvířat a související činnosti"/>
    <m/>
    <m/>
    <m/>
    <m/>
    <m/>
    <m/>
    <m/>
    <m/>
    <m/>
    <m/>
    <m/>
    <m/>
    <m/>
    <m/>
    <m/>
    <m/>
    <m/>
  </r>
  <r>
    <s v="26560577"/>
    <s v="MS Vsacko, z.s."/>
    <s v="706"/>
    <x v="1"/>
    <x v="1"/>
    <s v="Halenkov"/>
    <s v="Halenkov 90, PSČ 75603"/>
    <s v="01700"/>
    <s v="Lov a odchyt divokých zvířat a související činnosti"/>
    <m/>
    <m/>
    <m/>
    <m/>
    <m/>
    <m/>
    <m/>
    <m/>
    <m/>
    <m/>
    <m/>
    <m/>
    <m/>
    <m/>
    <m/>
    <m/>
    <m/>
  </r>
  <r>
    <s v="01831810"/>
    <s v="MS Vsetín Město"/>
    <s v="706"/>
    <x v="1"/>
    <x v="1"/>
    <s v="Vsetín"/>
    <s v="Vset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7811"/>
    <s v="MS Žlutava, z.s."/>
    <s v="706"/>
    <x v="1"/>
    <x v="0"/>
    <s v="Žlutava"/>
    <s v="Žlutava 267, PSČ 76361"/>
    <s v="01700"/>
    <s v="Lov a odchyt divokých zvířat a související činnosti"/>
    <m/>
    <m/>
    <m/>
    <m/>
    <m/>
    <m/>
    <m/>
    <m/>
    <m/>
    <m/>
    <m/>
    <m/>
    <m/>
    <m/>
    <m/>
    <m/>
    <m/>
  </r>
  <r>
    <s v="04844424"/>
    <s v="MSA Uherské Hradiště, z.s."/>
    <s v="706"/>
    <x v="1"/>
    <x v="2"/>
    <s v="Kunovice"/>
    <s v="Kunovice, Šlerkova 800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2103"/>
    <s v="MSKLC z.s."/>
    <s v="706"/>
    <x v="1"/>
    <x v="3"/>
    <s v="Bystřice pod Hostýnem"/>
    <s v="Bystřice pod Hostýnem, Na Nivách 1369, PSČ 768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731114"/>
    <s v="MSV"/>
    <s v="706"/>
    <x v="1"/>
    <x v="0"/>
    <s v="Zádveřice-Raková"/>
    <s v="Zádveřice-Raková, Zádveřice 45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8721"/>
    <s v="MTB Březolupský sprint z.s."/>
    <s v="706"/>
    <x v="1"/>
    <x v="2"/>
    <s v="Březolupy"/>
    <s v="Březolupy 613, PSČ 6871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53406"/>
    <s v="MTB Chřiby o.s."/>
    <s v="706"/>
    <x v="1"/>
    <x v="3"/>
    <s v="Kvasice"/>
    <s v="Kvasice, Krajina 648, PSČ 768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62048"/>
    <s v="MTB Javořina z.s."/>
    <s v="706"/>
    <x v="1"/>
    <x v="2"/>
    <s v="Strání"/>
    <s v="Strání, nám. P. St. Spáčila 15, PSČ 6876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59791"/>
    <s v="MTB Servis z.s."/>
    <s v="706"/>
    <x v="1"/>
    <x v="0"/>
    <s v="Napajedla"/>
    <s v="Napajedla, Lány 1031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1119"/>
    <s v="MTB team OTROKOVICE"/>
    <s v="706"/>
    <x v="1"/>
    <x v="0"/>
    <s v="Otrokovice"/>
    <s v="Otrokovice, Dobrovského 9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6662"/>
    <s v="MTBikers z. s."/>
    <s v="706"/>
    <x v="1"/>
    <x v="2"/>
    <s v="Břestek"/>
    <s v="Břestek 22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7149"/>
    <s v="MTB-TRIAL CLUB z.s."/>
    <s v="706"/>
    <x v="1"/>
    <x v="1"/>
    <s v="Vsetín"/>
    <s v="Vsetín, Smetanova 136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178091"/>
    <s v="Mudrlanti, z.s."/>
    <s v="706"/>
    <x v="1"/>
    <x v="2"/>
    <s v="Nezdenice"/>
    <s v="Nezdenice 162, PSČ 687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9909"/>
    <s v="Multimediální klub"/>
    <s v="706"/>
    <x v="1"/>
    <x v="2"/>
    <s v="Uherské Hradiště"/>
    <s v="Uherské Hradiště, Hradební 119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608532"/>
    <s v="MULTI-S Racing z.s."/>
    <s v="706"/>
    <x v="1"/>
    <x v="3"/>
    <s v="Kroměříž"/>
    <s v="Kroměříž, Kaplanova 4598/3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610300"/>
    <s v="MUN, z.s."/>
    <s v="706"/>
    <x v="1"/>
    <x v="1"/>
    <s v="Valašské Meziříčí"/>
    <s v="Valašské Meziříčí, Podlesí 19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8618"/>
    <s v="MUSICA Holešov, z.s."/>
    <s v="706"/>
    <x v="1"/>
    <x v="3"/>
    <s v="Holešov"/>
    <s v="Holešov, nám. F. X. Richtra 190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33169"/>
    <s v="Musica Liberis z.s."/>
    <s v="706"/>
    <x v="1"/>
    <x v="3"/>
    <s v="Kroměříž"/>
    <s v="Kroměříž, Velehradská 3031/93, PSČ 76701"/>
    <s v="94991"/>
    <s v="Činnosti organizací dětí a mládeže"/>
    <m/>
    <m/>
    <m/>
    <m/>
    <m/>
    <m/>
    <m/>
    <m/>
    <m/>
    <m/>
    <m/>
    <m/>
    <m/>
    <m/>
    <m/>
    <m/>
    <m/>
  </r>
  <r>
    <s v="27055973"/>
    <s v="Musica Minore, z.s."/>
    <s v="706"/>
    <x v="1"/>
    <x v="0"/>
    <s v="Valašské Klobouky"/>
    <s v="Valašské Klobouky, Cyrilometodějská 285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7997"/>
    <s v="Muškařský sportovní klub Bojkovice, z. s."/>
    <s v="706"/>
    <x v="1"/>
    <x v="2"/>
    <s v="Záhorovice"/>
    <s v="Záhorovice 153, PSČ 68771"/>
    <s v="93110"/>
    <s v="Provozování sportovních zařízení"/>
    <m/>
    <m/>
    <m/>
    <m/>
    <m/>
    <m/>
    <m/>
    <m/>
    <m/>
    <m/>
    <m/>
    <m/>
    <m/>
    <m/>
    <m/>
    <m/>
    <m/>
  </r>
  <r>
    <s v="26659271"/>
    <s v="Muškařský sportovní klub Zlín, z.s."/>
    <s v="706"/>
    <x v="1"/>
    <x v="0"/>
    <s v="Želechovice nad Dřevnicí"/>
    <s v="Želechovice nad Dřevnicí, Osvobození 216, PSČ 76311"/>
    <s v="93110"/>
    <s v="Provozování sportovních zařízení"/>
    <m/>
    <m/>
    <m/>
    <m/>
    <m/>
    <m/>
    <m/>
    <m/>
    <m/>
    <m/>
    <m/>
    <m/>
    <m/>
    <m/>
    <m/>
    <m/>
    <m/>
  </r>
  <r>
    <s v="26572346"/>
    <s v="Muzejní společnost Nedakonice, z.s."/>
    <s v="706"/>
    <x v="1"/>
    <x v="2"/>
    <s v="Nedakonice"/>
    <s v="Nedakonice 531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612488"/>
    <s v="Muzejní společnost ve Valašském Meziříčí z. s."/>
    <s v="706"/>
    <x v="1"/>
    <x v="1"/>
    <s v="Valašské Meziříčí"/>
    <s v="Valašské Meziříčí, Vsetínská 45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4471"/>
    <s v="Muzejní spolek Aloise Jaška v Bojkovicích"/>
    <s v="706"/>
    <x v="1"/>
    <x v="2"/>
    <s v="Bojkovice"/>
    <s v="Bojkovice, Palackého 17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215196"/>
    <s v="Muzejní spolek Kotovica"/>
    <s v="706"/>
    <x v="1"/>
    <x v="2"/>
    <s v="Veletiny"/>
    <s v="Veletiny 218, PSČ 687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80912"/>
    <s v="Muzejní spolek v Uherském Hradišti"/>
    <s v="706"/>
    <x v="1"/>
    <x v="2"/>
    <s v="Uherské Hradiště"/>
    <s v="Uherské Hradiště, Smetanovy sady 17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720151"/>
    <s v="Muzejní spolek ve Valašských Kloboukách"/>
    <s v="706"/>
    <x v="1"/>
    <x v="0"/>
    <s v="Valašské Klobouky"/>
    <s v="Městské muzeum, Masarykovo nám. 276, Val. Klobouky"/>
    <s v="9499"/>
    <s v="Činnosti ostatních organizací sdružujících osoby za účelem prosazování společných zájmů j. n."/>
    <s v="Výroba, obchod a služby neuvedené v přílohách 1 až 3 živnostenského zákona"/>
    <s v="Stravování v restauracích, u stánků a v mobilních zařízeních"/>
    <s v="Destilace, rektifikace a míchání lihovin"/>
    <m/>
    <m/>
    <m/>
    <m/>
    <m/>
    <m/>
    <m/>
    <m/>
    <m/>
    <m/>
    <m/>
    <m/>
    <m/>
    <m/>
  </r>
  <r>
    <s v="26516110"/>
    <s v="Muzejní spolek Vlára v Brumově-Bylnici"/>
    <s v="706"/>
    <x v="1"/>
    <x v="0"/>
    <s v="Brumov-Bylnice"/>
    <s v="Brumov-Bylnice, Brumov, Podzámčí 861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152746"/>
    <s v="Muzeum pro všechny, z. s."/>
    <s v="706"/>
    <x v="1"/>
    <x v="2"/>
    <s v="Uherské Hradiště"/>
    <s v="Uherské Hradiště, Stojanova 53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651094"/>
    <s v="Muzikálové seskupení EVERYMAN"/>
    <s v="706"/>
    <x v="1"/>
    <x v="3"/>
    <s v="Kroměříž"/>
    <s v="Vodní 6, Kroměříž"/>
    <s v="94920"/>
    <s v="Činnosti politických stran a organizací"/>
    <m/>
    <m/>
    <m/>
    <m/>
    <m/>
    <m/>
    <m/>
    <m/>
    <m/>
    <m/>
    <m/>
    <m/>
    <m/>
    <m/>
    <m/>
    <m/>
    <m/>
  </r>
  <r>
    <s v="26545241"/>
    <s v="Mužský pěvecký sbor Dolňácko Hluk, z. s."/>
    <s v="706"/>
    <x v="1"/>
    <x v="2"/>
    <s v="Hluk"/>
    <s v="Hluk, Hřbitovní 140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172811"/>
    <s v="Mužský pěvecký sbor Dolněmčané, z.s."/>
    <s v="706"/>
    <x v="1"/>
    <x v="2"/>
    <s v="Dolní Němčí"/>
    <s v="Dolní Němčí, Na Výsluní II 687, PSČ 687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3453"/>
    <s v="Mužský pěvecký sbor Nedakonice, z.s."/>
    <s v="706"/>
    <x v="1"/>
    <x v="2"/>
    <s v="Nedakonice"/>
    <s v="Nedakonice 67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1917"/>
    <s v="Mužský pěvecký sbor Ostrožská Lhota, z.s."/>
    <s v="706"/>
    <x v="1"/>
    <x v="2"/>
    <s v="Ostrožská Lhota"/>
    <s v="Ostrožská Lhota 148, PSČ 687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3160"/>
    <s v="Mužský pěvecký sbor Tupešané z.s."/>
    <s v="706"/>
    <x v="1"/>
    <x v="2"/>
    <s v="Zlechov"/>
    <s v="Zlechov 97, PSČ 6871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3836"/>
    <s v="Mužský sbor JMF Derfla z.s."/>
    <s v="706"/>
    <x v="1"/>
    <x v="2"/>
    <s v="Uherské Hradiště"/>
    <s v="Uherské Hradiště, Sady, Železniční 15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5081"/>
    <s v="Mužský sbor Kudlovice, z. s."/>
    <s v="706"/>
    <x v="1"/>
    <x v="2"/>
    <s v="Sušice"/>
    <s v="Sušice 184, PSČ 68704"/>
    <s v="90010"/>
    <s v="Scénická umění"/>
    <m/>
    <m/>
    <m/>
    <m/>
    <m/>
    <m/>
    <m/>
    <m/>
    <m/>
    <m/>
    <m/>
    <m/>
    <m/>
    <m/>
    <m/>
    <m/>
    <m/>
  </r>
  <r>
    <s v="06150462"/>
    <s v="Mužský sbor Súsedé, z.s."/>
    <s v="706"/>
    <x v="1"/>
    <x v="2"/>
    <s v="Uherský Brod"/>
    <s v="Uherský Brod, Újezdec, 1. května 282, PSČ 6873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5693"/>
    <s v="MX Hall z.s."/>
    <s v="706"/>
    <x v="1"/>
    <x v="1"/>
    <s v="Mikulůvka"/>
    <s v="Mikulůvka 331, PSČ 756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9285922"/>
    <s v="MX Prakšice-Pašovice, z.s."/>
    <s v="706"/>
    <x v="1"/>
    <x v="2"/>
    <s v="Hradčovice"/>
    <s v="Hradčovice 290, PSČ 687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0661"/>
    <s v="MX TEAM VALACH"/>
    <s v="706"/>
    <x v="1"/>
    <x v="0"/>
    <s v="Želechovice nad Dřevnicí"/>
    <s v="Želechovice nad Dřevnicí, Nad Školou 582, PSČ 763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9303246"/>
    <s v="MX-Enduro Branky, z.s."/>
    <s v="706"/>
    <x v="1"/>
    <x v="1"/>
    <s v="Branky"/>
    <s v="Branky 6, PSČ 75645"/>
    <s v="93190"/>
    <s v="Ostatní sportovní činnosti"/>
    <m/>
    <m/>
    <m/>
    <m/>
    <m/>
    <m/>
    <m/>
    <m/>
    <m/>
    <m/>
    <m/>
    <m/>
    <m/>
    <m/>
    <m/>
    <m/>
    <m/>
  </r>
  <r>
    <s v="22736972"/>
    <s v="Mykologický klub Salaš z.s."/>
    <s v="706"/>
    <x v="1"/>
    <x v="2"/>
    <s v="Salaš"/>
    <s v="Salaš 3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86684"/>
    <s v="„Myrtillus“"/>
    <s v="706"/>
    <x v="1"/>
    <x v="1"/>
    <s v="Velké Karlovice"/>
    <s v="Velké Karlovice 132, PSČ 75606"/>
    <s v="01700"/>
    <s v="Lov a odchyt divokých zvířat a související činnosti"/>
    <m/>
    <m/>
    <m/>
    <m/>
    <m/>
    <m/>
    <m/>
    <m/>
    <m/>
    <m/>
    <m/>
    <m/>
    <m/>
    <m/>
    <m/>
    <m/>
    <m/>
  </r>
  <r>
    <s v="01643878"/>
    <s v="MYSLI Jinak, z.s."/>
    <s v="706"/>
    <x v="1"/>
    <x v="2"/>
    <s v="Staré Město"/>
    <s v="Staré Město, Klukova 83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19051"/>
    <s v="Myslivci Ostrata, z.s."/>
    <s v="706"/>
    <x v="1"/>
    <x v="0"/>
    <s v="Ostrata"/>
    <s v="Ostrata 23, PSČ 76311"/>
    <s v="94995"/>
    <s v="Činnosti environmentálních a ekologických hnutí"/>
    <s v="Lov a odchyt divokých zvířat a související činnosti"/>
    <m/>
    <m/>
    <m/>
    <m/>
    <m/>
    <m/>
    <m/>
    <m/>
    <m/>
    <m/>
    <m/>
    <m/>
    <m/>
    <m/>
    <m/>
    <m/>
  </r>
  <r>
    <s v="22745912"/>
    <s v="Myslivecká společnost Daněk Hostýn"/>
    <s v="706"/>
    <x v="1"/>
    <x v="3"/>
    <s v="Kroměříž"/>
    <s v="Kroměříž, Albertova 4038/23, PSČ 76701"/>
    <s v="01700"/>
    <s v="Lov a odchyt divokých zvířat a související činnosti"/>
    <m/>
    <m/>
    <m/>
    <m/>
    <m/>
    <m/>
    <m/>
    <m/>
    <m/>
    <m/>
    <m/>
    <m/>
    <m/>
    <m/>
    <m/>
    <m/>
    <m/>
  </r>
  <r>
    <s v="65325982"/>
    <s v="Myslivecká společnost NIVA Bojkovice, z. s."/>
    <s v="706"/>
    <x v="1"/>
    <x v="2"/>
    <s v="Bojkovice"/>
    <s v="Bojkovice, Husova 994, PSČ 68771"/>
    <s v="01700"/>
    <s v="Lov a odchyt divokých zvířat a související činnosti"/>
    <m/>
    <m/>
    <m/>
    <m/>
    <m/>
    <m/>
    <m/>
    <m/>
    <m/>
    <m/>
    <m/>
    <m/>
    <m/>
    <m/>
    <m/>
    <m/>
    <m/>
  </r>
  <r>
    <s v="75136791"/>
    <s v="Myslivecká společnost ,,Přívoz&quot; - Spytihněv, z. s."/>
    <s v="706"/>
    <x v="1"/>
    <x v="0"/>
    <s v="Spytihněv"/>
    <s v="Spytihněv 458, PSČ 76364"/>
    <s v="01700"/>
    <s v="Lov a odchyt divokých zvířat a související činnosti"/>
    <m/>
    <m/>
    <m/>
    <m/>
    <m/>
    <m/>
    <m/>
    <m/>
    <m/>
    <m/>
    <m/>
    <m/>
    <m/>
    <m/>
    <m/>
    <m/>
    <m/>
  </r>
  <r>
    <s v="26569256"/>
    <s v="&quot;Myslivecké a ochranářské sdružení Šumice, o. s.&quot;"/>
    <s v="706"/>
    <x v="1"/>
    <x v="2"/>
    <s v="Šumice"/>
    <s v="Šumice 81, PSČ 68731"/>
    <s v="01700"/>
    <s v="Lov a odchyt divokých zvířat a související činnosti"/>
    <m/>
    <m/>
    <m/>
    <m/>
    <m/>
    <m/>
    <m/>
    <m/>
    <m/>
    <m/>
    <m/>
    <m/>
    <m/>
    <m/>
    <m/>
    <m/>
    <m/>
  </r>
  <r>
    <s v="71205357"/>
    <s v="Myslivecké sdružení  Kopec Mistřice z. s."/>
    <s v="706"/>
    <x v="1"/>
    <x v="2"/>
    <s v="Mistřice"/>
    <s v="Mistřice 9, PSČ 68712"/>
    <s v="01700"/>
    <s v="Lov a odchyt divokých zvířat a související činnosti"/>
    <m/>
    <m/>
    <m/>
    <m/>
    <m/>
    <m/>
    <m/>
    <m/>
    <m/>
    <m/>
    <m/>
    <m/>
    <m/>
    <m/>
    <m/>
    <m/>
    <m/>
  </r>
  <r>
    <s v="65469747"/>
    <s v="Myslivecké sdružení Bařinka"/>
    <s v="706"/>
    <x v="1"/>
    <x v="1"/>
    <s v="Velké Karlovice"/>
    <s v="Velké Karlovice"/>
    <s v="01700"/>
    <s v="Lov a odchyt divokých zvířat a související činnosti"/>
    <m/>
    <m/>
    <m/>
    <m/>
    <m/>
    <m/>
    <m/>
    <m/>
    <m/>
    <m/>
    <m/>
    <m/>
    <m/>
    <m/>
    <m/>
    <m/>
    <m/>
  </r>
  <r>
    <s v="01951963"/>
    <s v="Myslivecké sdružení Beskyd"/>
    <s v="706"/>
    <x v="1"/>
    <x v="1"/>
    <s v="Velké Karlovice"/>
    <s v="Velké Karlovice"/>
    <s v="0170"/>
    <s v="Lov a odchyt divokých zvířat a související činnosti"/>
    <m/>
    <m/>
    <m/>
    <m/>
    <m/>
    <m/>
    <m/>
    <m/>
    <m/>
    <m/>
    <m/>
    <m/>
    <m/>
    <m/>
    <m/>
    <m/>
    <m/>
  </r>
  <r>
    <s v="48506079"/>
    <s v="Myslivecké sdružení Bílovice - Ploština, z. s."/>
    <s v="706"/>
    <x v="1"/>
    <x v="2"/>
    <s v="Bílovice"/>
    <s v="Bílovice 70, PSČ 68712"/>
    <s v="01700"/>
    <s v="Lov a odchyt divokých zvířat a související činnosti"/>
    <m/>
    <m/>
    <m/>
    <m/>
    <m/>
    <m/>
    <m/>
    <m/>
    <m/>
    <m/>
    <m/>
    <m/>
    <m/>
    <m/>
    <m/>
    <m/>
    <m/>
  </r>
  <r>
    <s v="65469755"/>
    <s v="Myslivecké sdružení Brodská"/>
    <s v="706"/>
    <x v="1"/>
    <x v="1"/>
    <s v="Nový Hrozenkov"/>
    <s v="Nový Hrozenkov"/>
    <s v="01700"/>
    <s v="Lov a odchyt divokých zvířat a související činnosti"/>
    <m/>
    <m/>
    <m/>
    <m/>
    <m/>
    <m/>
    <m/>
    <m/>
    <m/>
    <m/>
    <m/>
    <m/>
    <m/>
    <m/>
    <m/>
    <m/>
    <m/>
  </r>
  <r>
    <s v="48772941"/>
    <s v="Myslivecké sdružení Březovec Zubří, z.s."/>
    <s v="706"/>
    <x v="1"/>
    <x v="1"/>
    <s v="Zubří"/>
    <s v="Zubří, Březovec 217, PSČ 75654"/>
    <s v="01700"/>
    <s v="Lov a odchyt divokých zvířat a související činnosti"/>
    <m/>
    <m/>
    <m/>
    <m/>
    <m/>
    <m/>
    <m/>
    <m/>
    <m/>
    <m/>
    <m/>
    <m/>
    <m/>
    <m/>
    <m/>
    <m/>
    <m/>
  </r>
  <r>
    <s v="47935014"/>
    <s v="Myslivecké sdružení Doubrava Zahnašovice,  z.s."/>
    <s v="706"/>
    <x v="1"/>
    <x v="3"/>
    <s v="Zahnašovice"/>
    <s v="Zahnašovice 43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62832816"/>
    <s v="Myslivecké sdružení Dřínek Vlčnov, z.s."/>
    <s v="706"/>
    <x v="1"/>
    <x v="2"/>
    <s v="Vlčnov"/>
    <s v="Vlčnov 237, PSČ 68761"/>
    <s v="01700"/>
    <s v="Lov a odchyt divokých zvířat a související činnosti"/>
    <m/>
    <m/>
    <m/>
    <m/>
    <m/>
    <m/>
    <m/>
    <m/>
    <m/>
    <m/>
    <m/>
    <m/>
    <m/>
    <m/>
    <m/>
    <m/>
    <m/>
  </r>
  <r>
    <s v="70287767"/>
    <s v="Myslivecké sdružení Háj Bánov, z. s."/>
    <s v="706"/>
    <x v="1"/>
    <x v="2"/>
    <s v="Bánov"/>
    <s v="Bánov 590, PSČ 68754"/>
    <s v="01700"/>
    <s v="Lov a odchyt divokých zvířat a související činnosti"/>
    <m/>
    <m/>
    <m/>
    <m/>
    <m/>
    <m/>
    <m/>
    <m/>
    <m/>
    <m/>
    <m/>
    <m/>
    <m/>
    <m/>
    <m/>
    <m/>
    <m/>
  </r>
  <r>
    <s v="86787101"/>
    <s v="Myslivecké sdružení &quot;HÁJ&quot; Velehrad - Modrá,z.s."/>
    <s v="706"/>
    <x v="1"/>
    <x v="2"/>
    <s v="Velehrad"/>
    <s v="Velehrad, Vinohradní 167, PSČ 68706"/>
    <s v="017"/>
    <s v="Lov a odchyt divokých zvířat a související činnosti"/>
    <m/>
    <m/>
    <m/>
    <m/>
    <m/>
    <m/>
    <m/>
    <m/>
    <m/>
    <m/>
    <m/>
    <m/>
    <m/>
    <m/>
    <m/>
    <m/>
    <m/>
  </r>
  <r>
    <s v="01343491"/>
    <s v="Myslivecké sdružení Hék Tlumačov z.s."/>
    <s v="706"/>
    <x v="1"/>
    <x v="0"/>
    <s v="Tlumačov"/>
    <s v="Tlumačov, Dolní 101, PSČ 76362"/>
    <s v="017"/>
    <s v="Lov a odchyt divokých zvířat a související činnosti"/>
    <m/>
    <m/>
    <m/>
    <m/>
    <m/>
    <m/>
    <m/>
    <m/>
    <m/>
    <m/>
    <m/>
    <m/>
    <m/>
    <m/>
    <m/>
    <m/>
    <m/>
  </r>
  <r>
    <s v="63414821"/>
    <s v="Myslivecké sdružení Holešov"/>
    <s v="706"/>
    <x v="1"/>
    <x v="3"/>
    <s v="Holešov"/>
    <s v="Holešov"/>
    <s v="01700"/>
    <s v="Lov a odchyt divokých zvířat a související činnosti"/>
    <m/>
    <m/>
    <m/>
    <m/>
    <m/>
    <m/>
    <m/>
    <m/>
    <m/>
    <m/>
    <m/>
    <m/>
    <m/>
    <m/>
    <m/>
    <m/>
    <m/>
  </r>
  <r>
    <s v="01993551"/>
    <s v="Myslivecké sdružení Holešov-Všetuly"/>
    <s v="706"/>
    <x v="1"/>
    <x v="3"/>
    <s v="Holešov"/>
    <s v="Všetuly, PSČ 769 01"/>
    <s v="01700"/>
    <s v="Lov a odchyt divokých zvířat a související činnosti"/>
    <m/>
    <m/>
    <m/>
    <m/>
    <m/>
    <m/>
    <m/>
    <m/>
    <m/>
    <m/>
    <m/>
    <m/>
    <m/>
    <m/>
    <m/>
    <m/>
    <m/>
  </r>
  <r>
    <s v="01630504"/>
    <s v="Myslivecké sdružení Holý vrch - Brumov, o.s."/>
    <s v="706"/>
    <x v="1"/>
    <x v="0"/>
    <s v="Brumov-Bylnice"/>
    <s v="Brumov-Bylnice, Brumov, Družba 1190, PSČ 76331"/>
    <s v="01700"/>
    <s v="Lov a odchyt divokých zvířat a související činnosti"/>
    <m/>
    <m/>
    <m/>
    <m/>
    <m/>
    <m/>
    <m/>
    <m/>
    <m/>
    <m/>
    <m/>
    <m/>
    <m/>
    <m/>
    <m/>
    <m/>
    <m/>
  </r>
  <r>
    <s v="22612882"/>
    <s v="Myslivecké sdružení Hrabůvka Otrokovice, z.s."/>
    <s v="706"/>
    <x v="1"/>
    <x v="0"/>
    <s v="Otrokovice"/>
    <s v="Otrokovice, Prostřední 417, PSČ 76502"/>
    <s v="01700"/>
    <s v="Lov a odchyt divokých zvířat a související činnosti"/>
    <s v="Stravování v restauracích, u stánků a v mobilních zařízeních"/>
    <s v="Destilace, rektifikace a míchání lihovin"/>
    <m/>
    <m/>
    <m/>
    <m/>
    <m/>
    <m/>
    <m/>
    <m/>
    <m/>
    <m/>
    <m/>
    <m/>
    <m/>
    <m/>
    <m/>
  </r>
  <r>
    <s v="47935081"/>
    <s v="Myslivecké sdružení Hradisko Dobrotice - Žopy,  z.s."/>
    <s v="706"/>
    <x v="1"/>
    <x v="3"/>
    <s v="Holešov"/>
    <s v="Holešov, Dobrotice 96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48491233"/>
    <s v="Myslivecké sdružení Hrubý les, z.s."/>
    <s v="706"/>
    <x v="1"/>
    <x v="2"/>
    <s v="Uherské Hradiště"/>
    <s v="Uherské Hradiště, Mařatice, Vinohradská 241, PSČ 68605"/>
    <s v="01700"/>
    <s v="Lov a odchyt divokých zvířat a související činnosti"/>
    <m/>
    <m/>
    <m/>
    <m/>
    <m/>
    <m/>
    <m/>
    <m/>
    <m/>
    <m/>
    <m/>
    <m/>
    <m/>
    <m/>
    <m/>
    <m/>
    <m/>
  </r>
  <r>
    <s v="71156364"/>
    <s v="Myslivecké sdružení Hubert Salaš"/>
    <s v="706"/>
    <x v="1"/>
    <x v="2"/>
    <s v="Salaš"/>
    <s v="Salaš, okres Uherské Hradiště, PSČ 687 06"/>
    <s v="01700"/>
    <s v="Lov a odchyt divokých zvířat a související činnosti"/>
    <m/>
    <m/>
    <m/>
    <m/>
    <m/>
    <m/>
    <m/>
    <m/>
    <m/>
    <m/>
    <m/>
    <m/>
    <m/>
    <m/>
    <m/>
    <m/>
    <m/>
  </r>
  <r>
    <s v="22870300"/>
    <s v="Myslivecké sdružení Javořina-Bílá"/>
    <s v="706"/>
    <x v="1"/>
    <x v="1"/>
    <s v="Valašské Meziříčí"/>
    <s v="Valašské Meziříčí, Krásno nad Bečvou, Zašovská 170, PSČ 75701"/>
    <s v="01700"/>
    <s v="Lov a odchyt divokých zvířat a související činnosti"/>
    <m/>
    <m/>
    <m/>
    <m/>
    <m/>
    <m/>
    <m/>
    <m/>
    <m/>
    <m/>
    <m/>
    <m/>
    <m/>
    <m/>
    <m/>
    <m/>
    <m/>
  </r>
  <r>
    <s v="22744517"/>
    <s v="Myslivecké sdružení Komonec"/>
    <s v="706"/>
    <x v="1"/>
    <x v="0"/>
    <s v="Zlín"/>
    <s v="Zlín, Malenovice, Tyršova 914, PSČ 76302"/>
    <s v="01700"/>
    <s v="Lov a odchyt divokých zvířat a související činnosti"/>
    <m/>
    <m/>
    <m/>
    <m/>
    <m/>
    <m/>
    <m/>
    <m/>
    <m/>
    <m/>
    <m/>
    <m/>
    <m/>
    <m/>
    <m/>
    <m/>
    <m/>
  </r>
  <r>
    <s v="75076284"/>
    <s v="Myslivecké sdružení Korábek Uherské Hradiště, z.s."/>
    <s v="706"/>
    <x v="1"/>
    <x v="2"/>
    <s v="Uherské Hradiště"/>
    <s v="Uherské Hradiště, Na Splávku 1248, PSČ 68601"/>
    <s v="01700"/>
    <s v="Lov a odchyt divokých zvířat a související činnosti"/>
    <m/>
    <m/>
    <m/>
    <m/>
    <m/>
    <m/>
    <m/>
    <m/>
    <m/>
    <m/>
    <m/>
    <m/>
    <m/>
    <m/>
    <m/>
    <m/>
    <m/>
  </r>
  <r>
    <s v="26675951"/>
    <s v="Myslivecké sdružení Kyčera-Les, z.s."/>
    <s v="706"/>
    <x v="1"/>
    <x v="1"/>
    <s v="Huslenky"/>
    <s v="Huslenky 62, PSČ 75602"/>
    <s v="01700"/>
    <s v="Lov a odchyt divokých zvířat a související činnosti"/>
    <m/>
    <m/>
    <m/>
    <m/>
    <m/>
    <m/>
    <m/>
    <m/>
    <m/>
    <m/>
    <m/>
    <m/>
    <m/>
    <m/>
    <m/>
    <m/>
    <m/>
  </r>
  <r>
    <s v="60042320"/>
    <s v="Myslivecké sdružení Lázek Jablůnka, z.s."/>
    <s v="706"/>
    <x v="1"/>
    <x v="1"/>
    <s v="Jablůnka"/>
    <s v="Jablůnka 365, PSČ 75623"/>
    <s v="01700"/>
    <s v="Lov a odchyt divokých zvířat a související činnosti"/>
    <m/>
    <m/>
    <m/>
    <m/>
    <m/>
    <m/>
    <m/>
    <m/>
    <m/>
    <m/>
    <m/>
    <m/>
    <m/>
    <m/>
    <m/>
    <m/>
    <m/>
  </r>
  <r>
    <s v="71199870"/>
    <s v="Myslivecké sdružení LESNÁ, z.s."/>
    <s v="706"/>
    <x v="1"/>
    <x v="2"/>
    <s v="Horní Němčí"/>
    <s v="Horní Němčí 379, PSČ 68764"/>
    <s v="01700"/>
    <s v="Lov a odchyt divokých zvířat a související činnosti"/>
    <m/>
    <m/>
    <m/>
    <m/>
    <m/>
    <m/>
    <m/>
    <m/>
    <m/>
    <m/>
    <m/>
    <m/>
    <m/>
    <m/>
    <m/>
    <m/>
    <m/>
  </r>
  <r>
    <s v="01896342"/>
    <s v="Myslivecké sdružení Lysina"/>
    <s v="706"/>
    <x v="1"/>
    <x v="3"/>
    <s v="Jankovice"/>
    <s v="Jankovice"/>
    <s v="0170"/>
    <s v="Lov a odchyt divokých zvířat a související činnosti"/>
    <m/>
    <m/>
    <m/>
    <m/>
    <m/>
    <m/>
    <m/>
    <m/>
    <m/>
    <m/>
    <m/>
    <m/>
    <m/>
    <m/>
    <m/>
    <m/>
    <m/>
  </r>
  <r>
    <s v="47863692"/>
    <s v="Myslivecké sdružení Miloňov"/>
    <s v="706"/>
    <x v="1"/>
    <x v="1"/>
    <s v="Velké Karlovice"/>
    <s v="Velké Karlovice"/>
    <s v="01700"/>
    <s v="Lov a odchyt divokých zvířat a související činnosti"/>
    <m/>
    <m/>
    <m/>
    <m/>
    <m/>
    <m/>
    <m/>
    <m/>
    <m/>
    <m/>
    <m/>
    <m/>
    <m/>
    <m/>
    <m/>
    <m/>
    <m/>
  </r>
  <r>
    <s v="48471909"/>
    <s v="Myslivecké sdružení Neubuz - Dešná, z.s."/>
    <s v="706"/>
    <x v="1"/>
    <x v="0"/>
    <s v="Neubuz"/>
    <s v="Neubuz 91, PSČ 76315"/>
    <s v="01700"/>
    <s v="Lov a odchyt divokých zvířat a související činnosti"/>
    <m/>
    <m/>
    <m/>
    <m/>
    <m/>
    <m/>
    <m/>
    <m/>
    <m/>
    <m/>
    <m/>
    <m/>
    <m/>
    <m/>
    <m/>
    <m/>
    <m/>
  </r>
  <r>
    <s v="64124193"/>
    <s v="Myslivecké sdružení PASEKY - PRŽNO, z.s."/>
    <s v="706"/>
    <x v="1"/>
    <x v="1"/>
    <s v="Pržno"/>
    <s v="Pržno 7, PSČ 75623"/>
    <s v="01700"/>
    <s v="Lov a odchyt divokých zvířat a související činnosti"/>
    <m/>
    <m/>
    <m/>
    <m/>
    <m/>
    <m/>
    <m/>
    <m/>
    <m/>
    <m/>
    <m/>
    <m/>
    <m/>
    <m/>
    <m/>
    <m/>
    <m/>
  </r>
  <r>
    <s v="22895922"/>
    <s v="Myslivecké sdružení Pláňava o.s."/>
    <s v="706"/>
    <x v="1"/>
    <x v="1"/>
    <s v="Pozděchov"/>
    <s v="Pozděchov 1, PSČ 75611"/>
    <s v="01700"/>
    <s v="Lov a odchyt divokých zvířat a související činnosti"/>
    <m/>
    <m/>
    <m/>
    <m/>
    <m/>
    <m/>
    <m/>
    <m/>
    <m/>
    <m/>
    <m/>
    <m/>
    <m/>
    <m/>
    <m/>
    <m/>
    <m/>
  </r>
  <r>
    <s v="17504422"/>
    <s v="Myslivecké sdružení Ratiboř Červené, z. s."/>
    <s v="706"/>
    <x v="1"/>
    <x v="1"/>
    <s v="Ratiboř"/>
    <s v="Ratiboř č. ev. 39, PSČ 75621"/>
    <s v="01700"/>
    <s v="Lov a odchyt divokých zvířat a související činnosti"/>
    <m/>
    <m/>
    <m/>
    <m/>
    <m/>
    <m/>
    <m/>
    <m/>
    <m/>
    <m/>
    <m/>
    <m/>
    <m/>
    <m/>
    <m/>
    <m/>
    <m/>
  </r>
  <r>
    <s v="65469780"/>
    <s v="Myslivecké sdružení Raťkov"/>
    <s v="706"/>
    <x v="1"/>
    <x v="1"/>
    <s v="Karolinka"/>
    <s v="Karolinka"/>
    <s v="01700"/>
    <s v="Lov a odchyt divokých zvířat a související činnosti"/>
    <m/>
    <m/>
    <m/>
    <m/>
    <m/>
    <m/>
    <m/>
    <m/>
    <m/>
    <m/>
    <m/>
    <m/>
    <m/>
    <m/>
    <m/>
    <m/>
    <m/>
  </r>
  <r>
    <s v="47863676"/>
    <s v="Myslivecké sdružení Razula"/>
    <s v="706"/>
    <x v="1"/>
    <x v="1"/>
    <s v="Velké Karlovice"/>
    <s v="Velké Karlovice"/>
    <s v="01700"/>
    <s v="Lov a odchyt divokých zvířat a související činnosti"/>
    <m/>
    <m/>
    <m/>
    <m/>
    <m/>
    <m/>
    <m/>
    <m/>
    <m/>
    <m/>
    <m/>
    <m/>
    <m/>
    <m/>
    <m/>
    <m/>
    <m/>
  </r>
  <r>
    <s v="47930047"/>
    <s v="Myslivecké sdružení Rusava z.s."/>
    <s v="706"/>
    <x v="1"/>
    <x v="3"/>
    <s v="Rusava"/>
    <s v="Rusava 260, PSČ 76841"/>
    <s v="01700"/>
    <s v="Lov a odchyt divokých zvířat a související činnosti"/>
    <m/>
    <m/>
    <m/>
    <m/>
    <m/>
    <m/>
    <m/>
    <m/>
    <m/>
    <m/>
    <m/>
    <m/>
    <m/>
    <m/>
    <m/>
    <m/>
    <m/>
  </r>
  <r>
    <s v="01964593"/>
    <s v="Myslivecké sdružení Skaštice"/>
    <s v="706"/>
    <x v="1"/>
    <x v="3"/>
    <s v="Skaštice"/>
    <s v="Skaštice"/>
    <s v="01700"/>
    <s v="Lov a odchyt divokých zvířat a související činnosti"/>
    <m/>
    <m/>
    <m/>
    <m/>
    <m/>
    <m/>
    <m/>
    <m/>
    <m/>
    <m/>
    <m/>
    <m/>
    <m/>
    <m/>
    <m/>
    <m/>
    <m/>
  </r>
  <r>
    <s v="60370246"/>
    <s v="Myslivecké sdružení ŠANDERKA"/>
    <s v="706"/>
    <x v="1"/>
    <x v="2"/>
    <s v="Buchlovice"/>
    <s v="Buchlovice"/>
    <s v="01700"/>
    <s v="Lov a odchyt divokých zvířat a související činnosti"/>
    <s v="Velkoobchod s živými zvířaty"/>
    <m/>
    <m/>
    <m/>
    <m/>
    <m/>
    <m/>
    <m/>
    <m/>
    <m/>
    <m/>
    <m/>
    <m/>
    <m/>
    <m/>
    <m/>
    <m/>
  </r>
  <r>
    <s v="00851990"/>
    <s v="Myslivecké sdružení TRUBISKA  Pozděchov, z. s."/>
    <s v="706"/>
    <x v="1"/>
    <x v="1"/>
    <s v="Pozděchov"/>
    <s v="Pozděchov 82, PSČ 75611"/>
    <s v="01700"/>
    <s v="Lov a odchyt divokých zvířat a související činnosti"/>
    <m/>
    <m/>
    <m/>
    <m/>
    <m/>
    <m/>
    <m/>
    <m/>
    <m/>
    <m/>
    <m/>
    <m/>
    <m/>
    <m/>
    <m/>
    <m/>
    <m/>
  </r>
  <r>
    <s v="47863455"/>
    <s v="Myslivecké sdružení Uhliska z.s."/>
    <s v="706"/>
    <x v="1"/>
    <x v="1"/>
    <s v="Valašské Meziříčí"/>
    <s v="Valašské Meziříčí, Krásno nad Bečvou, Hranická 272, PSČ 75701"/>
    <s v="01700"/>
    <s v="Lov a odchyt divokých zvířat a související činnosti"/>
    <m/>
    <m/>
    <m/>
    <m/>
    <m/>
    <m/>
    <m/>
    <m/>
    <m/>
    <m/>
    <m/>
    <m/>
    <m/>
    <m/>
    <m/>
    <m/>
    <m/>
  </r>
  <r>
    <s v="60042443"/>
    <s v="Myslivecké sdružení Valašská Bystřice, z.s."/>
    <s v="706"/>
    <x v="1"/>
    <x v="1"/>
    <s v="Valašská Bystřice"/>
    <s v="Valašská Bystřice 316, PSČ 75627"/>
    <s v="01700"/>
    <s v="Lov a odchyt divokých zvířat a související činnosti"/>
    <m/>
    <m/>
    <m/>
    <m/>
    <m/>
    <m/>
    <m/>
    <m/>
    <m/>
    <m/>
    <m/>
    <m/>
    <m/>
    <m/>
    <m/>
    <m/>
    <m/>
  </r>
  <r>
    <s v="65888171"/>
    <s v="Myslivecké sdružení Vysoká"/>
    <s v="706"/>
    <x v="1"/>
    <x v="1"/>
    <s v="Velké Karlovice"/>
    <s v="Velké Karlovice"/>
    <s v="01700"/>
    <s v="Lov a odchyt divokých zvířat a související činnosti"/>
    <m/>
    <m/>
    <m/>
    <m/>
    <m/>
    <m/>
    <m/>
    <m/>
    <m/>
    <m/>
    <m/>
    <m/>
    <m/>
    <m/>
    <m/>
    <m/>
    <m/>
  </r>
  <r>
    <s v="48472352"/>
    <s v="Myslivecké sdružení z. s. Veselá - Klečůvka"/>
    <s v="706"/>
    <x v="1"/>
    <x v="0"/>
    <s v="Veselá"/>
    <s v="Veselá 33, PSČ 76315"/>
    <s v="01700"/>
    <s v="Lov a odchyt divokých zvířat a související činnosti"/>
    <m/>
    <m/>
    <m/>
    <m/>
    <m/>
    <m/>
    <m/>
    <m/>
    <m/>
    <m/>
    <m/>
    <m/>
    <m/>
    <m/>
    <m/>
    <m/>
    <m/>
  </r>
  <r>
    <s v="60990473"/>
    <s v="Myslivecké sdružení Zašová - Sovinec, z.s."/>
    <s v="706"/>
    <x v="1"/>
    <x v="1"/>
    <s v="Zašová"/>
    <s v="Zašová 605, PSČ 75651"/>
    <s v="01700"/>
    <s v="Lov a odchyt divokých zvířat a související činnosti"/>
    <m/>
    <m/>
    <m/>
    <m/>
    <m/>
    <m/>
    <m/>
    <m/>
    <m/>
    <m/>
    <m/>
    <m/>
    <m/>
    <m/>
    <m/>
    <m/>
    <m/>
  </r>
  <r>
    <s v="22608907"/>
    <s v="Myslivecké sdružení Zelené Paseky"/>
    <s v="706"/>
    <x v="1"/>
    <x v="0"/>
    <s v="Zlín"/>
    <s v="Zlín, Malenovice, Tyršova 914, PSČ 76302"/>
    <s v="01700"/>
    <s v="Lov a odchyt divokých zvířat a související činnosti"/>
    <m/>
    <m/>
    <m/>
    <m/>
    <m/>
    <m/>
    <m/>
    <m/>
    <m/>
    <m/>
    <m/>
    <m/>
    <m/>
    <m/>
    <m/>
    <m/>
    <m/>
  </r>
  <r>
    <s v="47933925"/>
    <s v="Myslivecké sdružení Žeranovice, z.s."/>
    <s v="706"/>
    <x v="1"/>
    <x v="3"/>
    <s v="Žeranovice"/>
    <s v="Žeranovice 201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47933836"/>
    <s v="Myslivecký spolek  Háj Troubky - Zdislavice"/>
    <s v="706"/>
    <x v="1"/>
    <x v="3"/>
    <s v="Troubky-Zdislavice"/>
    <s v="Troubky-Zdislavice, Zdislavice 54, PSČ 76802"/>
    <s v="01700"/>
    <s v="Lov a odchyt divokých zvířat a související činnosti"/>
    <m/>
    <m/>
    <m/>
    <m/>
    <m/>
    <m/>
    <m/>
    <m/>
    <m/>
    <m/>
    <m/>
    <m/>
    <m/>
    <m/>
    <m/>
    <m/>
    <m/>
  </r>
  <r>
    <s v="00851981"/>
    <s v="Myslivecký spolek  Kátlina-Huslenky"/>
    <s v="706"/>
    <x v="1"/>
    <x v="1"/>
    <s v="Huslenky"/>
    <s v="Huslenky 614, PSČ 75602"/>
    <s v="01700"/>
    <s v="Lov a odchyt divokých zvířat a související činnosti"/>
    <m/>
    <m/>
    <m/>
    <m/>
    <m/>
    <m/>
    <m/>
    <m/>
    <m/>
    <m/>
    <m/>
    <m/>
    <m/>
    <m/>
    <m/>
    <m/>
    <m/>
  </r>
  <r>
    <s v="01870904"/>
    <s v="Myslivecký spolek ,, Kudlovice Dolina&quot;"/>
    <s v="706"/>
    <x v="1"/>
    <x v="2"/>
    <s v="Kudlovice"/>
    <s v="Kudlovice 39, PSČ 68703"/>
    <s v="017"/>
    <s v="Lov a odchyt divokých zvířat a související činnosti"/>
    <m/>
    <m/>
    <m/>
    <m/>
    <m/>
    <m/>
    <m/>
    <m/>
    <m/>
    <m/>
    <m/>
    <m/>
    <m/>
    <m/>
    <m/>
    <m/>
    <m/>
  </r>
  <r>
    <s v="64123103"/>
    <s v="MYSLIVECKÝ SPOLEK - PODHŮŘÍ LOUČKA z.s."/>
    <s v="706"/>
    <x v="1"/>
    <x v="1"/>
    <s v="Loučka"/>
    <s v="Loučka 46, PSČ 75644"/>
    <s v="01700"/>
    <s v="Lov a odchyt divokých zvířat a související činnosti"/>
    <m/>
    <m/>
    <m/>
    <m/>
    <m/>
    <m/>
    <m/>
    <m/>
    <m/>
    <m/>
    <m/>
    <m/>
    <m/>
    <m/>
    <m/>
    <m/>
    <m/>
  </r>
  <r>
    <s v="01676041"/>
    <s v="Myslivecký spolek  Rovná hora"/>
    <s v="706"/>
    <x v="1"/>
    <x v="2"/>
    <s v="Hradčovice"/>
    <s v="Hradčovice, Lhotka 17, PSČ 68733"/>
    <s v="01700"/>
    <s v="Lov a odchyt divokých zvířat a související činnosti"/>
    <s v="Skladování a vedlejší činnosti v dopravě"/>
    <s v="Činnosti v oblasti nemovitostí"/>
    <s v="Podpůrné činnosti pro zemědělství a posklizňové činnosti"/>
    <m/>
    <m/>
    <m/>
    <m/>
    <m/>
    <m/>
    <m/>
    <m/>
    <m/>
    <m/>
    <m/>
    <m/>
    <m/>
    <m/>
  </r>
  <r>
    <s v="49158287"/>
    <s v="Myslivecký spolek - Vysoké Pole, z.s."/>
    <s v="706"/>
    <x v="1"/>
    <x v="0"/>
    <s v="Vysoké Pole"/>
    <s v="Vysoké Pole 247, PSČ 76325"/>
    <s v="01700"/>
    <s v="Lov a odchyt divokých zvířat a související činnosti"/>
    <m/>
    <m/>
    <m/>
    <m/>
    <m/>
    <m/>
    <m/>
    <m/>
    <m/>
    <m/>
    <m/>
    <m/>
    <m/>
    <m/>
    <m/>
    <m/>
    <m/>
  </r>
  <r>
    <s v="48472620"/>
    <s v="Myslivecký spolek BALÁŽ"/>
    <s v="706"/>
    <x v="1"/>
    <x v="0"/>
    <s v="Zlín"/>
    <s v="Zlín, Lhotka 49, PSČ 76302"/>
    <s v="01700"/>
    <s v="Lov a odchyt divokých zvířat a související činnosti"/>
    <m/>
    <m/>
    <m/>
    <m/>
    <m/>
    <m/>
    <m/>
    <m/>
    <m/>
    <m/>
    <m/>
    <m/>
    <m/>
    <m/>
    <m/>
    <m/>
    <m/>
  </r>
  <r>
    <s v="22894306"/>
    <s v="Myslivecký spolek Bánov, o.s."/>
    <s v="706"/>
    <x v="1"/>
    <x v="2"/>
    <s v="Bánov"/>
    <s v="Bánov 464, PSČ 68754"/>
    <s v="01700"/>
    <s v="Lov a odchyt divokých zvířat a související činnosti"/>
    <m/>
    <m/>
    <m/>
    <m/>
    <m/>
    <m/>
    <m/>
    <m/>
    <m/>
    <m/>
    <m/>
    <m/>
    <m/>
    <m/>
    <m/>
    <m/>
    <m/>
  </r>
  <r>
    <s v="07099291"/>
    <s v="Myslivecký spolek Bílý vlk"/>
    <s v="706"/>
    <x v="1"/>
    <x v="2"/>
    <s v="Vlčnov"/>
    <s v="Vlčnov 879, PSČ 68761"/>
    <s v="01700"/>
    <s v="Lov a odchyt divokých zvířat a související činnosti"/>
    <m/>
    <m/>
    <m/>
    <m/>
    <m/>
    <m/>
    <m/>
    <m/>
    <m/>
    <m/>
    <m/>
    <m/>
    <m/>
    <m/>
    <m/>
    <m/>
    <m/>
  </r>
  <r>
    <s v="75035995"/>
    <s v="Myslivecký spolek Bohuslavice nad Vláří z.s."/>
    <s v="706"/>
    <x v="1"/>
    <x v="0"/>
    <s v="Bohuslavice nad Vláří"/>
    <s v="Bohuslavice nad Vláří 62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70265640"/>
    <s v="Myslivecký spolek Boršice"/>
    <s v="706"/>
    <x v="1"/>
    <x v="2"/>
    <s v="Boršice"/>
    <s v="Boršice 497, PSČ 68709"/>
    <s v="01700"/>
    <s v="Lov a odchyt divokých zvířat a související činnosti"/>
    <m/>
    <m/>
    <m/>
    <m/>
    <m/>
    <m/>
    <m/>
    <m/>
    <m/>
    <m/>
    <m/>
    <m/>
    <m/>
    <m/>
    <m/>
    <m/>
    <m/>
  </r>
  <r>
    <s v="70951675"/>
    <s v="Myslivecký spolek Boršice u Blatnice"/>
    <s v="706"/>
    <x v="1"/>
    <x v="2"/>
    <s v="Boršice u Blatnice"/>
    <s v="Boršice u Blatnice 157, PSČ 68763"/>
    <s v="01700"/>
    <s v="Lov a odchyt divokých zvířat a související činnosti"/>
    <m/>
    <m/>
    <m/>
    <m/>
    <m/>
    <m/>
    <m/>
    <m/>
    <m/>
    <m/>
    <m/>
    <m/>
    <m/>
    <m/>
    <m/>
    <m/>
    <m/>
  </r>
  <r>
    <s v="01815792"/>
    <s v="Myslivecký spolek Boří Lhota u Kelče-Babice"/>
    <s v="706"/>
    <x v="1"/>
    <x v="1"/>
    <s v="Kelč"/>
    <s v="Kelč 5, PSČ 75643"/>
    <s v="01700"/>
    <s v="Lov a odchyt divokých zvířat a související činnosti"/>
    <m/>
    <m/>
    <m/>
    <m/>
    <m/>
    <m/>
    <m/>
    <m/>
    <m/>
    <m/>
    <m/>
    <m/>
    <m/>
    <m/>
    <m/>
    <m/>
    <m/>
  </r>
  <r>
    <s v="67009859"/>
    <s v="MYSLIVECKÝ SPOLEK BOŘÍ MÍKOVICE, z. s."/>
    <s v="706"/>
    <x v="1"/>
    <x v="2"/>
    <s v="Uherské Hradiště"/>
    <s v="Uherské Hradiště, Míkovice, Hlavní 292, PSČ 68609"/>
    <s v="01700"/>
    <s v="Lov a odchyt divokých zvířat a související činnosti"/>
    <m/>
    <m/>
    <m/>
    <m/>
    <m/>
    <m/>
    <m/>
    <m/>
    <m/>
    <m/>
    <m/>
    <m/>
    <m/>
    <m/>
    <m/>
    <m/>
    <m/>
  </r>
  <r>
    <s v="26622009"/>
    <s v="Myslivecký spolek Boří Nítkovice"/>
    <s v="706"/>
    <x v="1"/>
    <x v="3"/>
    <s v="Troubky-Zdislavice"/>
    <s v="Troubky-Zdislavice, Troubky 75, PSČ 76802"/>
    <s v="01700"/>
    <s v="Lov a odchyt divokých zvířat a související činnosti"/>
    <m/>
    <m/>
    <m/>
    <m/>
    <m/>
    <m/>
    <m/>
    <m/>
    <m/>
    <m/>
    <m/>
    <m/>
    <m/>
    <m/>
    <m/>
    <m/>
    <m/>
  </r>
  <r>
    <s v="47863447"/>
    <s v="Myslivecký spolek Branky-Poličná"/>
    <s v="706"/>
    <x v="1"/>
    <x v="1"/>
    <s v="Branky"/>
    <s v="Branky 162, PSČ 75645"/>
    <s v="01700"/>
    <s v="Lov a odchyt divokých zvířat a související činnosti"/>
    <m/>
    <m/>
    <m/>
    <m/>
    <m/>
    <m/>
    <m/>
    <m/>
    <m/>
    <m/>
    <m/>
    <m/>
    <m/>
    <m/>
    <m/>
    <m/>
    <m/>
  </r>
  <r>
    <s v="47863536"/>
    <s v="Myslivecký spolek Brdisko Liptál"/>
    <s v="706"/>
    <x v="1"/>
    <x v="1"/>
    <s v="Liptál"/>
    <s v="Liptál 149, PSČ 75631"/>
    <s v="01700"/>
    <s v="Lov a odchyt divokých zvířat a související činnosti"/>
    <m/>
    <m/>
    <m/>
    <m/>
    <m/>
    <m/>
    <m/>
    <m/>
    <m/>
    <m/>
    <m/>
    <m/>
    <m/>
    <m/>
    <m/>
    <m/>
    <m/>
  </r>
  <r>
    <s v="69721769"/>
    <s v="Myslivecký spolek &quot;Březí&quot; Pašovice - Maršov"/>
    <s v="706"/>
    <x v="1"/>
    <x v="2"/>
    <s v="Pašovice"/>
    <s v="Pašovice 100, PSČ 68756"/>
    <s v="01700"/>
    <s v="Lov a odchyt divokých zvířat a související činnosti"/>
    <m/>
    <m/>
    <m/>
    <m/>
    <m/>
    <m/>
    <m/>
    <m/>
    <m/>
    <m/>
    <m/>
    <m/>
    <m/>
    <m/>
    <m/>
    <m/>
    <m/>
  </r>
  <r>
    <s v="47863714"/>
    <s v="Myslivecký spolek Březina Prlov z.s."/>
    <s v="706"/>
    <x v="1"/>
    <x v="1"/>
    <s v="Prlov"/>
    <s v="Prlov 177, PSČ 75611"/>
    <s v="01700"/>
    <s v="Lov a odchyt divokých zvířat a související činnosti"/>
    <m/>
    <m/>
    <m/>
    <m/>
    <m/>
    <m/>
    <m/>
    <m/>
    <m/>
    <m/>
    <m/>
    <m/>
    <m/>
    <m/>
    <m/>
    <m/>
    <m/>
  </r>
  <r>
    <s v="46308881"/>
    <s v="Myslivecký Spolek Březina Slušovice"/>
    <s v="706"/>
    <x v="1"/>
    <x v="0"/>
    <s v="Hrobice"/>
    <s v="Hrobice 158, PSČ 76315"/>
    <s v="01700"/>
    <s v="Lov a odchyt divokých zvířat a související činnosti"/>
    <m/>
    <m/>
    <m/>
    <m/>
    <m/>
    <m/>
    <m/>
    <m/>
    <m/>
    <m/>
    <m/>
    <m/>
    <m/>
    <m/>
    <m/>
    <m/>
    <m/>
  </r>
  <r>
    <s v="75037432"/>
    <s v="Myslivecký spolek Březina, z.s."/>
    <s v="706"/>
    <x v="1"/>
    <x v="2"/>
    <s v="Suchá Loz"/>
    <s v="Suchá Loz 72, PSČ 68753"/>
    <s v="01700"/>
    <s v="Lov a odchyt divokých zvířat a související činnosti"/>
    <m/>
    <m/>
    <m/>
    <m/>
    <m/>
    <m/>
    <m/>
    <m/>
    <m/>
    <m/>
    <m/>
    <m/>
    <m/>
    <m/>
    <m/>
    <m/>
    <m/>
  </r>
  <r>
    <s v="60369809"/>
    <s v="Myslivecký spolek Březolupy"/>
    <s v="706"/>
    <x v="1"/>
    <x v="2"/>
    <s v="Březolupy"/>
    <s v="Březolupy 90, PSČ 68713"/>
    <s v="01700"/>
    <s v="Lov a odchyt divokých zvířat a související činnosti"/>
    <m/>
    <m/>
    <m/>
    <m/>
    <m/>
    <m/>
    <m/>
    <m/>
    <m/>
    <m/>
    <m/>
    <m/>
    <m/>
    <m/>
    <m/>
    <m/>
    <m/>
  </r>
  <r>
    <s v="45658811"/>
    <s v="Myslivecký spolek Březovec Rudice"/>
    <s v="706"/>
    <x v="1"/>
    <x v="2"/>
    <s v="Rudice"/>
    <s v="Rudice 236, PSČ 68732"/>
    <s v="01700"/>
    <s v="Lov a odchyt divokých zvířat a související činnosti"/>
    <m/>
    <m/>
    <m/>
    <m/>
    <m/>
    <m/>
    <m/>
    <m/>
    <m/>
    <m/>
    <m/>
    <m/>
    <m/>
    <m/>
    <m/>
    <m/>
    <m/>
  </r>
  <r>
    <s v="70909130"/>
    <s v="Myslivecký spolek &quot;Buchlov&quot; Buchlovice"/>
    <s v="706"/>
    <x v="1"/>
    <x v="2"/>
    <s v="Buchlovice"/>
    <s v="Buchlovice, Hradišťská 778, PSČ 68708"/>
    <s v="01700"/>
    <s v="Lov a odchyt divokých zvířat a související činnosti"/>
    <s v="Lov a odchyt divokých zvířat a související činnosti"/>
    <m/>
    <m/>
    <m/>
    <m/>
    <m/>
    <m/>
    <m/>
    <m/>
    <m/>
    <m/>
    <m/>
    <m/>
    <m/>
    <m/>
    <m/>
    <m/>
  </r>
  <r>
    <s v="48506061"/>
    <s v="Myslivecký spolek Bukovina Popovice"/>
    <s v="706"/>
    <x v="1"/>
    <x v="2"/>
    <s v="Popovice"/>
    <s v="Popovice 25, PSČ 68604"/>
    <s v="01700"/>
    <s v="Lov a odchyt divokých zvířat a související činnosti"/>
    <m/>
    <m/>
    <m/>
    <m/>
    <m/>
    <m/>
    <m/>
    <m/>
    <m/>
    <m/>
    <m/>
    <m/>
    <m/>
    <m/>
    <m/>
    <m/>
    <m/>
  </r>
  <r>
    <s v="63458586"/>
    <s v="Myslivecký spolek Bukovina Slavkov pod Hostýnem"/>
    <s v="706"/>
    <x v="1"/>
    <x v="3"/>
    <s v="Slavkov pod Hostýnem"/>
    <s v="Slavkov pod Hostýnem 14, PSČ 76861"/>
    <s v="01700"/>
    <s v="Lov a odchyt divokých zvířat a související činnosti"/>
    <m/>
    <m/>
    <m/>
    <m/>
    <m/>
    <m/>
    <m/>
    <m/>
    <m/>
    <m/>
    <m/>
    <m/>
    <m/>
    <m/>
    <m/>
    <m/>
    <m/>
  </r>
  <r>
    <s v="60369612"/>
    <s v="Myslivecký spolek Bukovina Topolná"/>
    <s v="706"/>
    <x v="1"/>
    <x v="2"/>
    <s v="Topolná"/>
    <s v="Topolná 420, PSČ 68711"/>
    <s v="01700"/>
    <s v="Lov a odchyt divokých zvířat a související činnosti"/>
    <m/>
    <m/>
    <m/>
    <m/>
    <m/>
    <m/>
    <m/>
    <m/>
    <m/>
    <m/>
    <m/>
    <m/>
    <m/>
    <m/>
    <m/>
    <m/>
    <m/>
  </r>
  <r>
    <s v="01486471"/>
    <s v="Myslivecký spolek Bylnice"/>
    <s v="706"/>
    <x v="1"/>
    <x v="0"/>
    <s v="Brumov-Bylnice"/>
    <s v="Brumov-Bylnice, Brumov, Na Vyhlídce 1403, PSČ 76331"/>
    <s v="01700"/>
    <s v="Lov a odchyt divokých zvířat a související činnosti"/>
    <s v="Maloobchod v nespecializovaných prodejnách"/>
    <s v="Destilace, rektifikace a míchání lihovin"/>
    <s v="Stravování v restauracích, u stánků a v mobilních zařízeních"/>
    <s v="Podpůrné činnosti pro scénická umění"/>
    <m/>
    <m/>
    <m/>
    <m/>
    <m/>
    <m/>
    <m/>
    <m/>
    <m/>
    <m/>
    <m/>
    <m/>
    <m/>
  </r>
  <r>
    <s v="00852007"/>
    <s v="Myslivecký spolek Bynina - Jasenice"/>
    <s v="706"/>
    <x v="1"/>
    <x v="1"/>
    <s v="Valašské Meziříčí"/>
    <s v="Valašské Meziříčí, Bynina 62, PSČ 75701"/>
    <s v="01700"/>
    <s v="Lov a odchyt divokých zvířat a související činnosti"/>
    <m/>
    <m/>
    <m/>
    <m/>
    <m/>
    <m/>
    <m/>
    <m/>
    <m/>
    <m/>
    <m/>
    <m/>
    <m/>
    <m/>
    <m/>
    <m/>
    <m/>
  </r>
  <r>
    <s v="63414651"/>
    <s v="Myslivecký spolek Chlum Cetechovice Honětice"/>
    <s v="706"/>
    <x v="1"/>
    <x v="3"/>
    <s v="Cetechovice"/>
    <s v="Cetechovice 22, PSČ 76802"/>
    <s v="01700"/>
    <s v="Lov a odchyt divokých zvířat a související činnosti"/>
    <m/>
    <m/>
    <m/>
    <m/>
    <m/>
    <m/>
    <m/>
    <m/>
    <m/>
    <m/>
    <m/>
    <m/>
    <m/>
    <m/>
    <m/>
    <m/>
    <m/>
  </r>
  <r>
    <s v="47934751"/>
    <s v="Myslivecký spolek Chropyně"/>
    <s v="706"/>
    <x v="1"/>
    <x v="3"/>
    <s v="Chropyně"/>
    <s v="Chropyně, J. Fučíka 666, PSČ 76811"/>
    <s v="01700"/>
    <s v="Lov a odchyt divokých zvířat a související činnosti"/>
    <m/>
    <m/>
    <m/>
    <m/>
    <m/>
    <m/>
    <m/>
    <m/>
    <m/>
    <m/>
    <m/>
    <m/>
    <m/>
    <m/>
    <m/>
    <m/>
    <m/>
  </r>
  <r>
    <s v="63458845"/>
    <s v="Myslivecký spolek Chřibsko  z.s."/>
    <s v="706"/>
    <x v="1"/>
    <x v="3"/>
    <s v="Kostelany"/>
    <s v="Kostelany 48, PSČ 76701"/>
    <s v="01700"/>
    <s v="Lov a odchyt divokých zvířat a související činnosti"/>
    <m/>
    <m/>
    <m/>
    <m/>
    <m/>
    <m/>
    <m/>
    <m/>
    <m/>
    <m/>
    <m/>
    <m/>
    <m/>
    <m/>
    <m/>
    <m/>
    <m/>
  </r>
  <r>
    <s v="47934743"/>
    <s v="Myslivecký spolek Chvalnov-Lísky"/>
    <s v="706"/>
    <x v="1"/>
    <x v="3"/>
    <s v="Chvalnov-Lísky"/>
    <s v="Chvalnov-Lísky, Chvalnov 68, PSČ 76805"/>
    <s v="01700"/>
    <s v="Lov a odchyt divokých zvířat a související činnosti"/>
    <m/>
    <m/>
    <m/>
    <m/>
    <m/>
    <m/>
    <m/>
    <m/>
    <m/>
    <m/>
    <m/>
    <m/>
    <m/>
    <m/>
    <m/>
    <m/>
    <m/>
  </r>
  <r>
    <s v="47658711"/>
    <s v="Myslivecký spolek Černava Lidečko"/>
    <s v="706"/>
    <x v="1"/>
    <x v="1"/>
    <s v="Lidečko"/>
    <s v="Lidečko 536, PSČ 75612"/>
    <s v="01700"/>
    <s v="Lov a odchyt divokých zvířat a související činnosti"/>
    <m/>
    <m/>
    <m/>
    <m/>
    <m/>
    <m/>
    <m/>
    <m/>
    <m/>
    <m/>
    <m/>
    <m/>
    <m/>
    <m/>
    <m/>
    <m/>
    <m/>
  </r>
  <r>
    <s v="48491136"/>
    <s v="Myslivecký spolek DIANA Salaš"/>
    <s v="706"/>
    <x v="1"/>
    <x v="2"/>
    <s v="Salaš"/>
    <s v="Salaš 74, PSČ 68706"/>
    <s v="01700"/>
    <s v="Lov a odchyt divokých zvířat a související činnosti"/>
    <m/>
    <m/>
    <m/>
    <m/>
    <m/>
    <m/>
    <m/>
    <m/>
    <m/>
    <m/>
    <m/>
    <m/>
    <m/>
    <m/>
    <m/>
    <m/>
    <m/>
  </r>
  <r>
    <s v="47930624"/>
    <s v="Myslivecký spolek Díly Třebětice"/>
    <s v="706"/>
    <x v="1"/>
    <x v="3"/>
    <s v="Třebětice"/>
    <s v="Třebětice 95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65469771"/>
    <s v="Myslivecký spolek Dinotice"/>
    <s v="706"/>
    <x v="1"/>
    <x v="1"/>
    <s v="Halenkov"/>
    <s v="Halenkov 655, PSČ 75603"/>
    <s v="01700"/>
    <s v="Lov a odchyt divokých zvířat a související činnosti"/>
    <m/>
    <m/>
    <m/>
    <m/>
    <m/>
    <m/>
    <m/>
    <m/>
    <m/>
    <m/>
    <m/>
    <m/>
    <m/>
    <m/>
    <m/>
    <m/>
    <m/>
  </r>
  <r>
    <s v="47863439"/>
    <s v="Myslivecký spolek Dlúhá Hůra"/>
    <s v="706"/>
    <x v="1"/>
    <x v="1"/>
    <s v="Mikulůvka"/>
    <s v="Mikulůvka 247, PSČ 75624"/>
    <s v="01700"/>
    <s v="Lov a odchyt divokých zvířat a související činnosti"/>
    <m/>
    <m/>
    <m/>
    <m/>
    <m/>
    <m/>
    <m/>
    <m/>
    <m/>
    <m/>
    <m/>
    <m/>
    <m/>
    <m/>
    <m/>
    <m/>
    <m/>
  </r>
  <r>
    <s v="64467422"/>
    <s v="Myslivecký spolek Doliny Mirošov z.s."/>
    <s v="706"/>
    <x v="1"/>
    <x v="0"/>
    <s v="Valašské Klobouky"/>
    <s v="Valašské Klobouky, Mirošov 29, PSČ 76601"/>
    <s v="01700"/>
    <s v="Lov a odchyt divokých zvířat a související činnosti"/>
    <m/>
    <m/>
    <m/>
    <m/>
    <m/>
    <m/>
    <m/>
    <m/>
    <m/>
    <m/>
    <m/>
    <m/>
    <m/>
    <m/>
    <m/>
    <m/>
    <m/>
  </r>
  <r>
    <s v="46277480"/>
    <s v="Myslivecký spolek Dolní-Horní Lhota"/>
    <s v="706"/>
    <x v="1"/>
    <x v="0"/>
    <s v="Dolní Lhota"/>
    <s v="Dolní Lhota č. ev. 28, PSČ 76323"/>
    <s v="01700"/>
    <s v="Lov a odchyt divokých zvířat a související činnosti"/>
    <m/>
    <m/>
    <m/>
    <m/>
    <m/>
    <m/>
    <m/>
    <m/>
    <m/>
    <m/>
    <m/>
    <m/>
    <m/>
    <m/>
    <m/>
    <m/>
    <m/>
  </r>
  <r>
    <s v="60042150"/>
    <s v="Myslivecký spolek Doubrava"/>
    <s v="706"/>
    <x v="1"/>
    <x v="1"/>
    <s v="Kladeruby"/>
    <s v="Kladeruby 72, PSČ 75643"/>
    <s v="01700"/>
    <s v="Lov a odchyt divokých zvířat a související činnosti"/>
    <m/>
    <m/>
    <m/>
    <m/>
    <m/>
    <m/>
    <m/>
    <m/>
    <m/>
    <m/>
    <m/>
    <m/>
    <m/>
    <m/>
    <m/>
    <m/>
    <m/>
  </r>
  <r>
    <s v="65767314"/>
    <s v="Myslivecký spolek Drnovice"/>
    <s v="706"/>
    <x v="1"/>
    <x v="0"/>
    <s v="Drnovice"/>
    <s v="Drnovice 113, PSČ 76325"/>
    <s v="01700"/>
    <s v="Lov a odchyt divokých zvířat a související činnosti"/>
    <m/>
    <m/>
    <m/>
    <m/>
    <m/>
    <m/>
    <m/>
    <m/>
    <m/>
    <m/>
    <m/>
    <m/>
    <m/>
    <m/>
    <m/>
    <m/>
    <m/>
  </r>
  <r>
    <s v="75118688"/>
    <s v="Myslivecký spolek Dubcová Kateřinice"/>
    <s v="706"/>
    <x v="1"/>
    <x v="1"/>
    <s v="Kateřinice"/>
    <s v="Kateřinice 193, PSČ 75621"/>
    <s v="01700"/>
    <s v="Lov a odchyt divokých zvířat a související činnosti"/>
    <m/>
    <m/>
    <m/>
    <m/>
    <m/>
    <m/>
    <m/>
    <m/>
    <m/>
    <m/>
    <m/>
    <m/>
    <m/>
    <m/>
    <m/>
    <m/>
    <m/>
  </r>
  <r>
    <s v="60574640"/>
    <s v="Myslivecký spolek Dubina Nětčice"/>
    <s v="706"/>
    <x v="1"/>
    <x v="3"/>
    <s v="Zdounky"/>
    <s v="Zdounky, Nětčice 50, PSČ 76802"/>
    <s v="01700"/>
    <s v="Lov a odchyt divokých zvířat a související činnosti"/>
    <m/>
    <m/>
    <m/>
    <m/>
    <m/>
    <m/>
    <m/>
    <m/>
    <m/>
    <m/>
    <m/>
    <m/>
    <m/>
    <m/>
    <m/>
    <m/>
    <m/>
  </r>
  <r>
    <s v="63701448"/>
    <s v="Myslivecký spolek FALCO - MK"/>
    <s v="706"/>
    <x v="1"/>
    <x v="1"/>
    <s v="Choryně"/>
    <s v="Choryně 76, PSČ 75642"/>
    <s v="01700"/>
    <s v="Lov a odchyt divokých zvířat a související činnosti"/>
    <m/>
    <m/>
    <m/>
    <m/>
    <m/>
    <m/>
    <m/>
    <m/>
    <m/>
    <m/>
    <m/>
    <m/>
    <m/>
    <m/>
    <m/>
    <m/>
    <m/>
  </r>
  <r>
    <s v="62334212"/>
    <s v="Myslivecký spolek Francova Lhota"/>
    <s v="706"/>
    <x v="1"/>
    <x v="1"/>
    <s v="Francova Lhota"/>
    <s v="Francova Lhota 325, PSČ 75614"/>
    <s v="01700"/>
    <s v="Lov a odchyt divokých zvířat a související činnosti"/>
    <m/>
    <m/>
    <m/>
    <m/>
    <m/>
    <m/>
    <m/>
    <m/>
    <m/>
    <m/>
    <m/>
    <m/>
    <m/>
    <m/>
    <m/>
    <m/>
    <m/>
  </r>
  <r>
    <s v="65792521"/>
    <s v="Myslivecký spolek Fryšták - Lukoveček"/>
    <s v="706"/>
    <x v="1"/>
    <x v="0"/>
    <s v="Lukoveček"/>
    <s v="Lukoveček, Ohrádky I 91, PSČ 76316"/>
    <s v="01700"/>
    <s v="Lov a odchyt divokých zvířat a související činnosti"/>
    <m/>
    <m/>
    <m/>
    <m/>
    <m/>
    <m/>
    <m/>
    <m/>
    <m/>
    <m/>
    <m/>
    <m/>
    <m/>
    <m/>
    <m/>
    <m/>
    <m/>
  </r>
  <r>
    <s v="47863811"/>
    <s v="Myslivecký spolek Gigula-Velké Karlovice"/>
    <s v="706"/>
    <x v="1"/>
    <x v="1"/>
    <s v="Velké Karlovice"/>
    <s v="Velké Karlovice 810, PSČ 75606"/>
    <s v="01700"/>
    <s v="Lov a odchyt divokých zvířat a související činnosti"/>
    <m/>
    <m/>
    <m/>
    <m/>
    <m/>
    <m/>
    <m/>
    <m/>
    <m/>
    <m/>
    <m/>
    <m/>
    <m/>
    <m/>
    <m/>
    <m/>
    <m/>
  </r>
  <r>
    <s v="14612097"/>
    <s v="Myslivecký spolek ,,Grúň&quot; Hošťálková"/>
    <s v="706"/>
    <x v="1"/>
    <x v="1"/>
    <s v="Hošťálková"/>
    <s v="Hošťálková č. ev. 29, PSČ 75622"/>
    <s v="01700"/>
    <s v="Lov a odchyt divokých zvířat a související činnosti"/>
    <m/>
    <m/>
    <m/>
    <m/>
    <m/>
    <m/>
    <m/>
    <m/>
    <m/>
    <m/>
    <m/>
    <m/>
    <m/>
    <m/>
    <m/>
    <m/>
    <m/>
  </r>
  <r>
    <s v="72051078"/>
    <s v="Myslivecký spolek Háj Lešná"/>
    <s v="706"/>
    <x v="1"/>
    <x v="1"/>
    <s v="Lešná"/>
    <s v="Lešná, Perná 13, PSČ 75641"/>
    <s v="01700"/>
    <s v="Lov a odchyt divokých zvířat a související činnosti"/>
    <m/>
    <m/>
    <m/>
    <m/>
    <m/>
    <m/>
    <m/>
    <m/>
    <m/>
    <m/>
    <m/>
    <m/>
    <m/>
    <m/>
    <m/>
    <m/>
    <m/>
  </r>
  <r>
    <s v="70976937"/>
    <s v="Myslivecký spolek Háj Mysločovice"/>
    <s v="706"/>
    <x v="1"/>
    <x v="0"/>
    <s v="Mysločovice"/>
    <s v="Mysločovice 21, PSČ 76301"/>
    <s v="017"/>
    <s v="Lov a odchyt divokých zvířat a související činnosti"/>
    <m/>
    <m/>
    <m/>
    <m/>
    <m/>
    <m/>
    <m/>
    <m/>
    <m/>
    <m/>
    <m/>
    <m/>
    <m/>
    <m/>
    <m/>
    <m/>
    <m/>
  </r>
  <r>
    <s v="22684140"/>
    <s v="Myslivecký spolek Háje Tučapy - Bořenovice"/>
    <s v="706"/>
    <x v="1"/>
    <x v="3"/>
    <s v="Holešov"/>
    <s v="Holešov, Všetuly, Sokolská 74, PSČ 76901"/>
    <s v="01700"/>
    <s v="Lov a odchyt divokých zvířat a související činnosti"/>
    <s v="Destilace, rektifikace a míchání lihovin"/>
    <s v="Stravování v restauracích, u stánků a v mobilních zařízeních"/>
    <m/>
    <m/>
    <m/>
    <m/>
    <m/>
    <m/>
    <m/>
    <m/>
    <m/>
    <m/>
    <m/>
    <m/>
    <m/>
    <m/>
    <m/>
  </r>
  <r>
    <s v="71209131"/>
    <s v="Myslivecký spolek Havřice-Obora"/>
    <s v="706"/>
    <x v="1"/>
    <x v="2"/>
    <s v="Uherský Brod"/>
    <s v="Uherský Brod 2642, PSČ 68801"/>
    <s v="01700"/>
    <s v="Lov a odchyt divokých zvířat a související činnosti"/>
    <m/>
    <m/>
    <m/>
    <m/>
    <m/>
    <m/>
    <m/>
    <m/>
    <m/>
    <m/>
    <m/>
    <m/>
    <m/>
    <m/>
    <m/>
    <m/>
    <m/>
  </r>
  <r>
    <s v="65325842"/>
    <s v="Myslivecký spolek Hluboček Korytná, z.s."/>
    <s v="706"/>
    <x v="1"/>
    <x v="2"/>
    <s v="Korytná"/>
    <s v="Korytná č. ev. 29, PSČ 68752"/>
    <s v="01700"/>
    <s v="Lov a odchyt divokých zvířat a související činnosti"/>
    <m/>
    <m/>
    <m/>
    <m/>
    <m/>
    <m/>
    <m/>
    <m/>
    <m/>
    <m/>
    <m/>
    <m/>
    <m/>
    <m/>
    <m/>
    <m/>
    <m/>
  </r>
  <r>
    <s v="60370084"/>
    <s v="Myslivecký spolek Hluk"/>
    <s v="706"/>
    <x v="1"/>
    <x v="2"/>
    <s v="Hluk"/>
    <s v="Hluk, Sadová 483, PSČ 68725"/>
    <s v="01700"/>
    <s v="Lov a odchyt divokých zvířat a související činnosti"/>
    <m/>
    <m/>
    <m/>
    <m/>
    <m/>
    <m/>
    <m/>
    <m/>
    <m/>
    <m/>
    <m/>
    <m/>
    <m/>
    <m/>
    <m/>
    <m/>
    <m/>
  </r>
  <r>
    <s v="01709569"/>
    <s v="Myslivecký spolek Holý Vrch Brumov CZ"/>
    <s v="706"/>
    <x v="1"/>
    <x v="0"/>
    <s v="Brumov-Bylnice"/>
    <s v="Brumov-Bylnice, Brumov, Mlýnská 1393, PSČ 76331"/>
    <s v="01700"/>
    <s v="Lov a odchyt divokých zvířat a související činnosti"/>
    <m/>
    <m/>
    <m/>
    <m/>
    <m/>
    <m/>
    <m/>
    <m/>
    <m/>
    <m/>
    <m/>
    <m/>
    <m/>
    <m/>
    <m/>
    <m/>
    <m/>
  </r>
  <r>
    <s v="62334298"/>
    <s v="Myslivecký spolek Horka Seninka"/>
    <s v="706"/>
    <x v="1"/>
    <x v="1"/>
    <s v="Seninka"/>
    <s v="Seninka 100, PSČ 75611"/>
    <s v="01700"/>
    <s v="Lov a odchyt divokých zvířat a související činnosti"/>
    <m/>
    <m/>
    <m/>
    <m/>
    <m/>
    <m/>
    <m/>
    <m/>
    <m/>
    <m/>
    <m/>
    <m/>
    <m/>
    <m/>
    <m/>
    <m/>
    <m/>
  </r>
  <r>
    <s v="01484834"/>
    <s v="Myslivecký spolek Horní Lideč"/>
    <s v="706"/>
    <x v="1"/>
    <x v="1"/>
    <s v="Horní Lideč"/>
    <s v="Horní Lideč 192, PSČ 75612"/>
    <s v="01700"/>
    <s v="Lov a odchyt divokých zvířat a související činnosti"/>
    <m/>
    <m/>
    <m/>
    <m/>
    <m/>
    <m/>
    <m/>
    <m/>
    <m/>
    <m/>
    <m/>
    <m/>
    <m/>
    <m/>
    <m/>
    <m/>
    <m/>
  </r>
  <r>
    <s v="63414279"/>
    <s v="Myslivecký spolek HORNÍ ROVEŇ Přílepy, z.s."/>
    <s v="706"/>
    <x v="1"/>
    <x v="3"/>
    <s v="Přílepy"/>
    <s v="Přílepy 1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19999828"/>
    <s v="Myslivecký spolek Hostišová - Lhotka"/>
    <s v="706"/>
    <x v="1"/>
    <x v="0"/>
    <s v="Hostišová"/>
    <s v="Hostišová, Hostišová - Horňák 100, PSČ 76301"/>
    <s v="01700"/>
    <s v="Lov a odchyt divokých zvířat a související činnosti"/>
    <m/>
    <m/>
    <m/>
    <m/>
    <m/>
    <m/>
    <m/>
    <m/>
    <m/>
    <m/>
    <m/>
    <m/>
    <m/>
    <m/>
    <m/>
    <m/>
    <m/>
  </r>
  <r>
    <s v="64123057"/>
    <s v="Myslivecký spolek Hovězí"/>
    <s v="706"/>
    <x v="1"/>
    <x v="1"/>
    <s v="Hovězí"/>
    <s v="Hovězí 78, PSČ 75601"/>
    <s v="01700"/>
    <s v="Lov a odchyt divokých zvířat a související činnosti"/>
    <m/>
    <m/>
    <m/>
    <m/>
    <m/>
    <m/>
    <m/>
    <m/>
    <m/>
    <m/>
    <m/>
    <m/>
    <m/>
    <m/>
    <m/>
    <m/>
    <m/>
  </r>
  <r>
    <s v="01480901"/>
    <s v="Myslivecký spolek Hrabí"/>
    <s v="706"/>
    <x v="1"/>
    <x v="1"/>
    <s v="Ratiboř"/>
    <s v="Ratiboř č. ev. 39, PSČ 75621"/>
    <s v="01700"/>
    <s v="Lov a odchyt divokých zvířat a související činnosti"/>
    <m/>
    <m/>
    <m/>
    <m/>
    <m/>
    <m/>
    <m/>
    <m/>
    <m/>
    <m/>
    <m/>
    <m/>
    <m/>
    <m/>
    <m/>
    <m/>
    <m/>
  </r>
  <r>
    <s v="47933623"/>
    <s v="Myslivecký spolek Hrabina Blazice"/>
    <s v="706"/>
    <x v="1"/>
    <x v="3"/>
    <s v="Blazice"/>
    <s v="Blazice 38, PSČ 76861"/>
    <s v="01700"/>
    <s v="Lov a odchyt divokých zvířat a související činnosti"/>
    <m/>
    <m/>
    <m/>
    <m/>
    <m/>
    <m/>
    <m/>
    <m/>
    <m/>
    <m/>
    <m/>
    <m/>
    <m/>
    <m/>
    <m/>
    <m/>
    <m/>
  </r>
  <r>
    <s v="63414554"/>
    <s v="Myslivecký spolek Hrabina Jankovice"/>
    <s v="706"/>
    <x v="1"/>
    <x v="3"/>
    <s v="Jankovice"/>
    <s v="Jankovice 129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26606429"/>
    <s v="Myslivecký spolek Hrabovina Biskupice"/>
    <s v="706"/>
    <x v="1"/>
    <x v="0"/>
    <s v="Biskupice"/>
    <s v="Biskupice 120, PSČ 76341"/>
    <s v="01700"/>
    <s v="Lov a odchyt divokých zvířat a související činnosti"/>
    <m/>
    <m/>
    <m/>
    <m/>
    <m/>
    <m/>
    <m/>
    <m/>
    <m/>
    <m/>
    <m/>
    <m/>
    <m/>
    <m/>
    <m/>
    <m/>
    <m/>
  </r>
  <r>
    <s v="62180002"/>
    <s v="Myslivecký spolek Hrádek"/>
    <s v="706"/>
    <x v="1"/>
    <x v="0"/>
    <s v="Slavičín"/>
    <s v="Slavičín, Hrádek na Vlárské dráze, Nádražní 113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02366118"/>
    <s v="Myslivecký spolek Hradisko-Zlín,z.s."/>
    <s v="706"/>
    <x v="1"/>
    <x v="0"/>
    <s v="Zlín"/>
    <s v="Zlín, Kúty 1947, PSČ 76001"/>
    <s v="01700"/>
    <s v="Lov a odchyt divokých zvířat a související činnosti"/>
    <m/>
    <m/>
    <m/>
    <m/>
    <m/>
    <m/>
    <m/>
    <m/>
    <m/>
    <m/>
    <m/>
    <m/>
    <m/>
    <m/>
    <m/>
    <m/>
    <m/>
  </r>
  <r>
    <s v="70887349"/>
    <s v="Myslivecký spolek Hrubá Dolina Valašská Polanka"/>
    <s v="706"/>
    <x v="1"/>
    <x v="1"/>
    <s v="Valašská Polanka"/>
    <s v="Valašská Polanka 430, PSČ 75611"/>
    <s v="01700"/>
    <s v="Lov a odchyt divokých zvířat a související činnosti"/>
    <m/>
    <m/>
    <m/>
    <m/>
    <m/>
    <m/>
    <m/>
    <m/>
    <m/>
    <m/>
    <m/>
    <m/>
    <m/>
    <m/>
    <m/>
    <m/>
    <m/>
  </r>
  <r>
    <s v="49157027"/>
    <s v="Myslivecký spolek Hřivínův Újezd - Kaňovice"/>
    <s v="706"/>
    <x v="1"/>
    <x v="0"/>
    <s v="Kaňovice"/>
    <s v="Kaňovice 45, PSČ 76341"/>
    <s v="01700"/>
    <s v="Lov a odchyt divokých zvířat a související činnosti"/>
    <m/>
    <m/>
    <m/>
    <m/>
    <m/>
    <m/>
    <m/>
    <m/>
    <m/>
    <m/>
    <m/>
    <m/>
    <m/>
    <m/>
    <m/>
    <m/>
    <m/>
  </r>
  <r>
    <s v="60042575"/>
    <s v="Myslivecký spolek Hubert Bečvy"/>
    <s v="706"/>
    <x v="1"/>
    <x v="1"/>
    <s v="Horní Bečva"/>
    <s v="Horní Bečva 1016, PSČ 75657"/>
    <s v="01700"/>
    <s v="Lov a odchyt divokých zvířat a související činnosti"/>
    <s v="Velkoobchod a maloobchod; opravy a údržba motorových vozidel"/>
    <s v="Výroba potravinářských výrobků"/>
    <s v="Ostatní zábavní a rekreační činnosti"/>
    <s v="Destilace, rektifikace a míchání lihovin"/>
    <s v="Stravování v restauracích, u stánků a v mobilních zařízeních"/>
    <m/>
    <m/>
    <m/>
    <m/>
    <m/>
    <m/>
    <m/>
    <m/>
    <m/>
    <m/>
    <m/>
    <m/>
  </r>
  <r>
    <s v="67010954"/>
    <s v="Myslivecký spolek Hubert Březová"/>
    <s v="706"/>
    <x v="1"/>
    <x v="2"/>
    <s v="Březová"/>
    <s v="Březová 407, PSČ 68767"/>
    <s v="01700"/>
    <s v="Lov a odchyt divokých zvířat a související činnosti"/>
    <m/>
    <m/>
    <m/>
    <m/>
    <m/>
    <m/>
    <m/>
    <m/>
    <m/>
    <m/>
    <m/>
    <m/>
    <m/>
    <m/>
    <m/>
    <m/>
    <m/>
  </r>
  <r>
    <s v="47933895"/>
    <s v="Myslivecký spolek HUBERT Morkovice, z.s."/>
    <s v="706"/>
    <x v="1"/>
    <x v="3"/>
    <s v="Morkovice-Slížany"/>
    <s v="Morkovice-Slížany, Morkovice, Svatopluka Čecha 343, PSČ 76833"/>
    <s v="01700"/>
    <s v="Lov a odchyt divokých zvířat a související činnosti"/>
    <s v="Stravování v restauracích, u stánků a v mobilních zařízeních"/>
    <s v="Podpůrné činnosti pro scénická umění"/>
    <s v="Umělecká tvorba"/>
    <s v="Destilace, rektifikace a míchání lihovin"/>
    <s v="Ostatní sportovní činnosti"/>
    <m/>
    <m/>
    <m/>
    <m/>
    <m/>
    <m/>
    <m/>
    <m/>
    <m/>
    <m/>
    <m/>
    <m/>
  </r>
  <r>
    <s v="47930594"/>
    <s v="Myslivecký spolek Hulín"/>
    <s v="706"/>
    <x v="1"/>
    <x v="3"/>
    <s v="Hulín"/>
    <s v="Hulín, Antonína Dvořáka 1305, PSČ 76824"/>
    <s v="01700"/>
    <s v="Lov a odchyt divokých zvířat a související činnosti"/>
    <m/>
    <m/>
    <m/>
    <m/>
    <m/>
    <m/>
    <m/>
    <m/>
    <m/>
    <m/>
    <m/>
    <m/>
    <m/>
    <m/>
    <m/>
    <m/>
    <m/>
  </r>
  <r>
    <s v="67011624"/>
    <s v="Myslivecký spolek Huštěnovice - Sušice"/>
    <s v="706"/>
    <x v="1"/>
    <x v="2"/>
    <s v="Huštěnovice"/>
    <s v="Huštěnovice 318, PSČ 68703"/>
    <s v="01700"/>
    <s v="Lov a odchyt divokých zvířat a související činnosti"/>
    <m/>
    <m/>
    <m/>
    <m/>
    <m/>
    <m/>
    <m/>
    <m/>
    <m/>
    <m/>
    <m/>
    <m/>
    <m/>
    <m/>
    <m/>
    <m/>
    <m/>
  </r>
  <r>
    <s v="64123561"/>
    <s v="Myslivecký spolek Hutisko-Solanec"/>
    <s v="706"/>
    <x v="1"/>
    <x v="1"/>
    <s v="Hutisko-Solanec"/>
    <s v="Hutisko-Solanec, Hutisko 263, PSČ 75662"/>
    <s v="01700"/>
    <s v="Lov a odchyt divokých zvířat a související činnosti"/>
    <m/>
    <m/>
    <m/>
    <m/>
    <m/>
    <m/>
    <m/>
    <m/>
    <m/>
    <m/>
    <m/>
    <m/>
    <m/>
    <m/>
    <m/>
    <m/>
    <m/>
  </r>
  <r>
    <s v="47863412"/>
    <s v="Myslivecký spolek Hutisko-Solanec - Herálky"/>
    <s v="706"/>
    <x v="1"/>
    <x v="1"/>
    <s v="Hutisko-Solanec"/>
    <s v="Hutisko-Solanec, Hutisko 242, PSČ 75662"/>
    <s v="01700"/>
    <s v="Lov a odchyt divokých zvířat a související činnosti"/>
    <m/>
    <m/>
    <m/>
    <m/>
    <m/>
    <m/>
    <m/>
    <m/>
    <m/>
    <m/>
    <m/>
    <m/>
    <m/>
    <m/>
    <m/>
    <m/>
    <m/>
  </r>
  <r>
    <s v="47935901"/>
    <s v="Myslivecký spolek Hvězda Jarohněvice"/>
    <s v="706"/>
    <x v="1"/>
    <x v="3"/>
    <s v="Jarohněvice"/>
    <s v="Jarohněvice 83, PSČ 76801"/>
    <s v="01700"/>
    <s v="Lov a odchyt divokých zvířat a související činnosti"/>
    <m/>
    <m/>
    <m/>
    <m/>
    <m/>
    <m/>
    <m/>
    <m/>
    <m/>
    <m/>
    <m/>
    <m/>
    <m/>
    <m/>
    <m/>
    <m/>
    <m/>
  </r>
  <r>
    <s v="70436517"/>
    <s v="Myslivecký Spolek Jalubí"/>
    <s v="706"/>
    <x v="1"/>
    <x v="2"/>
    <s v="Jalubí"/>
    <s v="Jalubí 25, PSČ 68705"/>
    <s v="01700"/>
    <s v="Lov a odchyt divokých zvířat a související činnosti"/>
    <m/>
    <m/>
    <m/>
    <m/>
    <m/>
    <m/>
    <m/>
    <m/>
    <m/>
    <m/>
    <m/>
    <m/>
    <m/>
    <m/>
    <m/>
    <m/>
    <m/>
  </r>
  <r>
    <s v="49158228"/>
    <s v="Myslivecký spolek Jamné Slavičín z.s."/>
    <s v="706"/>
    <x v="1"/>
    <x v="0"/>
    <s v="Slavičín"/>
    <s v="Slavičín, Osvobození 255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04723929"/>
    <s v="Myslivecký spolek Jankovice"/>
    <s v="706"/>
    <x v="1"/>
    <x v="3"/>
    <s v="Jankovice"/>
    <s v="Jankovice"/>
    <s v="0170"/>
    <s v="Lov a odchyt divokých zvířat a související činnosti"/>
    <m/>
    <m/>
    <m/>
    <m/>
    <m/>
    <m/>
    <m/>
    <m/>
    <m/>
    <m/>
    <m/>
    <m/>
    <m/>
    <m/>
    <m/>
    <m/>
    <m/>
  </r>
  <r>
    <s v="48489247"/>
    <s v="Myslivecký spolek Jankovice Košíky,z.s."/>
    <s v="706"/>
    <x v="1"/>
    <x v="2"/>
    <s v="Jankovice"/>
    <s v="Jankovice 15, PSČ 68704"/>
    <s v="01700"/>
    <s v="Lov a odchyt divokých zvířat a související činnosti"/>
    <m/>
    <m/>
    <m/>
    <m/>
    <m/>
    <m/>
    <m/>
    <m/>
    <m/>
    <m/>
    <m/>
    <m/>
    <m/>
    <m/>
    <m/>
    <m/>
    <m/>
  </r>
  <r>
    <s v="75073749"/>
    <s v="Myslivecký spolek Janová-Ústí"/>
    <s v="706"/>
    <x v="1"/>
    <x v="1"/>
    <s v="Janová"/>
    <s v="Janová 200, PSČ 75501"/>
    <s v="01700"/>
    <s v="Lov a odchyt divokých zvířat a související činnosti"/>
    <m/>
    <m/>
    <m/>
    <m/>
    <m/>
    <m/>
    <m/>
    <m/>
    <m/>
    <m/>
    <m/>
    <m/>
    <m/>
    <m/>
    <m/>
    <m/>
    <m/>
  </r>
  <r>
    <s v="62181076"/>
    <s v="Myslivecký spolek Janovec Nedašova Lhota"/>
    <s v="706"/>
    <x v="1"/>
    <x v="0"/>
    <s v="Nedašova Lhota"/>
    <s v="Nedašova Lhota 10, PSČ 76332"/>
    <s v="01700"/>
    <s v="Lov a odchyt divokých zvířat a související činnosti"/>
    <m/>
    <m/>
    <m/>
    <m/>
    <m/>
    <m/>
    <m/>
    <m/>
    <m/>
    <m/>
    <m/>
    <m/>
    <m/>
    <m/>
    <m/>
    <m/>
    <m/>
  </r>
  <r>
    <s v="47933658"/>
    <s v="Myslivecký spolek Jaro Zdounky"/>
    <s v="706"/>
    <x v="1"/>
    <x v="3"/>
    <s v="Zdounky"/>
    <s v="Zdounky 27, PSČ 76802"/>
    <s v="01700"/>
    <s v="Lov a odchyt divokých zvířat a související činnosti"/>
    <s v="Stravování v restauracích, u stánků a v mobilních zařízeních"/>
    <s v="Destilace, rektifikace a míchání lihovin"/>
    <s v="Podpůrné činnosti pro scénická umění"/>
    <m/>
    <m/>
    <m/>
    <m/>
    <m/>
    <m/>
    <m/>
    <m/>
    <m/>
    <m/>
    <m/>
    <m/>
    <m/>
    <m/>
  </r>
  <r>
    <s v="00433128"/>
    <s v="MYSLIVECKÝ SPOLEK JASENEC - POLICE"/>
    <s v="706"/>
    <x v="1"/>
    <x v="1"/>
    <s v="Police"/>
    <s v="Police 142, PSČ 75644"/>
    <s v="01700"/>
    <s v="Lov a odchyt divokých zvířat a související činnosti"/>
    <s v="Destilace, rektifikace a míchání lihovin"/>
    <s v="Stravování v restauracích, u stánků a v mobilních zařízeních"/>
    <m/>
    <m/>
    <m/>
    <m/>
    <m/>
    <m/>
    <m/>
    <m/>
    <m/>
    <m/>
    <m/>
    <m/>
    <m/>
    <m/>
    <m/>
  </r>
  <r>
    <s v="62181963"/>
    <s v="Myslivecký spolek Jasenná pod Vartovnou"/>
    <s v="706"/>
    <x v="1"/>
    <x v="0"/>
    <s v="Jasenná"/>
    <s v="Jasenná 317, PSČ 76313"/>
    <s v="01700"/>
    <s v="Lov a odchyt divokých zvířat a související činnosti"/>
    <m/>
    <m/>
    <m/>
    <m/>
    <m/>
    <m/>
    <m/>
    <m/>
    <m/>
    <m/>
    <m/>
    <m/>
    <m/>
    <m/>
    <m/>
    <m/>
    <m/>
  </r>
  <r>
    <s v="26605422"/>
    <s v="Myslivecký spolek Jasla Rokytnice"/>
    <s v="706"/>
    <x v="1"/>
    <x v="0"/>
    <s v="Rokytnice"/>
    <s v="Rokytnice 126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48491411"/>
    <s v="Myslivecký spolek Javor Starý Hrozenkov, z.s."/>
    <s v="706"/>
    <x v="1"/>
    <x v="2"/>
    <s v="Starý Hrozenkov"/>
    <s v="Starý Hrozenkov 255, PSČ 68774"/>
    <s v="01700"/>
    <s v="Lov a odchyt divokých zvířat a související činnosti"/>
    <m/>
    <m/>
    <m/>
    <m/>
    <m/>
    <m/>
    <m/>
    <m/>
    <m/>
    <m/>
    <m/>
    <m/>
    <m/>
    <m/>
    <m/>
    <m/>
    <m/>
  </r>
  <r>
    <s v="60371471"/>
    <s v="Myslivecký spolek Javorina Strání"/>
    <s v="706"/>
    <x v="1"/>
    <x v="2"/>
    <s v="Strání"/>
    <s v="Strání, Květná, U sklárny 477, PSČ 68766"/>
    <s v="01700"/>
    <s v="Lov a odchyt divokých zvířat a související činnosti"/>
    <s v="Výroba, obchod a služby neuvedené v přílohách 1 až 3 živnostenského zákona"/>
    <s v="Stravování v restauracích, u stánků a v mobilních zařízeních"/>
    <s v="Destilace, rektifikace a míchání lihovin"/>
    <m/>
    <m/>
    <m/>
    <m/>
    <m/>
    <m/>
    <m/>
    <m/>
    <m/>
    <m/>
    <m/>
    <m/>
    <m/>
    <m/>
  </r>
  <r>
    <s v="48473448"/>
    <s v="Myslivecký spolek Javorník"/>
    <s v="706"/>
    <x v="1"/>
    <x v="0"/>
    <s v="Štítná nad Vláří-Popov"/>
    <s v="Štítná nad Vláří-Popov, Štítná nad Vláří 213, PSČ 76333"/>
    <s v="01700"/>
    <s v="Lov a odchyt divokých zvířat a související činnosti"/>
    <m/>
    <m/>
    <m/>
    <m/>
    <m/>
    <m/>
    <m/>
    <m/>
    <m/>
    <m/>
    <m/>
    <m/>
    <m/>
    <m/>
    <m/>
    <m/>
    <m/>
  </r>
  <r>
    <s v="47935031"/>
    <s v="Myslivecký spolek Javorník Osíčko, z.s."/>
    <s v="706"/>
    <x v="1"/>
    <x v="3"/>
    <s v="Osíčko"/>
    <s v="Osíčko 56, PSČ 76861"/>
    <s v="01700"/>
    <s v="Lov a odchyt divokých zvířat a související činnosti"/>
    <m/>
    <m/>
    <m/>
    <m/>
    <m/>
    <m/>
    <m/>
    <m/>
    <m/>
    <m/>
    <m/>
    <m/>
    <m/>
    <m/>
    <m/>
    <m/>
    <m/>
  </r>
  <r>
    <s v="64123405"/>
    <s v="Myslivecký spolek Javořina Halenkov"/>
    <s v="706"/>
    <x v="1"/>
    <x v="1"/>
    <s v="Halenkov"/>
    <s v="Halenkov 68, PSČ 75603"/>
    <s v="01700"/>
    <s v="Lov a odchyt divokých zvířat a související činnosti"/>
    <m/>
    <m/>
    <m/>
    <m/>
    <m/>
    <m/>
    <m/>
    <m/>
    <m/>
    <m/>
    <m/>
    <m/>
    <m/>
    <m/>
    <m/>
    <m/>
    <m/>
  </r>
  <r>
    <s v="65888201"/>
    <s v="Myslivecký spolek Javořina-Růžďka"/>
    <s v="706"/>
    <x v="1"/>
    <x v="1"/>
    <s v="Růžďka"/>
    <s v="Růžďka 271, PSČ 75625"/>
    <s v="017"/>
    <s v="Lov a odchyt divokých zvířat a související činnosti"/>
    <m/>
    <m/>
    <m/>
    <m/>
    <m/>
    <m/>
    <m/>
    <m/>
    <m/>
    <m/>
    <m/>
    <m/>
    <m/>
    <m/>
    <m/>
    <m/>
    <m/>
  </r>
  <r>
    <s v="75141574"/>
    <s v="Myslivecký spolek Jeleňa Prakšice"/>
    <s v="706"/>
    <x v="1"/>
    <x v="2"/>
    <s v="Prakšice"/>
    <s v="Prakšice 328, PSČ 68756"/>
    <s v="01700"/>
    <s v="Lov a odchyt divokých zvířat a související činnosti"/>
    <m/>
    <m/>
    <m/>
    <m/>
    <m/>
    <m/>
    <m/>
    <m/>
    <m/>
    <m/>
    <m/>
    <m/>
    <m/>
    <m/>
    <m/>
    <m/>
    <m/>
  </r>
  <r>
    <s v="67008097"/>
    <s v="Myslivecký spolek Jestřabí"/>
    <s v="706"/>
    <x v="1"/>
    <x v="0"/>
    <s v="Jestřabí"/>
    <s v="Jestřabí 1, PSČ 76333"/>
    <s v="01700"/>
    <s v="Lov a odchyt divokých zvířat a související činnosti"/>
    <m/>
    <m/>
    <m/>
    <m/>
    <m/>
    <m/>
    <m/>
    <m/>
    <m/>
    <m/>
    <m/>
    <m/>
    <m/>
    <m/>
    <m/>
    <m/>
    <m/>
  </r>
  <r>
    <s v="64439828"/>
    <s v="Myslivecký spolek Jezera Ostrožská Nová Ves"/>
    <s v="706"/>
    <x v="1"/>
    <x v="2"/>
    <s v="Ostrožská Nová Ves"/>
    <s v="Ostrožská Nová Ves, Za kostelem 960, PSČ 68722"/>
    <s v="01700"/>
    <s v="Lov a odchyt divokých zvířat a související činnosti"/>
    <m/>
    <m/>
    <m/>
    <m/>
    <m/>
    <m/>
    <m/>
    <m/>
    <m/>
    <m/>
    <m/>
    <m/>
    <m/>
    <m/>
    <m/>
    <m/>
    <m/>
  </r>
  <r>
    <s v="71179976"/>
    <s v="Myslivecký spolek KASIVEC - Slavkov, z.s."/>
    <s v="706"/>
    <x v="1"/>
    <x v="2"/>
    <s v="Slavkov"/>
    <s v="Slavkov 303, PSČ 68764"/>
    <s v="01700"/>
    <s v="Lov a odchyt divokých zvířat a související činnosti"/>
    <m/>
    <m/>
    <m/>
    <m/>
    <m/>
    <m/>
    <m/>
    <m/>
    <m/>
    <m/>
    <m/>
    <m/>
    <m/>
    <m/>
    <m/>
    <m/>
    <m/>
  </r>
  <r>
    <s v="75130157"/>
    <s v="Myslivecký spolek Kelečsko"/>
    <s v="706"/>
    <x v="1"/>
    <x v="1"/>
    <s v="Kelč"/>
    <s v="Kelč 241, PSČ 75643"/>
    <s v="01700"/>
    <s v="Lov a odchyt divokých zvířat a související činnosti"/>
    <m/>
    <m/>
    <m/>
    <m/>
    <m/>
    <m/>
    <m/>
    <m/>
    <m/>
    <m/>
    <m/>
    <m/>
    <m/>
    <m/>
    <m/>
    <m/>
    <m/>
  </r>
  <r>
    <s v="48489689"/>
    <s v="Myslivecký spolek Kladenka Přečkovice"/>
    <s v="706"/>
    <x v="1"/>
    <x v="2"/>
    <s v="Bojkovice"/>
    <s v="Bojkovice, Přečkovice 35, PSČ 68771"/>
    <s v="01700"/>
    <s v="Lov a odchyt divokých zvířat a související činnosti"/>
    <m/>
    <m/>
    <m/>
    <m/>
    <m/>
    <m/>
    <m/>
    <m/>
    <m/>
    <m/>
    <m/>
    <m/>
    <m/>
    <m/>
    <m/>
    <m/>
    <m/>
  </r>
  <r>
    <s v="64467333"/>
    <s v="Myslivecký spolek KLADNÁ ŽILÍN"/>
    <s v="706"/>
    <x v="1"/>
    <x v="0"/>
    <s v="Luhačovice"/>
    <s v="Luhačovice, Kladná Žilín 45, PSČ 76326"/>
    <s v="01700"/>
    <s v="Lov a odchyt divokých zvířat a související činnosti"/>
    <m/>
    <m/>
    <m/>
    <m/>
    <m/>
    <m/>
    <m/>
    <m/>
    <m/>
    <m/>
    <m/>
    <m/>
    <m/>
    <m/>
    <m/>
    <m/>
    <m/>
  </r>
  <r>
    <s v="01670026"/>
    <s v="Myslivecký spolek Kněhyně-Bečvy"/>
    <s v="706"/>
    <x v="1"/>
    <x v="1"/>
    <s v="Horní Bečva"/>
    <s v="Horní Bečva 333, PSČ 75657"/>
    <s v="01700"/>
    <s v="Lov a odchyt divokých zvířat a související činnosti"/>
    <m/>
    <m/>
    <m/>
    <m/>
    <m/>
    <m/>
    <m/>
    <m/>
    <m/>
    <m/>
    <m/>
    <m/>
    <m/>
    <m/>
    <m/>
    <m/>
    <m/>
  </r>
  <r>
    <s v="72542730"/>
    <s v="Myslivecký spolek Kojetínek Veletiny, z.s."/>
    <s v="706"/>
    <x v="1"/>
    <x v="2"/>
    <s v="Vlčnov"/>
    <s v="Vlčnov 1117, PSČ 68761"/>
    <s v="017"/>
    <s v="Lov a odchyt divokých zvířat a související činnosti"/>
    <m/>
    <m/>
    <m/>
    <m/>
    <m/>
    <m/>
    <m/>
    <m/>
    <m/>
    <m/>
    <m/>
    <m/>
    <m/>
    <m/>
    <m/>
    <m/>
    <m/>
  </r>
  <r>
    <s v="26606712"/>
    <s v="Myslivecký spolek KONČITÁ"/>
    <s v="706"/>
    <x v="1"/>
    <x v="1"/>
    <s v="Liptál"/>
    <s v="Liptál 496, PSČ 75631"/>
    <s v="01700"/>
    <s v="Lov a odchyt divokých zvířat a související činnosti"/>
    <m/>
    <m/>
    <m/>
    <m/>
    <m/>
    <m/>
    <m/>
    <m/>
    <m/>
    <m/>
    <m/>
    <m/>
    <m/>
    <m/>
    <m/>
    <m/>
    <m/>
  </r>
  <r>
    <s v="63414627"/>
    <s v="Myslivecký spolek Koryčansko"/>
    <s v="706"/>
    <x v="1"/>
    <x v="3"/>
    <s v="Koryčany"/>
    <s v="Koryčany, Jestřabice 158, PSČ 76805"/>
    <s v="01700"/>
    <s v="Lov a odchyt divokých zvířat a související činnosti"/>
    <m/>
    <m/>
    <m/>
    <m/>
    <m/>
    <m/>
    <m/>
    <m/>
    <m/>
    <m/>
    <m/>
    <m/>
    <m/>
    <m/>
    <m/>
    <m/>
    <m/>
  </r>
  <r>
    <s v="75093553"/>
    <s v="Myslivecký spolek Kostelany nad Moravou z.s."/>
    <s v="706"/>
    <x v="1"/>
    <x v="2"/>
    <s v="Kostelany nad Moravou"/>
    <s v="Kostelany nad Moravou 35, PSČ 68601"/>
    <s v="01700"/>
    <s v="Lov a odchyt divokých zvířat a související činnosti"/>
    <m/>
    <m/>
    <m/>
    <m/>
    <m/>
    <m/>
    <m/>
    <m/>
    <m/>
    <m/>
    <m/>
    <m/>
    <m/>
    <m/>
    <m/>
    <m/>
    <m/>
  </r>
  <r>
    <s v="47934280"/>
    <s v="Myslivecký spolek Kostelecký les"/>
    <s v="706"/>
    <x v="1"/>
    <x v="3"/>
    <s v="Kostelec u Holešova"/>
    <s v="Kostelec u Holešova 287, PSČ 76843"/>
    <s v="01700"/>
    <s v="Lov a odchyt divokých zvířat a související činnosti"/>
    <m/>
    <m/>
    <m/>
    <m/>
    <m/>
    <m/>
    <m/>
    <m/>
    <m/>
    <m/>
    <m/>
    <m/>
    <m/>
    <m/>
    <m/>
    <m/>
    <m/>
  </r>
  <r>
    <s v="67028250"/>
    <s v="Myslivecký spolek Kožušice"/>
    <s v="706"/>
    <x v="1"/>
    <x v="3"/>
    <s v="Kunkovice"/>
    <s v="Kunkovice 73, PSČ 76813"/>
    <s v="01700"/>
    <s v="Lov a odchyt divokých zvířat a související činnosti"/>
    <m/>
    <m/>
    <m/>
    <m/>
    <m/>
    <m/>
    <m/>
    <m/>
    <m/>
    <m/>
    <m/>
    <m/>
    <m/>
    <m/>
    <m/>
    <m/>
    <m/>
  </r>
  <r>
    <s v="26616599"/>
    <s v="Myslivecký spolek Krahulčí"/>
    <s v="706"/>
    <x v="1"/>
    <x v="3"/>
    <s v="Břest"/>
    <s v="Břest 144, PSČ 76823"/>
    <s v="01700"/>
    <s v="Lov a odchyt divokých zvířat a související činnosti"/>
    <m/>
    <m/>
    <m/>
    <m/>
    <m/>
    <m/>
    <m/>
    <m/>
    <m/>
    <m/>
    <m/>
    <m/>
    <m/>
    <m/>
    <m/>
    <m/>
    <m/>
  </r>
  <r>
    <s v="67024017"/>
    <s v="Myslivecký spolek Kříby Bohuslavice - Březnice, z.s."/>
    <s v="706"/>
    <x v="1"/>
    <x v="0"/>
    <s v="Bohuslavice u Zlína"/>
    <s v="Bohuslavice u Zlína 304, PSČ 76351"/>
    <s v="01700"/>
    <s v="Lov a odchyt divokých zvířat a související činnosti"/>
    <m/>
    <m/>
    <m/>
    <m/>
    <m/>
    <m/>
    <m/>
    <m/>
    <m/>
    <m/>
    <m/>
    <m/>
    <m/>
    <m/>
    <m/>
    <m/>
    <m/>
  </r>
  <r>
    <s v="26665590"/>
    <s v="MYSLIVECKÝ SPOLEK KŘÍDLO"/>
    <s v="706"/>
    <x v="1"/>
    <x v="3"/>
    <s v="Chomýž"/>
    <s v="Chomýž 52, PSČ 76861"/>
    <s v="01700"/>
    <s v="Lov a odchyt divokých zvířat a související činnosti"/>
    <m/>
    <m/>
    <m/>
    <m/>
    <m/>
    <m/>
    <m/>
    <m/>
    <m/>
    <m/>
    <m/>
    <m/>
    <m/>
    <m/>
    <m/>
    <m/>
    <m/>
  </r>
  <r>
    <s v="48473138"/>
    <s v="Myslivecký spolek Kudlov - Jaroslavice z.s."/>
    <s v="706"/>
    <x v="1"/>
    <x v="0"/>
    <s v="Zlín"/>
    <s v="Zlín, Kudlov, Březovská 59, PSČ 76001"/>
    <s v="01700"/>
    <s v="Lov a odchyt divokých zvířat a související činnosti"/>
    <m/>
    <m/>
    <m/>
    <m/>
    <m/>
    <m/>
    <m/>
    <m/>
    <m/>
    <m/>
    <m/>
    <m/>
    <m/>
    <m/>
    <m/>
    <m/>
    <m/>
  </r>
  <r>
    <s v="67027261"/>
    <s v="Myslivecký spolek Kupčínek Nedachlebice"/>
    <s v="706"/>
    <x v="1"/>
    <x v="2"/>
    <s v="Nedachlebice"/>
    <s v="Nedachlebice 250, PSČ 68712"/>
    <s v="01700"/>
    <s v="Lov a odchyt divokých zvířat a související činnosti"/>
    <m/>
    <m/>
    <m/>
    <m/>
    <m/>
    <m/>
    <m/>
    <m/>
    <m/>
    <m/>
    <m/>
    <m/>
    <m/>
    <m/>
    <m/>
    <m/>
    <m/>
  </r>
  <r>
    <s v="63415631"/>
    <s v="Myslivecký spolek Kvasice"/>
    <s v="706"/>
    <x v="1"/>
    <x v="3"/>
    <s v="Kvasice"/>
    <s v="Kvasice 696, PSČ 76821"/>
    <s v="01700"/>
    <s v="Lov a odchyt divokých zvířat a související činnosti"/>
    <m/>
    <m/>
    <m/>
    <m/>
    <m/>
    <m/>
    <m/>
    <m/>
    <m/>
    <m/>
    <m/>
    <m/>
    <m/>
    <m/>
    <m/>
    <m/>
    <m/>
  </r>
  <r>
    <s v="60990201"/>
    <s v="Myslivecký spolek Kyčera Huslenky"/>
    <s v="706"/>
    <x v="1"/>
    <x v="1"/>
    <s v="Huslenky"/>
    <s v="Huslenky 614, PSČ 75602"/>
    <s v="01700"/>
    <s v="Lov a odchyt divokých zvířat a související činnosti"/>
    <m/>
    <m/>
    <m/>
    <m/>
    <m/>
    <m/>
    <m/>
    <m/>
    <m/>
    <m/>
    <m/>
    <m/>
    <m/>
    <m/>
    <m/>
    <m/>
    <m/>
  </r>
  <r>
    <s v="66184681"/>
    <s v="Myslivecký spolek Lačnov"/>
    <s v="706"/>
    <x v="1"/>
    <x v="1"/>
    <s v="Lačnov"/>
    <s v="Lačnov 8, PSČ 75612"/>
    <s v="01700"/>
    <s v="Lov a odchyt divokých zvířat a související činnosti"/>
    <m/>
    <m/>
    <m/>
    <m/>
    <m/>
    <m/>
    <m/>
    <m/>
    <m/>
    <m/>
    <m/>
    <m/>
    <m/>
    <m/>
    <m/>
    <m/>
    <m/>
  </r>
  <r>
    <s v="67027962"/>
    <s v="Myslivecký spolek LANKA Dolní Němčí, z.s."/>
    <s v="706"/>
    <x v="1"/>
    <x v="2"/>
    <s v="Dolní Němčí"/>
    <s v="Dolní Němčí, U Stadionu 903, PSČ 68762"/>
    <s v="01700"/>
    <s v="Lov a odchyt divokých zvířat a související činnosti"/>
    <m/>
    <m/>
    <m/>
    <m/>
    <m/>
    <m/>
    <m/>
    <m/>
    <m/>
    <m/>
    <m/>
    <m/>
    <m/>
    <m/>
    <m/>
    <m/>
    <m/>
  </r>
  <r>
    <s v="47934786"/>
    <s v="Myslivecký spolek Lechotice"/>
    <s v="706"/>
    <x v="1"/>
    <x v="3"/>
    <s v="Lechotice"/>
    <s v="Lechotice 100, PSČ 76852"/>
    <s v="01700"/>
    <s v="Lov a odchyt divokých zvířat a související činnosti"/>
    <m/>
    <m/>
    <m/>
    <m/>
    <m/>
    <m/>
    <m/>
    <m/>
    <m/>
    <m/>
    <m/>
    <m/>
    <m/>
    <m/>
    <m/>
    <m/>
    <m/>
  </r>
  <r>
    <s v="62335065"/>
    <s v="Myslivecký spolek Lhota Stráň"/>
    <s v="706"/>
    <x v="1"/>
    <x v="1"/>
    <s v="Lhota u Vsetína"/>
    <s v="Lhota u Vsetína 211, PSČ 75501"/>
    <s v="01700"/>
    <s v="Lov a odchyt divokých zvířat a související činnosti"/>
    <m/>
    <m/>
    <m/>
    <m/>
    <m/>
    <m/>
    <m/>
    <m/>
    <m/>
    <m/>
    <m/>
    <m/>
    <m/>
    <m/>
    <m/>
    <m/>
    <m/>
  </r>
  <r>
    <s v="48473405"/>
    <s v="Myslivecký spolek Lípa nad Dřevnicí, z.s."/>
    <s v="706"/>
    <x v="1"/>
    <x v="0"/>
    <s v="Lípa"/>
    <s v="Lípa 220, PSČ 76311"/>
    <s v="01700"/>
    <s v="Lov a odchyt divokých zvířat a související činnosti"/>
    <m/>
    <m/>
    <m/>
    <m/>
    <m/>
    <m/>
    <m/>
    <m/>
    <m/>
    <m/>
    <m/>
    <m/>
    <m/>
    <m/>
    <m/>
    <m/>
    <m/>
  </r>
  <r>
    <s v="75149257"/>
    <s v="Myslivecký spolek Lípa Soběsuky"/>
    <s v="706"/>
    <x v="1"/>
    <x v="3"/>
    <s v="Soběsuky"/>
    <s v="Soběsuky 23, PSČ 76802"/>
    <s v="01700"/>
    <s v="Lov a odchyt divokých zvířat a související činnosti"/>
    <m/>
    <m/>
    <m/>
    <m/>
    <m/>
    <m/>
    <m/>
    <m/>
    <m/>
    <m/>
    <m/>
    <m/>
    <m/>
    <m/>
    <m/>
    <m/>
    <m/>
  </r>
  <r>
    <s v="75144964"/>
    <s v="Myslivecký spolek Lipina - Křekov"/>
    <s v="706"/>
    <x v="1"/>
    <x v="0"/>
    <s v="Valašské Klobouky"/>
    <s v="Valašské Klobouky, Lipina 91, PSČ 76601"/>
    <s v="01700"/>
    <s v="Lov a odchyt divokých zvířat a související činnosti"/>
    <m/>
    <m/>
    <m/>
    <m/>
    <m/>
    <m/>
    <m/>
    <m/>
    <m/>
    <m/>
    <m/>
    <m/>
    <m/>
    <m/>
    <m/>
    <m/>
    <m/>
  </r>
  <r>
    <s v="75023083"/>
    <s v="Myslivecký spolek Lipina Počenice"/>
    <s v="706"/>
    <x v="1"/>
    <x v="3"/>
    <s v="Počenice-Tetětice"/>
    <s v="Počenice-Tetětice, Počenice 74, PSČ 76833"/>
    <s v="01700"/>
    <s v="Lov a odchyt divokých zvířat a související činnosti"/>
    <m/>
    <m/>
    <m/>
    <m/>
    <m/>
    <m/>
    <m/>
    <m/>
    <m/>
    <m/>
    <m/>
    <m/>
    <m/>
    <m/>
    <m/>
    <m/>
    <m/>
  </r>
  <r>
    <s v="65469607"/>
    <s v="Myslivecký spolek Lipky Leskovec"/>
    <s v="706"/>
    <x v="1"/>
    <x v="1"/>
    <s v="Leskovec"/>
    <s v="Leskovec 67, PSČ 75611"/>
    <s v="01700"/>
    <s v="Lov a odchyt divokých zvířat a související činnosti"/>
    <m/>
    <m/>
    <m/>
    <m/>
    <m/>
    <m/>
    <m/>
    <m/>
    <m/>
    <m/>
    <m/>
    <m/>
    <m/>
    <m/>
    <m/>
    <m/>
    <m/>
  </r>
  <r>
    <s v="63415666"/>
    <s v="Myslivecký spolek Litenčice, z.s."/>
    <s v="706"/>
    <x v="1"/>
    <x v="3"/>
    <s v="Rataje"/>
    <s v="Rataje, Popovice 126, PSČ 76812"/>
    <s v="01700"/>
    <s v="Lov a odchyt divokých zvířat a související činnosti"/>
    <m/>
    <m/>
    <m/>
    <m/>
    <m/>
    <m/>
    <m/>
    <m/>
    <m/>
    <m/>
    <m/>
    <m/>
    <m/>
    <m/>
    <m/>
    <m/>
    <m/>
  </r>
  <r>
    <s v="67010121"/>
    <s v="Myslivecký spolek LOKOV, z.s."/>
    <s v="706"/>
    <x v="1"/>
    <x v="2"/>
    <s v="Bojkovice"/>
    <s v="Bojkovice, Krhov 38, PSČ 68771"/>
    <s v="01700"/>
    <s v="Lov a odchyt divokých zvířat a související činnosti"/>
    <m/>
    <m/>
    <m/>
    <m/>
    <m/>
    <m/>
    <m/>
    <m/>
    <m/>
    <m/>
    <m/>
    <m/>
    <m/>
    <m/>
    <m/>
    <m/>
    <m/>
  </r>
  <r>
    <s v="26986221"/>
    <s v="Myslivecký spolek Lopeník"/>
    <s v="706"/>
    <x v="1"/>
    <x v="2"/>
    <s v="Lopeník"/>
    <s v="Lopeník 67, PSČ 68767"/>
    <s v="01700"/>
    <s v="Lov a odchyt divokých zvířat a související činnosti"/>
    <m/>
    <m/>
    <m/>
    <m/>
    <m/>
    <m/>
    <m/>
    <m/>
    <m/>
    <m/>
    <m/>
    <m/>
    <m/>
    <m/>
    <m/>
    <m/>
    <m/>
  </r>
  <r>
    <s v="48473260"/>
    <s v="Myslivecký spolek Loučka"/>
    <s v="706"/>
    <x v="1"/>
    <x v="0"/>
    <s v="Loučka"/>
    <s v="Loučka 141, PSČ 76325"/>
    <s v="01700"/>
    <s v="Lov a odchyt divokých zvířat a související činnosti"/>
    <m/>
    <m/>
    <m/>
    <m/>
    <m/>
    <m/>
    <m/>
    <m/>
    <m/>
    <m/>
    <m/>
    <m/>
    <m/>
    <m/>
    <m/>
    <m/>
    <m/>
  </r>
  <r>
    <s v="75104334"/>
    <s v="Myslivecký spolek Lovecká obec, z.s."/>
    <s v="706"/>
    <x v="1"/>
    <x v="2"/>
    <s v="Stříbrnice"/>
    <s v="Stříbrnice č.ev. 68, PSČ 687 09"/>
    <s v="01700"/>
    <s v="Lov a odchyt divokých zvířat a související činnosti"/>
    <m/>
    <m/>
    <m/>
    <m/>
    <m/>
    <m/>
    <m/>
    <m/>
    <m/>
    <m/>
    <m/>
    <m/>
    <m/>
    <m/>
    <m/>
    <m/>
    <m/>
  </r>
  <r>
    <s v="17476330"/>
    <s v="Myslivecký spolek Lověna - Brumov, z.s."/>
    <s v="706"/>
    <x v="1"/>
    <x v="0"/>
    <s v="Brumov-Bylnice"/>
    <s v="Brumov-Bylnice, Brumov, Mlýnská 1390, PSČ 76331"/>
    <s v="01700"/>
    <s v="Lov a odchyt divokých zvířat a související činnosti"/>
    <m/>
    <m/>
    <m/>
    <m/>
    <m/>
    <m/>
    <m/>
    <m/>
    <m/>
    <m/>
    <m/>
    <m/>
    <m/>
    <m/>
    <m/>
    <m/>
    <m/>
  </r>
  <r>
    <s v="47934697"/>
    <s v="Myslivecký spolek Ludslavice"/>
    <s v="706"/>
    <x v="1"/>
    <x v="3"/>
    <s v="Ludslavice"/>
    <s v="Ludslavice 31, PSČ 76852"/>
    <s v="01700"/>
    <s v="Lov a odchyt divokých zvířat a související činnosti"/>
    <m/>
    <m/>
    <m/>
    <m/>
    <m/>
    <m/>
    <m/>
    <m/>
    <m/>
    <m/>
    <m/>
    <m/>
    <m/>
    <m/>
    <m/>
    <m/>
    <m/>
  </r>
  <r>
    <s v="71172301"/>
    <s v="Myslivecký spolek Luhačovice"/>
    <s v="706"/>
    <x v="1"/>
    <x v="0"/>
    <s v="Luhačovice"/>
    <s v="Luhačovice, V Drahách 1128, PSČ 76326"/>
    <s v="01700"/>
    <s v="Lov a odchyt divokých zvířat a související činnosti"/>
    <m/>
    <m/>
    <m/>
    <m/>
    <m/>
    <m/>
    <m/>
    <m/>
    <m/>
    <m/>
    <m/>
    <m/>
    <m/>
    <m/>
    <m/>
    <m/>
    <m/>
  </r>
  <r>
    <s v="48471071"/>
    <s v="Myslivecký spolek Lukov-Vlčková z.s."/>
    <s v="706"/>
    <x v="1"/>
    <x v="0"/>
    <s v="Lukov"/>
    <s v="Lukov, Hrušoví 41, PSČ 76317"/>
    <s v="01700"/>
    <s v="Lov a odchyt divokých zvířat a související činnosti"/>
    <m/>
    <m/>
    <m/>
    <m/>
    <m/>
    <m/>
    <m/>
    <m/>
    <m/>
    <m/>
    <m/>
    <m/>
    <m/>
    <m/>
    <m/>
    <m/>
    <m/>
  </r>
  <r>
    <s v="46277137"/>
    <s v="Myslivecký spolek Lutonina"/>
    <s v="706"/>
    <x v="1"/>
    <x v="0"/>
    <s v="Lutonina"/>
    <s v="Lutonina 4, PSČ 76312"/>
    <s v="01700"/>
    <s v="Lov a odchyt divokých zvířat a související činnosti"/>
    <m/>
    <m/>
    <m/>
    <m/>
    <m/>
    <m/>
    <m/>
    <m/>
    <m/>
    <m/>
    <m/>
    <m/>
    <m/>
    <m/>
    <m/>
    <m/>
    <m/>
  </r>
  <r>
    <s v="47930586"/>
    <s v="Myslivecký spolek Lutopecny - Měrůtky"/>
    <s v="706"/>
    <x v="1"/>
    <x v="3"/>
    <s v="Lutopecny"/>
    <s v="Lutopecny 1, PSČ 76701"/>
    <s v="01700"/>
    <s v="Lov a odchyt divokých zvířat a související činnosti"/>
    <m/>
    <m/>
    <m/>
    <m/>
    <m/>
    <m/>
    <m/>
    <m/>
    <m/>
    <m/>
    <m/>
    <m/>
    <m/>
    <m/>
    <m/>
    <m/>
    <m/>
  </r>
  <r>
    <s v="47863846"/>
    <s v="Myslivecký spolek Makyta"/>
    <s v="706"/>
    <x v="1"/>
    <x v="0"/>
    <s v="Valašské Příkazy"/>
    <s v="Valašské Příkazy 59, PSČ 75612"/>
    <s v="01700"/>
    <s v="Lov a odchyt divokých zvířat a související činnosti"/>
    <m/>
    <m/>
    <m/>
    <m/>
    <m/>
    <m/>
    <m/>
    <m/>
    <m/>
    <m/>
    <m/>
    <m/>
    <m/>
    <m/>
    <m/>
    <m/>
    <m/>
  </r>
  <r>
    <s v="72029994"/>
    <s v="Myslivecký spolek Malá Bystřice"/>
    <s v="706"/>
    <x v="1"/>
    <x v="1"/>
    <s v="Malá Bystřice"/>
    <s v="Malá Bystřice 55, PSČ 75627"/>
    <s v="01700"/>
    <s v="Lov a odchyt divokých zvířat a související činnosti"/>
    <m/>
    <m/>
    <m/>
    <m/>
    <m/>
    <m/>
    <m/>
    <m/>
    <m/>
    <m/>
    <m/>
    <m/>
    <m/>
    <m/>
    <m/>
    <m/>
    <m/>
  </r>
  <r>
    <s v="47935138"/>
    <s v="Myslivecký spolek Martinice"/>
    <s v="706"/>
    <x v="1"/>
    <x v="3"/>
    <s v="Martinice"/>
    <s v="Martinice 16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47934905"/>
    <s v="Myslivecký spolek Míškovice"/>
    <s v="706"/>
    <x v="1"/>
    <x v="3"/>
    <s v="Míškovice"/>
    <s v="Míškovice 15, PSČ 76852"/>
    <s v="01700"/>
    <s v="Lov a odchyt divokých zvířat a související činnosti"/>
    <m/>
    <m/>
    <m/>
    <m/>
    <m/>
    <m/>
    <m/>
    <m/>
    <m/>
    <m/>
    <m/>
    <m/>
    <m/>
    <m/>
    <m/>
    <m/>
    <m/>
  </r>
  <r>
    <s v="46256792"/>
    <s v="Myslivecký spolek Modrá voda Záhorovice, z. s."/>
    <s v="706"/>
    <x v="1"/>
    <x v="2"/>
    <s v="Záhorovice"/>
    <s v="Záhorovice 331, PSČ 68771"/>
    <s v="01700"/>
    <s v="Lov a odchyt divokých zvířat a související činnosti"/>
    <m/>
    <m/>
    <m/>
    <m/>
    <m/>
    <m/>
    <m/>
    <m/>
    <m/>
    <m/>
    <m/>
    <m/>
    <m/>
    <m/>
    <m/>
    <m/>
    <m/>
  </r>
  <r>
    <s v="47930535"/>
    <s v="Myslivecký spolek Mrlínek"/>
    <s v="706"/>
    <x v="1"/>
    <x v="3"/>
    <s v="Mrlínek"/>
    <s v="Mrlínek 10, PSČ 76861"/>
    <s v="01700"/>
    <s v="Lov a odchyt divokých zvířat a související činnosti"/>
    <s v="Výroba, obchod a služby neuvedené v přílohách 1 až 3 živnostenského zákona"/>
    <s v="Stravování v restauracích, u stánků a v mobilních zařízeních"/>
    <s v="Destilace, rektifikace a míchání lihovin"/>
    <m/>
    <m/>
    <m/>
    <m/>
    <m/>
    <m/>
    <m/>
    <m/>
    <m/>
    <m/>
    <m/>
    <m/>
    <m/>
    <m/>
  </r>
  <r>
    <s v="48472140"/>
    <s v="Myslivecký spolek MS - PK Pohořelice"/>
    <s v="706"/>
    <x v="1"/>
    <x v="0"/>
    <s v="Pohořelice"/>
    <s v="Pohořelice, Školní 35, PSČ 76361"/>
    <s v="01700"/>
    <s v="Lov a odchyt divokých zvířat a související činnosti"/>
    <m/>
    <m/>
    <m/>
    <m/>
    <m/>
    <m/>
    <m/>
    <m/>
    <m/>
    <m/>
    <m/>
    <m/>
    <m/>
    <m/>
    <m/>
    <m/>
    <m/>
  </r>
  <r>
    <s v="66598095"/>
    <s v="Myslivecký spolek Napajedla"/>
    <s v="706"/>
    <x v="1"/>
    <x v="0"/>
    <s v="Napajedla"/>
    <s v="Napajedla, 2. května 1595, PSČ 76361"/>
    <s v="01700"/>
    <s v="Lov a odchyt divokých zvířat a související činnosti"/>
    <m/>
    <m/>
    <m/>
    <m/>
    <m/>
    <m/>
    <m/>
    <m/>
    <m/>
    <m/>
    <m/>
    <m/>
    <m/>
    <m/>
    <m/>
    <m/>
    <m/>
  </r>
  <r>
    <s v="71251511"/>
    <s v="Myslivecký spolek Návojná"/>
    <s v="706"/>
    <x v="1"/>
    <x v="0"/>
    <s v="Návojná"/>
    <s v="Návojná 122, PSČ 76332"/>
    <s v="01700"/>
    <s v="Lov a odchyt divokých zvířat a související činnosti"/>
    <m/>
    <m/>
    <m/>
    <m/>
    <m/>
    <m/>
    <m/>
    <m/>
    <m/>
    <m/>
    <m/>
    <m/>
    <m/>
    <m/>
    <m/>
    <m/>
    <m/>
  </r>
  <r>
    <s v="75139995"/>
    <s v="Myslivecký spolek Nedakonice"/>
    <s v="706"/>
    <x v="1"/>
    <x v="2"/>
    <s v="Nedakonice"/>
    <s v="Nedakonice 33, PSČ 68738"/>
    <s v="01700"/>
    <s v="Lov a odchyt divokých zvířat a související činnosti"/>
    <m/>
    <m/>
    <m/>
    <m/>
    <m/>
    <m/>
    <m/>
    <m/>
    <m/>
    <m/>
    <m/>
    <m/>
    <m/>
    <m/>
    <m/>
    <m/>
    <m/>
  </r>
  <r>
    <s v="61716308"/>
    <s v="Myslivecký spolek Nedašov,z.s."/>
    <s v="706"/>
    <x v="1"/>
    <x v="0"/>
    <s v="Nedašov"/>
    <s v="Nedašov 350, PSČ 76332"/>
    <s v="01700"/>
    <s v="Lov a odchyt divokých zvířat a související činnosti"/>
    <m/>
    <m/>
    <m/>
    <m/>
    <m/>
    <m/>
    <m/>
    <m/>
    <m/>
    <m/>
    <m/>
    <m/>
    <m/>
    <m/>
    <m/>
    <m/>
    <m/>
  </r>
  <r>
    <s v="48473359"/>
    <s v="Myslivecký spolek Nevšová"/>
    <s v="706"/>
    <x v="1"/>
    <x v="0"/>
    <s v="Slavičín"/>
    <s v="Slavičín, Nevšová 43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71216219"/>
    <s v="Myslivecký spolek Niva Šumice z.s."/>
    <s v="706"/>
    <x v="1"/>
    <x v="2"/>
    <s v="Šumice"/>
    <s v="Šumice 400, PSČ 68731"/>
    <s v="01700"/>
    <s v="Lov a odchyt divokých zvířat a související činnosti"/>
    <m/>
    <m/>
    <m/>
    <m/>
    <m/>
    <m/>
    <m/>
    <m/>
    <m/>
    <m/>
    <m/>
    <m/>
    <m/>
    <m/>
    <m/>
    <m/>
    <m/>
  </r>
  <r>
    <s v="62335391"/>
    <s v="Myslivecký spolek Nivka - Semetín"/>
    <s v="706"/>
    <x v="1"/>
    <x v="1"/>
    <s v="Ratiboř"/>
    <s v="Ratiboř 137, PSČ 75621"/>
    <s v="01700"/>
    <s v="Lov a odchyt divokých zvířat a související činnosti"/>
    <m/>
    <m/>
    <m/>
    <m/>
    <m/>
    <m/>
    <m/>
    <m/>
    <m/>
    <m/>
    <m/>
    <m/>
    <m/>
    <m/>
    <m/>
    <m/>
    <m/>
  </r>
  <r>
    <s v="62334662"/>
    <s v="Myslivecký spolek Nový Hrozenkov"/>
    <s v="706"/>
    <x v="1"/>
    <x v="1"/>
    <s v="Nový Hrozenkov"/>
    <s v="Nový Hrozenkov č. ev. 25, PSČ 75604"/>
    <s v="01700"/>
    <s v="Lov a odchyt divokých zvířat a související činnosti"/>
    <s v="Velkoobchod a maloobchod; opravy a údržba motorových vozidel"/>
    <s v="Destilace, rektifikace a míchání lihovin"/>
    <s v="Stravování v restauracích, u stánků a v mobilních zařízeních"/>
    <m/>
    <m/>
    <m/>
    <m/>
    <m/>
    <m/>
    <m/>
    <m/>
    <m/>
    <m/>
    <m/>
    <m/>
    <m/>
    <m/>
  </r>
  <r>
    <s v="70972699"/>
    <s v="Myslivecký spolek OCHOZY Bystřice pod Hostýnem"/>
    <s v="706"/>
    <x v="1"/>
    <x v="3"/>
    <s v="Bystřice pod Hostýnem"/>
    <s v="Bystřice pod Hostýnem, Rychlov, Přerovská 205, PSČ 76861"/>
    <s v="0170"/>
    <s v="Lov a odchyt divokých zvířat a související činnosti"/>
    <m/>
    <m/>
    <m/>
    <m/>
    <m/>
    <m/>
    <m/>
    <m/>
    <m/>
    <m/>
    <m/>
    <m/>
    <m/>
    <m/>
    <m/>
    <m/>
    <m/>
  </r>
  <r>
    <s v="72032634"/>
    <s v="Myslivecký spolek Ořechov z.s."/>
    <s v="706"/>
    <x v="1"/>
    <x v="2"/>
    <s v="Ořechov"/>
    <s v="Ořechov 105, PSČ 68737"/>
    <s v="01700"/>
    <s v="Lov a odchyt divokých zvířat a související činnosti"/>
    <m/>
    <m/>
    <m/>
    <m/>
    <m/>
    <m/>
    <m/>
    <m/>
    <m/>
    <m/>
    <m/>
    <m/>
    <m/>
    <m/>
    <m/>
    <m/>
    <m/>
  </r>
  <r>
    <s v="67029582"/>
    <s v="Myslivecký spolek Ostrožská Lhota"/>
    <s v="706"/>
    <x v="1"/>
    <x v="2"/>
    <s v="Ostrožská Lhota"/>
    <s v="Ostrožská Lhota 162, PSČ 68723"/>
    <s v="01700"/>
    <s v="Lov a odchyt divokých zvířat a související činnosti"/>
    <m/>
    <m/>
    <m/>
    <m/>
    <m/>
    <m/>
    <m/>
    <m/>
    <m/>
    <m/>
    <m/>
    <m/>
    <m/>
    <m/>
    <m/>
    <m/>
    <m/>
  </r>
  <r>
    <s v="66598354"/>
    <s v="Myslivecký spolek Ostrožsko"/>
    <s v="706"/>
    <x v="1"/>
    <x v="2"/>
    <s v="Uherský Ostroh"/>
    <s v="Uherský Ostroh, Třebízského 385, PSČ 68724"/>
    <s v="01700"/>
    <s v="Lov a odchyt divokých zvířat a související činnosti"/>
    <m/>
    <m/>
    <m/>
    <m/>
    <m/>
    <m/>
    <m/>
    <m/>
    <m/>
    <m/>
    <m/>
    <m/>
    <m/>
    <m/>
    <m/>
    <m/>
    <m/>
  </r>
  <r>
    <s v="48472689"/>
    <s v="Myslivecký spolek Ostřice"/>
    <s v="706"/>
    <x v="1"/>
    <x v="0"/>
    <s v="Zlín"/>
    <s v="Zlín, Malenovice, Tečovská 1052, PSČ 76302"/>
    <s v="01700"/>
    <s v="Lov a odchyt divokých zvířat a související činnosti"/>
    <m/>
    <m/>
    <m/>
    <m/>
    <m/>
    <m/>
    <m/>
    <m/>
    <m/>
    <m/>
    <m/>
    <m/>
    <m/>
    <m/>
    <m/>
    <m/>
    <m/>
  </r>
  <r>
    <s v="65326687"/>
    <s v="Myslivecký spolek Osvětimany, z.s."/>
    <s v="706"/>
    <x v="1"/>
    <x v="2"/>
    <s v="Osvětimany"/>
    <s v="Osvětimany 350, PSČ 68742"/>
    <s v="01700"/>
    <s v="Lov a odchyt divokých zvířat a související činnosti"/>
    <m/>
    <m/>
    <m/>
    <m/>
    <m/>
    <m/>
    <m/>
    <m/>
    <m/>
    <m/>
    <m/>
    <m/>
    <m/>
    <m/>
    <m/>
    <m/>
    <m/>
  </r>
  <r>
    <s v="47930233"/>
    <s v="Myslivecký spolek Pačlavice"/>
    <s v="706"/>
    <x v="1"/>
    <x v="3"/>
    <s v="Pačlavice"/>
    <s v="Pačlavice, Lhota 123, PSČ 76834"/>
    <s v="01700"/>
    <s v="Lov a odchyt divokých zvířat a související činnosti"/>
    <m/>
    <m/>
    <m/>
    <m/>
    <m/>
    <m/>
    <m/>
    <m/>
    <m/>
    <m/>
    <m/>
    <m/>
    <m/>
    <m/>
    <m/>
    <m/>
    <m/>
  </r>
  <r>
    <s v="65338171"/>
    <s v="Myslivecký spolek Pitín-Hostětín, z.s."/>
    <s v="706"/>
    <x v="1"/>
    <x v="2"/>
    <s v="Pitín"/>
    <s v="Pitín č. ev. 7, PSČ 68771"/>
    <s v="01700"/>
    <s v="Lov a odchyt divokých zvířat a související činnosti"/>
    <m/>
    <m/>
    <m/>
    <m/>
    <m/>
    <m/>
    <m/>
    <m/>
    <m/>
    <m/>
    <m/>
    <m/>
    <m/>
    <m/>
    <m/>
    <m/>
    <m/>
  </r>
  <r>
    <s v="48489735"/>
    <s v="Myslivecký spolek Podhájí-Újezdec u Luhačovic"/>
    <s v="706"/>
    <x v="1"/>
    <x v="2"/>
    <s v="Uherský Brod"/>
    <s v="Uherský Brod, Újezdec 374, PSČ 68734"/>
    <s v="01700"/>
    <s v="Lov a odchyt divokých zvířat a související činnosti"/>
    <m/>
    <m/>
    <m/>
    <m/>
    <m/>
    <m/>
    <m/>
    <m/>
    <m/>
    <m/>
    <m/>
    <m/>
    <m/>
    <m/>
    <m/>
    <m/>
    <m/>
  </r>
  <r>
    <s v="47930497"/>
    <s v="Myslivecký spolek PODHOŘÍ Loukov, z.s."/>
    <s v="706"/>
    <x v="1"/>
    <x v="3"/>
    <s v="Loukov"/>
    <s v="Loukov 199, PSČ 76875"/>
    <s v="01700"/>
    <s v="Lov a odchyt divokých zvířat a související činnosti"/>
    <m/>
    <m/>
    <m/>
    <m/>
    <m/>
    <m/>
    <m/>
    <m/>
    <m/>
    <m/>
    <m/>
    <m/>
    <m/>
    <m/>
    <m/>
    <m/>
    <m/>
  </r>
  <r>
    <s v="47930390"/>
    <s v="Myslivecký spolek Podhradní Lhota"/>
    <s v="706"/>
    <x v="1"/>
    <x v="3"/>
    <s v="Podhradní Lhota"/>
    <s v="Podhradní Lhota 150, PSČ 76871"/>
    <s v="01700"/>
    <s v="Lov a odchyt divokých zvířat a související činnosti"/>
    <m/>
    <m/>
    <m/>
    <m/>
    <m/>
    <m/>
    <m/>
    <m/>
    <m/>
    <m/>
    <m/>
    <m/>
    <m/>
    <m/>
    <m/>
    <m/>
    <m/>
  </r>
  <r>
    <s v="47863960"/>
    <s v="Myslivecký spolek Podhůří Kunovice"/>
    <s v="706"/>
    <x v="1"/>
    <x v="1"/>
    <s v="Kunovice"/>
    <s v="Kunovice 153, PSČ 75644"/>
    <s v="01700"/>
    <s v="Lov a odchyt divokých zvířat a související činnosti"/>
    <m/>
    <m/>
    <m/>
    <m/>
    <m/>
    <m/>
    <m/>
    <m/>
    <m/>
    <m/>
    <m/>
    <m/>
    <m/>
    <m/>
    <m/>
    <m/>
    <m/>
  </r>
  <r>
    <s v="48472646"/>
    <s v="Myslivecký spolek Podlesí Halenkovice"/>
    <s v="706"/>
    <x v="1"/>
    <x v="0"/>
    <s v="Halenkovice"/>
    <s v="Halenkovice 380, PSČ 76363"/>
    <s v="01700"/>
    <s v="Lov a odchyt divokých zvířat a související činnosti"/>
    <m/>
    <m/>
    <m/>
    <m/>
    <m/>
    <m/>
    <m/>
    <m/>
    <m/>
    <m/>
    <m/>
    <m/>
    <m/>
    <m/>
    <m/>
    <m/>
    <m/>
  </r>
  <r>
    <s v="46277391"/>
    <s v="Myslivecký spolek Polichno"/>
    <s v="706"/>
    <x v="1"/>
    <x v="0"/>
    <s v="Luhačovice"/>
    <s v="Luhačovice, Polichno 1, PSČ 76341"/>
    <s v="01700"/>
    <s v="Lov a odchyt divokých zvířat a související činnosti"/>
    <m/>
    <m/>
    <m/>
    <m/>
    <m/>
    <m/>
    <m/>
    <m/>
    <m/>
    <m/>
    <m/>
    <m/>
    <m/>
    <m/>
    <m/>
    <m/>
    <m/>
  </r>
  <r>
    <s v="65469763"/>
    <s v="Myslivecký spolek Portáš Huslenky"/>
    <s v="706"/>
    <x v="1"/>
    <x v="1"/>
    <s v="Huslenky"/>
    <s v="Huslenky 614, PSČ 75602"/>
    <s v="01700"/>
    <s v="Lov a odchyt divokých zvířat a související činnosti"/>
    <m/>
    <m/>
    <m/>
    <m/>
    <m/>
    <m/>
    <m/>
    <m/>
    <m/>
    <m/>
    <m/>
    <m/>
    <m/>
    <m/>
    <m/>
    <m/>
    <m/>
  </r>
  <r>
    <s v="47930519"/>
    <s v="Myslivecký spolek Postoupky-Hradisko"/>
    <s v="706"/>
    <x v="1"/>
    <x v="3"/>
    <s v="Kroměříž"/>
    <s v="Kroměříž, Postoupky 69, PSČ 76701"/>
    <s v="01700"/>
    <s v="Lov a odchyt divokých zvířat a související činnosti"/>
    <m/>
    <m/>
    <m/>
    <m/>
    <m/>
    <m/>
    <m/>
    <m/>
    <m/>
    <m/>
    <m/>
    <m/>
    <m/>
    <m/>
    <m/>
    <m/>
    <m/>
  </r>
  <r>
    <s v="49158341"/>
    <s v="Myslivecký spolek Poteč"/>
    <s v="706"/>
    <x v="1"/>
    <x v="0"/>
    <s v="Poteč"/>
    <s v="Poteč 12, PSČ 76601"/>
    <s v="01700"/>
    <s v="Lov a odchyt divokých zvířat a související činnosti"/>
    <m/>
    <m/>
    <m/>
    <m/>
    <m/>
    <m/>
    <m/>
    <m/>
    <m/>
    <m/>
    <m/>
    <m/>
    <m/>
    <m/>
    <m/>
    <m/>
    <m/>
  </r>
  <r>
    <s v="47933607"/>
    <s v="Myslivecký spolek Pravčice, z.s."/>
    <s v="706"/>
    <x v="1"/>
    <x v="3"/>
    <s v="Pravčice"/>
    <s v="Pravčice 157, PSČ 76824"/>
    <s v="01700"/>
    <s v="Lov a odchyt divokých zvířat a související činnosti"/>
    <m/>
    <m/>
    <m/>
    <m/>
    <m/>
    <m/>
    <m/>
    <m/>
    <m/>
    <m/>
    <m/>
    <m/>
    <m/>
    <m/>
    <m/>
    <m/>
    <m/>
  </r>
  <r>
    <s v="70896046"/>
    <s v="Myslivecký spolek Přehrada Karolinka z.s."/>
    <s v="706"/>
    <x v="1"/>
    <x v="1"/>
    <s v="Karolinka"/>
    <s v="Karolinka, Stanovnice 708, PSČ 75605"/>
    <s v="01700"/>
    <s v="Lov a odchyt divokých zvířat a související činnosti"/>
    <m/>
    <m/>
    <m/>
    <m/>
    <m/>
    <m/>
    <m/>
    <m/>
    <m/>
    <m/>
    <m/>
    <m/>
    <m/>
    <m/>
    <m/>
    <m/>
    <m/>
  </r>
  <r>
    <s v="71186735"/>
    <s v="Myslivecký spolek Příluky - Lůžkovice"/>
    <s v="706"/>
    <x v="1"/>
    <x v="0"/>
    <s v="Zlín"/>
    <s v="Zlín, Lužkovice, Zádědina 68, PSČ 76311"/>
    <s v="01700"/>
    <s v="Lov a odchyt divokých zvířat a související činnosti"/>
    <m/>
    <m/>
    <m/>
    <m/>
    <m/>
    <m/>
    <m/>
    <m/>
    <m/>
    <m/>
    <m/>
    <m/>
    <m/>
    <m/>
    <m/>
    <m/>
    <m/>
  </r>
  <r>
    <s v="49156047"/>
    <s v="Myslivecký spolek Racková"/>
    <s v="706"/>
    <x v="1"/>
    <x v="0"/>
    <s v="Racková"/>
    <s v="Racková 220, PSČ 76001"/>
    <s v="01700"/>
    <s v="Lov a odchyt divokých zvířat a související činnosti"/>
    <m/>
    <m/>
    <m/>
    <m/>
    <m/>
    <m/>
    <m/>
    <m/>
    <m/>
    <m/>
    <m/>
    <m/>
    <m/>
    <m/>
    <m/>
    <m/>
    <m/>
  </r>
  <r>
    <s v="47658878"/>
    <s v="Myslivecký spolek Radegast-Prostřední Bečva"/>
    <s v="706"/>
    <x v="1"/>
    <x v="1"/>
    <s v="Prostřední Bečva"/>
    <s v="Prostřední Bečva 232, PSČ 75656"/>
    <s v="01700"/>
    <s v="Lov a odchyt divokých zvířat a související činnosti"/>
    <m/>
    <m/>
    <m/>
    <m/>
    <m/>
    <m/>
    <m/>
    <m/>
    <m/>
    <m/>
    <m/>
    <m/>
    <m/>
    <m/>
    <m/>
    <m/>
    <m/>
  </r>
  <r>
    <s v="47935324"/>
    <s v="Myslivecký spolek Rataje"/>
    <s v="706"/>
    <x v="1"/>
    <x v="3"/>
    <s v="Rataje"/>
    <s v="Rataje 139, PSČ 76812"/>
    <s v="01700"/>
    <s v="Lov a odchyt divokých zvířat a související činnosti"/>
    <m/>
    <m/>
    <m/>
    <m/>
    <m/>
    <m/>
    <m/>
    <m/>
    <m/>
    <m/>
    <m/>
    <m/>
    <m/>
    <m/>
    <m/>
    <m/>
    <m/>
  </r>
  <r>
    <s v="47658606"/>
    <s v="Myslivecký spolek Ratiboř - Červené"/>
    <s v="706"/>
    <x v="1"/>
    <x v="1"/>
    <s v="Ratiboř"/>
    <s v="Ratiboř č. ev. 39, PSČ 75621"/>
    <s v="01700"/>
    <s v="Lov a odchyt divokých zvířat a související činnosti"/>
    <m/>
    <m/>
    <m/>
    <m/>
    <m/>
    <m/>
    <m/>
    <m/>
    <m/>
    <m/>
    <m/>
    <m/>
    <m/>
    <m/>
    <m/>
    <m/>
    <m/>
  </r>
  <r>
    <s v="71221468"/>
    <s v="Myslivecký spolek Rochus Jarošov"/>
    <s v="706"/>
    <x v="1"/>
    <x v="2"/>
    <s v="Uherské Hradiště"/>
    <s v="Uherské Hradiště, Jarošov, U Bagru 101, PSČ 68601"/>
    <s v="01700"/>
    <s v="Lov a odchyt divokých zvířat a související činnosti"/>
    <m/>
    <m/>
    <m/>
    <m/>
    <m/>
    <m/>
    <m/>
    <m/>
    <m/>
    <m/>
    <m/>
    <m/>
    <m/>
    <m/>
    <m/>
    <m/>
    <m/>
  </r>
  <r>
    <s v="47934981"/>
    <s v="Myslivecký spolek ROŠTĚNÍ, z.s."/>
    <s v="706"/>
    <x v="1"/>
    <x v="3"/>
    <s v="Roštění"/>
    <s v="Roštění 144, PSČ 76843"/>
    <s v="01700"/>
    <s v="Lov a odchyt divokých zvířat a související činnosti"/>
    <m/>
    <m/>
    <m/>
    <m/>
    <m/>
    <m/>
    <m/>
    <m/>
    <m/>
    <m/>
    <m/>
    <m/>
    <m/>
    <m/>
    <m/>
    <m/>
    <m/>
  </r>
  <r>
    <s v="47933691"/>
    <s v="Myslivecký spolek Roštín"/>
    <s v="706"/>
    <x v="1"/>
    <x v="3"/>
    <s v="Roštín"/>
    <s v="Roštín 450, PSČ 76803"/>
    <s v="01700"/>
    <s v="Lov a odchyt divokých zvířat a související činnosti"/>
    <m/>
    <m/>
    <m/>
    <m/>
    <m/>
    <m/>
    <m/>
    <m/>
    <m/>
    <m/>
    <m/>
    <m/>
    <m/>
    <m/>
    <m/>
    <m/>
    <m/>
  </r>
  <r>
    <s v="64123855"/>
    <s v="Myslivecký spolek Rožnov-Sever"/>
    <s v="706"/>
    <x v="1"/>
    <x v="1"/>
    <s v="Rožnov pod Radhoštěm"/>
    <s v="Rožnov pod Radhoštěm, Ostravská 704, PSČ 75661"/>
    <s v="01700"/>
    <s v="Lov a odchyt divokých zvířat a související činnosti"/>
    <m/>
    <m/>
    <m/>
    <m/>
    <m/>
    <m/>
    <m/>
    <m/>
    <m/>
    <m/>
    <m/>
    <m/>
    <m/>
    <m/>
    <m/>
    <m/>
    <m/>
  </r>
  <r>
    <s v="65823052"/>
    <s v="Myslivecký spolek Rudimov"/>
    <s v="706"/>
    <x v="1"/>
    <x v="0"/>
    <s v="Rudimov"/>
    <s v="Rudimov 123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47934999"/>
    <s v="MYSLIVECKÝ SPOLEK RYMICE"/>
    <s v="706"/>
    <x v="1"/>
    <x v="3"/>
    <s v="Rymice"/>
    <s v="Rymice 4, PSČ 76901"/>
    <s v="01700"/>
    <s v="Lov a odchyt divokých zvířat a související činnosti"/>
    <m/>
    <m/>
    <m/>
    <m/>
    <m/>
    <m/>
    <m/>
    <m/>
    <m/>
    <m/>
    <m/>
    <m/>
    <m/>
    <m/>
    <m/>
    <m/>
    <m/>
  </r>
  <r>
    <s v="67007503"/>
    <s v="Myslivecký spolek Rýsov Provodov z.s."/>
    <s v="706"/>
    <x v="1"/>
    <x v="0"/>
    <s v="Provodov"/>
    <s v="Provodov 28, PSČ 76345"/>
    <s v="01700"/>
    <s v="Lov a odchyt divokých zvířat a související činnosti"/>
    <m/>
    <m/>
    <m/>
    <m/>
    <m/>
    <m/>
    <m/>
    <m/>
    <m/>
    <m/>
    <m/>
    <m/>
    <m/>
    <m/>
    <m/>
    <m/>
    <m/>
  </r>
  <r>
    <s v="64124053"/>
    <s v="Myslivecký spolek Rysová Vigantice, z.s."/>
    <s v="706"/>
    <x v="1"/>
    <x v="1"/>
    <s v="Vigantice"/>
    <s v="Vigantice 7, PSČ 75661"/>
    <s v="01700"/>
    <s v="Lov a odchyt divokých zvířat a související činnosti"/>
    <m/>
    <m/>
    <m/>
    <m/>
    <m/>
    <m/>
    <m/>
    <m/>
    <m/>
    <m/>
    <m/>
    <m/>
    <m/>
    <m/>
    <m/>
    <m/>
    <m/>
  </r>
  <r>
    <s v="48472034"/>
    <s v="Myslivecký spolek Řetechov - Skalky, z. s."/>
    <s v="706"/>
    <x v="1"/>
    <x v="0"/>
    <s v="Luhačovice"/>
    <s v="Luhačovice, Řetechov 16, PSČ 76326"/>
    <s v="01700"/>
    <s v="Lov a odchyt divokých zvířat a související činnosti"/>
    <m/>
    <m/>
    <m/>
    <m/>
    <m/>
    <m/>
    <m/>
    <m/>
    <m/>
    <m/>
    <m/>
    <m/>
    <m/>
    <m/>
    <m/>
    <m/>
    <m/>
  </r>
  <r>
    <s v="49156802"/>
    <s v="Myslivecký spolek Sehradice"/>
    <s v="706"/>
    <x v="1"/>
    <x v="0"/>
    <s v="Sehradice"/>
    <s v="Sehradice 64, PSČ 76323"/>
    <s v="01700"/>
    <s v="Lov a odchyt divokých zvířat a související činnosti"/>
    <m/>
    <m/>
    <m/>
    <m/>
    <m/>
    <m/>
    <m/>
    <m/>
    <m/>
    <m/>
    <m/>
    <m/>
    <m/>
    <m/>
    <m/>
    <m/>
    <m/>
  </r>
  <r>
    <s v="48472379"/>
    <s v="Myslivecký spolek Sidonie - Cigán, z.s."/>
    <s v="706"/>
    <x v="1"/>
    <x v="0"/>
    <s v="Brumov-Bylnice"/>
    <s v="Brumov-Bylnice, Brumov, Družba 1188, PSČ 76331"/>
    <s v="01700"/>
    <s v="Lov a odchyt divokých zvířat a související činnosti"/>
    <m/>
    <m/>
    <m/>
    <m/>
    <m/>
    <m/>
    <m/>
    <m/>
    <m/>
    <m/>
    <m/>
    <m/>
    <m/>
    <m/>
    <m/>
    <m/>
    <m/>
  </r>
  <r>
    <s v="65341945"/>
    <s v="Myslivecký spolek Skalka z. s."/>
    <s v="706"/>
    <x v="1"/>
    <x v="0"/>
    <s v="Otrokovice"/>
    <s v="Otrokovice, Terezov 282, PSČ 76502"/>
    <s v="01700"/>
    <s v="Lov a odchyt divokých zvířat a související činnosti"/>
    <m/>
    <m/>
    <m/>
    <m/>
    <m/>
    <m/>
    <m/>
    <m/>
    <m/>
    <m/>
    <m/>
    <m/>
    <m/>
    <m/>
    <m/>
    <m/>
    <m/>
  </r>
  <r>
    <s v="49156136"/>
    <s v="Myslivecký spolek Slopné"/>
    <s v="706"/>
    <x v="1"/>
    <x v="0"/>
    <s v="Slopné"/>
    <s v="Slopné 112, PSČ 76323"/>
    <s v="01700"/>
    <s v="Lov a odchyt divokých zvířat a související činnosti"/>
    <m/>
    <m/>
    <m/>
    <m/>
    <m/>
    <m/>
    <m/>
    <m/>
    <m/>
    <m/>
    <m/>
    <m/>
    <m/>
    <m/>
    <m/>
    <m/>
    <m/>
  </r>
  <r>
    <s v="70938351"/>
    <s v="Myslivecký spolek Slovácko Polešovice"/>
    <s v="706"/>
    <x v="1"/>
    <x v="2"/>
    <s v="Polešovice"/>
    <s v="Polešovice 790, PSČ 68737"/>
    <s v="01700"/>
    <s v="Lov a odchyt divokých zvířat a související činnosti"/>
    <s v="Velkoobchod a maloobchod; opravy a údržba motorových vozidel"/>
    <s v="Stravování v restauracích, u stánků a v mobilních zařízeních"/>
    <s v="Podpůrné činnosti pro scénická umění"/>
    <s v="Destilace, rektifikace a míchání lihovin"/>
    <m/>
    <m/>
    <m/>
    <m/>
    <m/>
    <m/>
    <m/>
    <m/>
    <m/>
    <m/>
    <m/>
    <m/>
    <m/>
  </r>
  <r>
    <s v="62181831"/>
    <s v="Myslivecký spolek SMOLINA"/>
    <s v="706"/>
    <x v="1"/>
    <x v="0"/>
    <s v="Valašské Klobouky"/>
    <s v="Valašské Klobouky, Smolina 62, PSČ 76601"/>
    <s v="01700"/>
    <s v="Lov a odchyt divokých zvířat a související činnosti"/>
    <s v="Stravování v restauracích, u stánků a v mobilních zařízeních"/>
    <s v="Destilace, rektifikace a míchání lihovin"/>
    <m/>
    <m/>
    <m/>
    <m/>
    <m/>
    <m/>
    <m/>
    <m/>
    <m/>
    <m/>
    <m/>
    <m/>
    <m/>
    <m/>
    <m/>
  </r>
  <r>
    <s v="48773743"/>
    <s v="Myslivecký spolek Srnová - Krhová"/>
    <s v="706"/>
    <x v="1"/>
    <x v="1"/>
    <s v="Valašské Meziříčí"/>
    <s v="Valašské Meziříčí, Bynina 44, PSČ 75701"/>
    <s v="01700"/>
    <s v="Lov a odchyt divokých zvířat a související činnosti"/>
    <m/>
    <m/>
    <m/>
    <m/>
    <m/>
    <m/>
    <m/>
    <m/>
    <m/>
    <m/>
    <m/>
    <m/>
    <m/>
    <m/>
    <m/>
    <m/>
    <m/>
  </r>
  <r>
    <s v="70905037"/>
    <s v="Myslivecký spolek STRÁNĚ"/>
    <s v="706"/>
    <x v="1"/>
    <x v="2"/>
    <s v="Újezdec"/>
    <s v="Újezdec 68, PSČ 68741"/>
    <s v="01700"/>
    <s v="Lov a odchyt divokých zvířat a související činnosti"/>
    <m/>
    <m/>
    <m/>
    <m/>
    <m/>
    <m/>
    <m/>
    <m/>
    <m/>
    <m/>
    <m/>
    <m/>
    <m/>
    <m/>
    <m/>
    <m/>
    <m/>
  </r>
  <r>
    <s v="69211779"/>
    <s v="Myslivecký spolek Stráž Choryně"/>
    <s v="706"/>
    <x v="1"/>
    <x v="1"/>
    <s v="Choryně"/>
    <s v="Choryně 196, PSČ 75642"/>
    <s v="01700"/>
    <s v="Lov a odchyt divokých zvířat a související činnosti"/>
    <m/>
    <m/>
    <m/>
    <m/>
    <m/>
    <m/>
    <m/>
    <m/>
    <m/>
    <m/>
    <m/>
    <m/>
    <m/>
    <m/>
    <m/>
    <m/>
    <m/>
  </r>
  <r>
    <s v="48472603"/>
    <s v="Myslivecký spolek Stráž Zlín"/>
    <s v="706"/>
    <x v="1"/>
    <x v="0"/>
    <s v="Březnice"/>
    <s v="Březnice 497, PSČ 76001"/>
    <s v="01700"/>
    <s v="Lov a odchyt divokých zvířat a související činnosti"/>
    <m/>
    <m/>
    <m/>
    <m/>
    <m/>
    <m/>
    <m/>
    <m/>
    <m/>
    <m/>
    <m/>
    <m/>
    <m/>
    <m/>
    <m/>
    <m/>
    <m/>
  </r>
  <r>
    <s v="46277013"/>
    <s v="Myslivecký spolek Strážná Březůvky-Doubravy"/>
    <s v="706"/>
    <x v="1"/>
    <x v="0"/>
    <s v="Březůvky"/>
    <s v="Březůvky 1, PSČ 76345"/>
    <s v="01700"/>
    <s v="Lov a odchyt divokých zvířat a související činnosti"/>
    <m/>
    <m/>
    <m/>
    <m/>
    <m/>
    <m/>
    <m/>
    <m/>
    <m/>
    <m/>
    <m/>
    <m/>
    <m/>
    <m/>
    <m/>
    <m/>
    <m/>
  </r>
  <r>
    <s v="60042052"/>
    <s v="Myslivecký spolek Střítež nad Bečvou"/>
    <s v="706"/>
    <x v="1"/>
    <x v="1"/>
    <s v="Střítež nad Bečvou"/>
    <s v="Střítež nad Bečvou 193, PSČ 75652"/>
    <s v="01700"/>
    <s v="Lov a odchyt divokých zvířat a související činnosti"/>
    <m/>
    <m/>
    <m/>
    <m/>
    <m/>
    <m/>
    <m/>
    <m/>
    <m/>
    <m/>
    <m/>
    <m/>
    <m/>
    <m/>
    <m/>
    <m/>
    <m/>
  </r>
  <r>
    <s v="75055058"/>
    <s v="Myslivecký spolek Stupava"/>
    <s v="706"/>
    <x v="1"/>
    <x v="2"/>
    <s v="Stupava"/>
    <s v="Stupava 90, PSČ 68601"/>
    <s v="01700"/>
    <s v="Lov a odchyt divokých zvířat a související činnosti"/>
    <m/>
    <m/>
    <m/>
    <m/>
    <m/>
    <m/>
    <m/>
    <m/>
    <m/>
    <m/>
    <m/>
    <m/>
    <m/>
    <m/>
    <m/>
    <m/>
    <m/>
  </r>
  <r>
    <s v="62182943"/>
    <s v="Myslivecký spolek Sudinka Petrůvka"/>
    <s v="706"/>
    <x v="1"/>
    <x v="0"/>
    <s v="Petrůvka"/>
    <s v="Petrůvka 90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62180053"/>
    <s v="Myslivecký spolek Šanov"/>
    <s v="706"/>
    <x v="1"/>
    <x v="0"/>
    <s v="Šanov"/>
    <s v="Šanov 77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64438244"/>
    <s v="Myslivecký spolek Šaranov Nivnice"/>
    <s v="706"/>
    <x v="1"/>
    <x v="2"/>
    <s v="Nivnice"/>
    <s v="Nivnice, Sídliště 1000, PSČ 68751"/>
    <s v="01700"/>
    <s v="Lov a odchyt divokých zvířat a související činnosti"/>
    <m/>
    <m/>
    <m/>
    <m/>
    <m/>
    <m/>
    <m/>
    <m/>
    <m/>
    <m/>
    <m/>
    <m/>
    <m/>
    <m/>
    <m/>
    <m/>
    <m/>
  </r>
  <r>
    <s v="47930551"/>
    <s v="Myslivecký spolek Šelešovice"/>
    <s v="706"/>
    <x v="1"/>
    <x v="3"/>
    <s v="Šelešovice"/>
    <s v="Šelešovice 93, PSČ 76701"/>
    <s v="01700"/>
    <s v="Lov a odchyt divokých zvířat a související činnosti"/>
    <m/>
    <m/>
    <m/>
    <m/>
    <m/>
    <m/>
    <m/>
    <m/>
    <m/>
    <m/>
    <m/>
    <m/>
    <m/>
    <m/>
    <m/>
    <m/>
    <m/>
  </r>
  <r>
    <s v="71173234"/>
    <s v="Myslivecký spolek ŠTUDLOV-VAL.PŘÍKAZY"/>
    <s v="706"/>
    <x v="1"/>
    <x v="0"/>
    <s v="Študlov"/>
    <s v="Študlov 142, PSČ 75612"/>
    <s v="01700"/>
    <s v="Lov a odchyt divokých zvířat a související činnosti"/>
    <m/>
    <m/>
    <m/>
    <m/>
    <m/>
    <m/>
    <m/>
    <m/>
    <m/>
    <m/>
    <m/>
    <m/>
    <m/>
    <m/>
    <m/>
    <m/>
    <m/>
  </r>
  <r>
    <s v="49158325"/>
    <s v="Myslivecký spolek Tatarka Lipová - Haluzice"/>
    <s v="706"/>
    <x v="1"/>
    <x v="0"/>
    <s v="Slavičín"/>
    <s v="Slavičín, K. Vystrčila 387, PSČ 76321"/>
    <s v="01700"/>
    <s v="Lov a odchyt divokých zvířat a související činnosti"/>
    <m/>
    <m/>
    <m/>
    <m/>
    <m/>
    <m/>
    <m/>
    <m/>
    <m/>
    <m/>
    <m/>
    <m/>
    <m/>
    <m/>
    <m/>
    <m/>
    <m/>
  </r>
  <r>
    <s v="75116561"/>
    <s v="Myslivecký spolek Tečovice"/>
    <s v="706"/>
    <x v="1"/>
    <x v="0"/>
    <s v="Tečovice"/>
    <s v="Tečovice 52, PSČ 76302"/>
    <s v="01700"/>
    <s v="Lov a odchyt divokých zvířat a související činnosti"/>
    <m/>
    <m/>
    <m/>
    <m/>
    <m/>
    <m/>
    <m/>
    <m/>
    <m/>
    <m/>
    <m/>
    <m/>
    <m/>
    <m/>
    <m/>
    <m/>
    <m/>
  </r>
  <r>
    <s v="46307460"/>
    <s v="Myslivecký Spolek Tichov"/>
    <s v="706"/>
    <x v="1"/>
    <x v="0"/>
    <s v="Tichov"/>
    <s v="Tichov 48, PSČ 76601"/>
    <s v="01700"/>
    <s v="Lov a odchyt divokých zvířat a související činnosti"/>
    <m/>
    <m/>
    <m/>
    <m/>
    <m/>
    <m/>
    <m/>
    <m/>
    <m/>
    <m/>
    <m/>
    <m/>
    <m/>
    <m/>
    <m/>
    <m/>
    <m/>
  </r>
  <r>
    <s v="60990341"/>
    <s v="Myslivecký spolek Tisůvek Střelná"/>
    <s v="706"/>
    <x v="1"/>
    <x v="1"/>
    <s v="Střelná"/>
    <s v="Střelná 38, PSČ 75612"/>
    <s v="01700"/>
    <s v="Lov a odchyt divokých zvířat a související činnosti"/>
    <m/>
    <m/>
    <m/>
    <m/>
    <m/>
    <m/>
    <m/>
    <m/>
    <m/>
    <m/>
    <m/>
    <m/>
    <m/>
    <m/>
    <m/>
    <m/>
    <m/>
  </r>
  <r>
    <s v="48489662"/>
    <s v="Myslivecký spolek Traplice"/>
    <s v="706"/>
    <x v="1"/>
    <x v="2"/>
    <s v="Traplice"/>
    <s v="Traplice 255, PSČ 68704"/>
    <s v="01700"/>
    <s v="Lov a odchyt divokých zvířat a související činnosti"/>
    <m/>
    <m/>
    <m/>
    <m/>
    <m/>
    <m/>
    <m/>
    <m/>
    <m/>
    <m/>
    <m/>
    <m/>
    <m/>
    <m/>
    <m/>
    <m/>
    <m/>
  </r>
  <r>
    <s v="47935286"/>
    <s v="Myslivecký spolek Trávník"/>
    <s v="706"/>
    <x v="1"/>
    <x v="3"/>
    <s v="Kroměříž"/>
    <s v="Kroměříž, Těšnovice 143, PSČ 76701"/>
    <s v="01700"/>
    <s v="Lov a odchyt divokých zvířat a související činnosti"/>
    <m/>
    <m/>
    <m/>
    <m/>
    <m/>
    <m/>
    <m/>
    <m/>
    <m/>
    <m/>
    <m/>
    <m/>
    <m/>
    <m/>
    <m/>
    <m/>
    <m/>
  </r>
  <r>
    <s v="71191321"/>
    <s v="Myslivecký spolek Troják Bystřice pod Lopeníkem"/>
    <s v="706"/>
    <x v="1"/>
    <x v="2"/>
    <s v="Bystřice pod Lopeníkem"/>
    <s v="Bystřice pod Lopeníkem 70, PSČ 68755"/>
    <s v="01700"/>
    <s v="Lov a odchyt divokých zvířat a související činnosti"/>
    <m/>
    <m/>
    <m/>
    <m/>
    <m/>
    <m/>
    <m/>
    <m/>
    <m/>
    <m/>
    <m/>
    <m/>
    <m/>
    <m/>
    <m/>
    <m/>
    <m/>
  </r>
  <r>
    <s v="46998047"/>
    <s v="Myslivecký spolek Troják Věžky - Zlobice"/>
    <s v="706"/>
    <x v="1"/>
    <x v="3"/>
    <s v="Věžky"/>
    <s v="Věžky 61, PSČ 76833"/>
    <s v="01700"/>
    <s v="Lov a odchyt divokých zvířat a související činnosti"/>
    <m/>
    <m/>
    <m/>
    <m/>
    <m/>
    <m/>
    <m/>
    <m/>
    <m/>
    <m/>
    <m/>
    <m/>
    <m/>
    <m/>
    <m/>
    <m/>
    <m/>
  </r>
  <r>
    <s v="48739553"/>
    <s v="Myslivecký spolek TRUBISKA"/>
    <s v="706"/>
    <x v="1"/>
    <x v="1"/>
    <s v="Pozděchov"/>
    <s v="Pozděchov 27, PSČ 75611"/>
    <s v="01700"/>
    <s v="Lov a odchyt divokých zvířat a související činnosti"/>
    <m/>
    <m/>
    <m/>
    <m/>
    <m/>
    <m/>
    <m/>
    <m/>
    <m/>
    <m/>
    <m/>
    <m/>
    <m/>
    <m/>
    <m/>
    <m/>
    <m/>
  </r>
  <r>
    <s v="67029400"/>
    <s v="Myslivecký spolek Tupesy-Břestek"/>
    <s v="706"/>
    <x v="1"/>
    <x v="2"/>
    <s v="Tupesy"/>
    <s v="Tupesy 10, PSČ 68707"/>
    <s v="01700"/>
    <s v="Lov a odchyt divokých zvířat a související činnosti"/>
    <m/>
    <m/>
    <m/>
    <m/>
    <m/>
    <m/>
    <m/>
    <m/>
    <m/>
    <m/>
    <m/>
    <m/>
    <m/>
    <m/>
    <m/>
    <m/>
    <m/>
  </r>
  <r>
    <s v="46311262"/>
    <s v="Myslivecký spolek Ublo"/>
    <s v="706"/>
    <x v="1"/>
    <x v="0"/>
    <s v="Ublo"/>
    <s v="Ublo 74, PSČ 76312"/>
    <s v="01700"/>
    <s v="Lov a odchyt divokých zvířat a související činnosti"/>
    <m/>
    <m/>
    <m/>
    <m/>
    <m/>
    <m/>
    <m/>
    <m/>
    <m/>
    <m/>
    <m/>
    <m/>
    <m/>
    <m/>
    <m/>
    <m/>
    <m/>
  </r>
  <r>
    <s v="47933704"/>
    <s v="Myslivecký spolek Uhřice-Prasklice"/>
    <s v="706"/>
    <x v="1"/>
    <x v="3"/>
    <s v="Prasklice"/>
    <s v="Prasklice 51, PSČ 76833"/>
    <s v="01700"/>
    <s v="Lov a odchyt divokých zvířat a související činnosti"/>
    <m/>
    <m/>
    <m/>
    <m/>
    <m/>
    <m/>
    <m/>
    <m/>
    <m/>
    <m/>
    <m/>
    <m/>
    <m/>
    <m/>
    <m/>
    <m/>
    <m/>
  </r>
  <r>
    <s v="64438554"/>
    <s v="Myslivecký spolek ÚJEZD"/>
    <s v="706"/>
    <x v="1"/>
    <x v="0"/>
    <s v="Újezd"/>
    <s v="Újezd 136, PSČ 76325"/>
    <s v="01700"/>
    <s v="Lov a odchyt divokých zvířat a související činnosti"/>
    <m/>
    <m/>
    <m/>
    <m/>
    <m/>
    <m/>
    <m/>
    <m/>
    <m/>
    <m/>
    <m/>
    <m/>
    <m/>
    <m/>
    <m/>
    <m/>
    <m/>
  </r>
  <r>
    <s v="02335573"/>
    <s v="Myslivecký spolek Valašská Senice"/>
    <s v="706"/>
    <x v="1"/>
    <x v="1"/>
    <s v="Valašská Senice"/>
    <s v="Valašská Senice 145, PSČ 75614"/>
    <s v="01700"/>
    <s v="Lov a odchyt divokých zvířat a související činnosti"/>
    <m/>
    <m/>
    <m/>
    <m/>
    <m/>
    <m/>
    <m/>
    <m/>
    <m/>
    <m/>
    <m/>
    <m/>
    <m/>
    <m/>
    <m/>
    <m/>
    <m/>
  </r>
  <r>
    <s v="61716090"/>
    <s v="Myslivecký spolek Valašské Klobouky"/>
    <s v="706"/>
    <x v="1"/>
    <x v="0"/>
    <s v="Valašské Klobouky"/>
    <s v="Valašské Klobouky, Brumovská 1051, PSČ 76601"/>
    <s v="01700"/>
    <s v="Lov a odchyt divokých zvířat a související činnosti"/>
    <m/>
    <m/>
    <m/>
    <m/>
    <m/>
    <m/>
    <m/>
    <m/>
    <m/>
    <m/>
    <m/>
    <m/>
    <m/>
    <m/>
    <m/>
    <m/>
    <m/>
  </r>
  <r>
    <s v="62181424"/>
    <s v="Myslivecký spolek Valašsko Vlachovice"/>
    <s v="706"/>
    <x v="1"/>
    <x v="0"/>
    <s v="Vlachovice"/>
    <s v="Vlachovice 36, PSČ 76324"/>
    <s v="01700"/>
    <s v="Lov a odchyt divokých zvířat a související činnosti"/>
    <m/>
    <m/>
    <m/>
    <m/>
    <m/>
    <m/>
    <m/>
    <m/>
    <m/>
    <m/>
    <m/>
    <m/>
    <m/>
    <m/>
    <m/>
    <m/>
    <m/>
  </r>
  <r>
    <s v="48472557"/>
    <s v="Myslivecký spolek Včelín Zlín-Louky"/>
    <s v="706"/>
    <x v="1"/>
    <x v="0"/>
    <s v="Zlín"/>
    <s v="Zlín, Louky, Chlumská č. ev. 5, PSČ 76302"/>
    <s v="01700"/>
    <s v="Lov a odchyt divokých zvířat a související činnosti"/>
    <m/>
    <m/>
    <m/>
    <m/>
    <m/>
    <m/>
    <m/>
    <m/>
    <m/>
    <m/>
    <m/>
    <m/>
    <m/>
    <m/>
    <m/>
    <m/>
    <m/>
  </r>
  <r>
    <s v="71243968"/>
    <s v="Myslivecký spolek Velká Lhota"/>
    <s v="706"/>
    <x v="1"/>
    <x v="1"/>
    <s v="Velká Lhota"/>
    <s v="Velká Lhota, Malá Lhota 62, PSČ 75701"/>
    <s v="01700"/>
    <s v="Lov a odchyt divokých zvířat a související činnosti"/>
    <m/>
    <m/>
    <m/>
    <m/>
    <m/>
    <m/>
    <m/>
    <m/>
    <m/>
    <m/>
    <m/>
    <m/>
    <m/>
    <m/>
    <m/>
    <m/>
    <m/>
  </r>
  <r>
    <s v="62181661"/>
    <s v="Myslivecký spolek Velký Ořechov"/>
    <s v="706"/>
    <x v="1"/>
    <x v="0"/>
    <s v="Velký Ořechov"/>
    <s v="Velký Ořechov 221, PSČ 76307"/>
    <s v="01700"/>
    <s v="Lov a odchyt divokých zvířat a související činnosti"/>
    <m/>
    <m/>
    <m/>
    <m/>
    <m/>
    <m/>
    <m/>
    <m/>
    <m/>
    <m/>
    <m/>
    <m/>
    <m/>
    <m/>
    <m/>
    <m/>
    <m/>
  </r>
  <r>
    <s v="47863471"/>
    <s v="Myslivecký spolek Veselá - Hrachovec"/>
    <s v="706"/>
    <x v="1"/>
    <x v="1"/>
    <s v="Valašské Meziříčí"/>
    <s v="Valašské Meziříčí, Hrachovec 240, PSČ 75701"/>
    <s v="01700"/>
    <s v="Lov a odchyt divokých zvířat a související činnosti"/>
    <m/>
    <m/>
    <m/>
    <m/>
    <m/>
    <m/>
    <m/>
    <m/>
    <m/>
    <m/>
    <m/>
    <m/>
    <m/>
    <m/>
    <m/>
    <m/>
    <m/>
  </r>
  <r>
    <s v="47863544"/>
    <s v="Myslivecký spolek Vidče"/>
    <s v="706"/>
    <x v="1"/>
    <x v="1"/>
    <s v="Vidče"/>
    <s v="Vidče 96, PSČ 75653"/>
    <s v="01700"/>
    <s v="Lov a odchyt divokých zvířat a související činnosti"/>
    <m/>
    <m/>
    <m/>
    <m/>
    <m/>
    <m/>
    <m/>
    <m/>
    <m/>
    <m/>
    <m/>
    <m/>
    <m/>
    <m/>
    <m/>
    <m/>
    <m/>
  </r>
  <r>
    <s v="48472654"/>
    <s v="Myslivecký spolek VIDOVY"/>
    <s v="706"/>
    <x v="1"/>
    <x v="0"/>
    <s v="Želechovice nad Dřevnicí"/>
    <s v="Želechovice nad Dřevnicí, Paseky č. ev. 40, PSČ 76311"/>
    <s v="01700"/>
    <s v="Lov a odchyt divokých zvířat a související činnosti"/>
    <m/>
    <m/>
    <m/>
    <m/>
    <m/>
    <m/>
    <m/>
    <m/>
    <m/>
    <m/>
    <m/>
    <m/>
    <m/>
    <m/>
    <m/>
    <m/>
    <m/>
  </r>
  <r>
    <s v="47930608"/>
    <s v="Myslivecký spolek Vítonice"/>
    <s v="706"/>
    <x v="1"/>
    <x v="3"/>
    <s v="Vítonice"/>
    <s v="Vítonice 134, PSČ 76861"/>
    <s v="01700"/>
    <s v="Lov a odchyt divokých zvířat a související činnosti"/>
    <m/>
    <m/>
    <m/>
    <m/>
    <m/>
    <m/>
    <m/>
    <m/>
    <m/>
    <m/>
    <m/>
    <m/>
    <m/>
    <m/>
    <m/>
    <m/>
    <m/>
  </r>
  <r>
    <s v="46277471"/>
    <s v="Myslivecký spolek Vizovice"/>
    <s v="706"/>
    <x v="1"/>
    <x v="0"/>
    <s v="Vizovice"/>
    <s v="Vizovice, Kamenec 1300, PSČ 76312"/>
    <s v="01700"/>
    <s v="Lov a odchyt divokých zvířat a související činnosti"/>
    <m/>
    <m/>
    <m/>
    <m/>
    <m/>
    <m/>
    <m/>
    <m/>
    <m/>
    <m/>
    <m/>
    <m/>
    <m/>
    <m/>
    <m/>
    <m/>
    <m/>
  </r>
  <r>
    <s v="06081801"/>
    <s v="Myslivecký spolek vlastniků Dolní Bečva"/>
    <s v="706"/>
    <x v="1"/>
    <x v="1"/>
    <s v="Dolní Bečva"/>
    <s v="Dolní Bečva 70, PSČ 75655"/>
    <s v="01700"/>
    <s v="Lov a odchyt divokých zvířat a související činnosti"/>
    <s v="Podpůrné činnosti pro zemědělství a posklizňové činnosti"/>
    <s v="Chov zvířat pro zájmový chov"/>
    <m/>
    <m/>
    <m/>
    <m/>
    <m/>
    <m/>
    <m/>
    <m/>
    <m/>
    <m/>
    <m/>
    <m/>
    <m/>
    <m/>
    <m/>
  </r>
  <r>
    <s v="45659486"/>
    <s v="Myslivecký spolek Vlčí Důl Zlechov"/>
    <s v="706"/>
    <x v="1"/>
    <x v="2"/>
    <s v="Zlechov"/>
    <s v="Zlechov 19, PSČ 68710"/>
    <s v="01700"/>
    <s v="Lov a odchyt divokých zvířat a související činnosti"/>
    <m/>
    <m/>
    <m/>
    <m/>
    <m/>
    <m/>
    <m/>
    <m/>
    <m/>
    <m/>
    <m/>
    <m/>
    <m/>
    <m/>
    <m/>
    <m/>
    <m/>
  </r>
  <r>
    <s v="70911860"/>
    <s v="Myslivecký spolek Vlčinec Částkov"/>
    <s v="706"/>
    <x v="1"/>
    <x v="2"/>
    <s v="Částkov"/>
    <s v="Částkov 86, PSČ 68712"/>
    <s v="01700"/>
    <s v="Lov a odchyt divokých zvířat a související činnosti"/>
    <m/>
    <m/>
    <m/>
    <m/>
    <m/>
    <m/>
    <m/>
    <m/>
    <m/>
    <m/>
    <m/>
    <m/>
    <m/>
    <m/>
    <m/>
    <m/>
    <m/>
  </r>
  <r>
    <s v="47935171"/>
    <s v="Myslivecký spolek Vranov Prusinovice z.s."/>
    <s v="706"/>
    <x v="1"/>
    <x v="3"/>
    <s v="Prusinovice"/>
    <s v="Prusinovice, Zámčisko 350, PSČ 76842"/>
    <s v="01700"/>
    <s v="Lov a odchyt divokých zvířat a související činnosti"/>
    <m/>
    <m/>
    <m/>
    <m/>
    <m/>
    <m/>
    <m/>
    <m/>
    <m/>
    <m/>
    <m/>
    <m/>
    <m/>
    <m/>
    <m/>
    <m/>
    <m/>
  </r>
  <r>
    <s v="48472964"/>
    <s v="Myslivecký spolek Vrchovina Hvozdná"/>
    <s v="706"/>
    <x v="1"/>
    <x v="0"/>
    <s v="Hvozdná"/>
    <s v="Hvozdná, Myslivecká č. ev. 38, PSČ 76310"/>
    <s v="01700"/>
    <s v="Lov a odchyt divokých zvířat a související činnosti"/>
    <m/>
    <m/>
    <m/>
    <m/>
    <m/>
    <m/>
    <m/>
    <m/>
    <m/>
    <m/>
    <m/>
    <m/>
    <m/>
    <m/>
    <m/>
    <m/>
    <m/>
  </r>
  <r>
    <s v="26616131"/>
    <s v="Myslivecký spolek Vsetín Jasenka"/>
    <s v="706"/>
    <x v="1"/>
    <x v="1"/>
    <s v="Vsetín"/>
    <s v="Vsetín, Vesník 792, PSČ 75501"/>
    <s v="01700"/>
    <s v="Lov a odchyt divokých zvířat a související činnosti"/>
    <m/>
    <m/>
    <m/>
    <m/>
    <m/>
    <m/>
    <m/>
    <m/>
    <m/>
    <m/>
    <m/>
    <m/>
    <m/>
    <m/>
    <m/>
    <m/>
    <m/>
  </r>
  <r>
    <s v="48739634"/>
    <s v="Myslivecký spolek Vsetín-Jasenice"/>
    <s v="706"/>
    <x v="1"/>
    <x v="1"/>
    <s v="Vsetín"/>
    <s v="Vsetín, Jasenická 1674, PSČ 75501"/>
    <s v="01700"/>
    <s v="Lov a odchyt divokých zvířat a související činnosti"/>
    <m/>
    <m/>
    <m/>
    <m/>
    <m/>
    <m/>
    <m/>
    <m/>
    <m/>
    <m/>
    <m/>
    <m/>
    <m/>
    <m/>
    <m/>
    <m/>
    <m/>
  </r>
  <r>
    <s v="48739391"/>
    <s v="Myslivecký spolek Vsetín-Rokytnice"/>
    <s v="706"/>
    <x v="1"/>
    <x v="1"/>
    <s v="Vsetín"/>
    <s v="Vsetín, Lidická 1961, PSČ 75501"/>
    <s v="01700"/>
    <s v="Lov a odchyt divokých zvířat a související činnosti"/>
    <m/>
    <m/>
    <m/>
    <m/>
    <m/>
    <m/>
    <m/>
    <m/>
    <m/>
    <m/>
    <m/>
    <m/>
    <m/>
    <m/>
    <m/>
    <m/>
    <m/>
  </r>
  <r>
    <s v="46307290"/>
    <s v="Myslivecký spolek Všemina"/>
    <s v="706"/>
    <x v="1"/>
    <x v="0"/>
    <s v="Všemina"/>
    <s v="Všemina 185, PSČ 76315"/>
    <s v="01700"/>
    <s v="Lov a odchyt divokých zvířat a související činnosti"/>
    <s v="Podpůrné činnosti pro zemědělství a posklizňové činnosti"/>
    <s v="Stravování v restauracích, u stánků a v mobilních zařízeních"/>
    <s v="Destilace, rektifikace a míchání lihovin"/>
    <s v="Podpůrné činnosti pro scénická umění"/>
    <s v="Ostatní sportovní činnosti"/>
    <m/>
    <m/>
    <m/>
    <m/>
    <m/>
    <m/>
    <m/>
    <m/>
    <m/>
    <m/>
    <m/>
    <m/>
  </r>
  <r>
    <s v="48472905"/>
    <s v="Myslivecký spolek Vysoké Pole - lesy"/>
    <s v="706"/>
    <x v="1"/>
    <x v="0"/>
    <s v="Valašské Klobouky"/>
    <s v="Valašské Klobouky, Brumovská 1051, PSČ 76601"/>
    <s v="01700"/>
    <s v="Lov a odchyt divokých zvířat a související činnosti"/>
    <m/>
    <m/>
    <m/>
    <m/>
    <m/>
    <m/>
    <m/>
    <m/>
    <m/>
    <m/>
    <m/>
    <m/>
    <m/>
    <m/>
    <m/>
    <m/>
    <m/>
  </r>
  <r>
    <s v="46277439"/>
    <s v="Myslivecký spolek Zádveřice-Raková"/>
    <s v="706"/>
    <x v="1"/>
    <x v="0"/>
    <s v="Zádveřice-Raková"/>
    <s v="Zádveřice-Raková, Zádveřice č. ev. 39, PSČ 76312"/>
    <s v="01700"/>
    <s v="Lov a odchyt divokých zvířat a související činnosti"/>
    <m/>
    <m/>
    <m/>
    <m/>
    <m/>
    <m/>
    <m/>
    <m/>
    <m/>
    <m/>
    <m/>
    <m/>
    <m/>
    <m/>
    <m/>
    <m/>
    <m/>
  </r>
  <r>
    <s v="01826107"/>
    <s v="Myslivecký spolek Zálesí Ludkovice"/>
    <s v="706"/>
    <x v="1"/>
    <x v="0"/>
    <s v="Ludkovice"/>
    <s v="Ludkovice 44, PSČ 76341"/>
    <s v="01700"/>
    <s v="Lov a odchyt divokých zvířat a související činnosti"/>
    <m/>
    <m/>
    <m/>
    <m/>
    <m/>
    <m/>
    <m/>
    <m/>
    <m/>
    <m/>
    <m/>
    <m/>
    <m/>
    <m/>
    <m/>
    <m/>
    <m/>
  </r>
  <r>
    <s v="62831615"/>
    <s v="Myslivecký spolek Zálesí Zlámanec-Svárov"/>
    <s v="706"/>
    <x v="1"/>
    <x v="2"/>
    <s v="Zlámanec"/>
    <s v="Zlámanec 95, PSČ 68712"/>
    <s v="01700"/>
    <s v="Lov a odchyt divokých zvířat a související činnosti"/>
    <m/>
    <m/>
    <m/>
    <m/>
    <m/>
    <m/>
    <m/>
    <m/>
    <m/>
    <m/>
    <m/>
    <m/>
    <m/>
    <m/>
    <m/>
    <m/>
    <m/>
  </r>
  <r>
    <s v="47930373"/>
    <s v="Myslivecký spolek Záříčí"/>
    <s v="706"/>
    <x v="1"/>
    <x v="3"/>
    <s v="Záříčí"/>
    <s v="Záříčí 100, PSČ 76811"/>
    <s v="01700"/>
    <s v="Lov a odchyt divokých zvířat a související činnosti"/>
    <m/>
    <m/>
    <m/>
    <m/>
    <m/>
    <m/>
    <m/>
    <m/>
    <m/>
    <m/>
    <m/>
    <m/>
    <m/>
    <m/>
    <m/>
    <m/>
    <m/>
  </r>
  <r>
    <s v="75023687"/>
    <s v="Myslivecký spolek Zborovice - Medlov"/>
    <s v="706"/>
    <x v="1"/>
    <x v="3"/>
    <s v="Zborovice"/>
    <s v="Zborovice, Hlavní 37, PSČ 76832"/>
    <s v="01700"/>
    <s v="Lov a odchyt divokých zvířat a související činnosti"/>
    <m/>
    <m/>
    <m/>
    <m/>
    <m/>
    <m/>
    <m/>
    <m/>
    <m/>
    <m/>
    <m/>
    <m/>
    <m/>
    <m/>
    <m/>
    <m/>
    <m/>
  </r>
  <r>
    <s v="75091461"/>
    <s v="Myslivecký spolek Zděchov"/>
    <s v="706"/>
    <x v="1"/>
    <x v="1"/>
    <s v="Zděchov"/>
    <s v="Zděchov 1, PSČ 75607"/>
    <s v="01700"/>
    <s v="Lov a odchyt divokých zvířat a související činnosti"/>
    <m/>
    <m/>
    <m/>
    <m/>
    <m/>
    <m/>
    <m/>
    <m/>
    <m/>
    <m/>
    <m/>
    <m/>
    <m/>
    <m/>
    <m/>
    <m/>
    <m/>
  </r>
  <r>
    <s v="47933739"/>
    <s v="Myslivecký spolek Žalkovice"/>
    <s v="706"/>
    <x v="1"/>
    <x v="3"/>
    <s v="Žalkovice"/>
    <s v="Žalkovice 97, PSČ 76823"/>
    <s v="01700"/>
    <s v="Lov a odchyt divokých zvířat a související činnosti"/>
    <m/>
    <m/>
    <m/>
    <m/>
    <m/>
    <m/>
    <m/>
    <m/>
    <m/>
    <m/>
    <m/>
    <m/>
    <m/>
    <m/>
    <m/>
    <m/>
    <m/>
  </r>
  <r>
    <s v="75138484"/>
    <s v="Myslivecký spolek Želechovice nad Dřevnicí"/>
    <s v="706"/>
    <x v="1"/>
    <x v="0"/>
    <s v="Želechovice nad Dřevnicí"/>
    <s v="Želechovice nad Dřevnicí, 4. května 68, PSČ 76311"/>
    <s v="01700"/>
    <s v="Lov a odchyt divokých zvířat a související činnosti"/>
    <m/>
    <m/>
    <m/>
    <m/>
    <m/>
    <m/>
    <m/>
    <m/>
    <m/>
    <m/>
    <m/>
    <m/>
    <m/>
    <m/>
    <m/>
    <m/>
    <m/>
  </r>
  <r>
    <s v="48491357"/>
    <s v="Myslivecký spolek Žítková"/>
    <s v="706"/>
    <x v="1"/>
    <x v="2"/>
    <s v="Žítková"/>
    <s v="Žítková 161, PSČ 68774"/>
    <s v="01700"/>
    <s v="Lov a odchyt divokých zvířat a související činnosti"/>
    <s v="Velkoobchod, kromě motorových vozidel"/>
    <s v="Maloobchod, kromě motorových vozidel"/>
    <s v="Stravování v restauracích, u stánků a v mobilních zařízeních"/>
    <s v="Podpůrné činnosti pro scénická umění"/>
    <s v="Destilace, rektifikace a míchání lihovin"/>
    <m/>
    <m/>
    <m/>
    <m/>
    <m/>
    <m/>
    <m/>
    <m/>
    <m/>
    <m/>
    <m/>
    <m/>
  </r>
  <r>
    <s v="05189411"/>
    <s v="Mysločovští obratlovci, z.s."/>
    <s v="706"/>
    <x v="1"/>
    <x v="0"/>
    <s v="Mysločovice"/>
    <s v="Mysločovice 128, PSČ 76301"/>
    <s v="94995"/>
    <s v="Činnosti environmentálních a ekologických hnutí"/>
    <m/>
    <m/>
    <m/>
    <m/>
    <m/>
    <m/>
    <m/>
    <m/>
    <m/>
    <m/>
    <m/>
    <m/>
    <m/>
    <m/>
    <m/>
    <m/>
    <m/>
  </r>
  <r>
    <s v="26523612"/>
    <s v="MyšMaš - Sdružení pro alternativní kulturu a ekologii"/>
    <s v="706"/>
    <x v="1"/>
    <x v="2"/>
    <s v="Bojkovice"/>
    <s v="Bojkovice, Bezručova čtvrť 78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86883"/>
    <s v="Mýtina z.s."/>
    <s v="706"/>
    <x v="1"/>
    <x v="2"/>
    <s v="Uherské Hradiště"/>
    <s v="Uherské Hradiště, Františkánská 12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229417"/>
    <s v="M4Care.spolek"/>
    <s v="706"/>
    <x v="1"/>
    <x v="0"/>
    <s v="Zlín"/>
    <s v="Zlín, Ovsíková 708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640548"/>
    <s v="NA CESTĚ, z. s."/>
    <s v="706"/>
    <x v="1"/>
    <x v="1"/>
    <s v="Vsetín"/>
    <s v="Vsetín, Palackého 138, PSČ 75501"/>
    <s v="94991"/>
    <s v="Činnosti organizací dětí a mládeže"/>
    <m/>
    <m/>
    <m/>
    <m/>
    <m/>
    <m/>
    <m/>
    <m/>
    <m/>
    <m/>
    <m/>
    <m/>
    <m/>
    <m/>
    <m/>
    <m/>
    <m/>
  </r>
  <r>
    <s v="02443813"/>
    <s v="NA DLANI, o.p.s."/>
    <s v="141"/>
    <x v="2"/>
    <x v="0"/>
    <s v="Zlín"/>
    <s v="Zlín, Štefánikova 5462, PSČ 76001"/>
    <s v="8899"/>
    <s v="Ostatní ambulantní nebo terénní sociální služby j. n."/>
    <s v="Ostatní vzdělávání"/>
    <m/>
    <m/>
    <m/>
    <m/>
    <m/>
    <m/>
    <m/>
    <m/>
    <m/>
    <m/>
    <m/>
    <m/>
    <m/>
    <m/>
    <m/>
    <m/>
  </r>
  <r>
    <s v="70856958"/>
    <s v="NA DOMOVĚ, z.s."/>
    <s v="706"/>
    <x v="1"/>
    <x v="0"/>
    <s v="Zlín"/>
    <s v="Zlín, Pod Stráněmi 74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9205"/>
    <s v="NA KONÁRI, z. s."/>
    <s v="706"/>
    <x v="1"/>
    <x v="1"/>
    <s v="Rožnov pod Radhoštěm"/>
    <s v="Rožnov pod Radhoštěm, Javornická 686, PSČ 75661"/>
    <s v="90030"/>
    <s v="Umělecká tvorba"/>
    <m/>
    <m/>
    <m/>
    <m/>
    <m/>
    <m/>
    <m/>
    <m/>
    <m/>
    <m/>
    <m/>
    <m/>
    <m/>
    <m/>
    <m/>
    <m/>
    <m/>
  </r>
  <r>
    <s v="06511821"/>
    <s v="Na Kopcu z.s."/>
    <s v="706"/>
    <x v="1"/>
    <x v="3"/>
    <s v="Holešov"/>
    <s v="Holešov, Komenského 944/3, PSČ 76901"/>
    <s v="93190"/>
    <s v="Ostatní sportovní činnosti"/>
    <m/>
    <m/>
    <m/>
    <m/>
    <m/>
    <m/>
    <m/>
    <m/>
    <m/>
    <m/>
    <m/>
    <m/>
    <m/>
    <m/>
    <m/>
    <m/>
    <m/>
  </r>
  <r>
    <s v="22752986"/>
    <s v="„Na Kozinci”"/>
    <s v="706"/>
    <x v="1"/>
    <x v="1"/>
    <s v="Rožnov pod Radhoštěm"/>
    <s v="Rožnov pod Radhoštěm, Pod Kozincem 60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7890"/>
    <s v="Na lhotském kopci, z. s."/>
    <s v="706"/>
    <x v="1"/>
    <x v="0"/>
    <s v="Vlachova Lhota"/>
    <s v="Vlachova Lhota 68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4421"/>
    <s v="Na Pasece, z.s."/>
    <s v="706"/>
    <x v="1"/>
    <x v="0"/>
    <s v="Zlín"/>
    <s v="Zlín, Velíková, Sýkorka 234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503105"/>
    <s v="NA POLI DESIGNU, z. s."/>
    <s v="706"/>
    <x v="1"/>
    <x v="2"/>
    <s v="Bílovice"/>
    <s v="Bílovice 519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9609"/>
    <s v="NA POMOC FOTBALU - o.s."/>
    <s v="706"/>
    <x v="1"/>
    <x v="0"/>
    <s v="Zlín"/>
    <s v="Zlín, Slezská 4773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715544"/>
    <s v="Na pomoc kočkám z.s."/>
    <s v="706"/>
    <x v="1"/>
    <x v="0"/>
    <s v="Zlín"/>
    <s v="Zlín, Sokolská 62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097401"/>
    <s v="Na vlastní kůži, z.ú."/>
    <s v="161"/>
    <x v="3"/>
    <x v="1"/>
    <s v="Vsetín"/>
    <s v="Vsetín, Horní Jasenka 87, PSČ 75501"/>
    <s v="87900"/>
    <s v="Ostatní pobytové služby sociální péče"/>
    <s v="Výroba, obchod a služby neuvedené v přílohách 1 až 3 živnostenského zákona"/>
    <m/>
    <m/>
    <m/>
    <m/>
    <m/>
    <m/>
    <m/>
    <m/>
    <m/>
    <m/>
    <m/>
    <m/>
    <m/>
    <m/>
    <m/>
    <m/>
  </r>
  <r>
    <s v="63414601"/>
    <s v="Náboženská obec Církve československé husitské v Kroměříži"/>
    <s v="722"/>
    <x v="5"/>
    <x v="3"/>
    <s v="Kroměříž"/>
    <s v="Kroměříž, Milíčovo náměstí 527/1, PSČ 76701"/>
    <s v="94910"/>
    <s v="Činnosti náboženských organizací"/>
    <m/>
    <m/>
    <m/>
    <m/>
    <m/>
    <m/>
    <m/>
    <m/>
    <m/>
    <m/>
    <m/>
    <m/>
    <m/>
    <m/>
    <m/>
    <m/>
    <m/>
  </r>
  <r>
    <s v="65763611"/>
    <s v="Náboženská obec Církve československé husitské v Kvasicích"/>
    <s v="722"/>
    <x v="5"/>
    <x v="3"/>
    <s v="Kvasice"/>
    <s v="Kvasice, Husova 400, PSČ 76821"/>
    <s v="94910"/>
    <s v="Činnosti náboženských organizací"/>
    <m/>
    <m/>
    <m/>
    <m/>
    <m/>
    <m/>
    <m/>
    <m/>
    <m/>
    <m/>
    <m/>
    <m/>
    <m/>
    <m/>
    <m/>
    <m/>
    <m/>
  </r>
  <r>
    <s v="63414619"/>
    <s v="Náboženská obec Církve československé husitské v Morkovicích"/>
    <s v="722"/>
    <x v="5"/>
    <x v="3"/>
    <s v="Morkovice-Slížany"/>
    <s v="Morkovice-Slížany, Morkovice, Náměstí 117, PSČ 76833"/>
    <s v="94910"/>
    <s v="Činnosti náboženských organizací"/>
    <m/>
    <m/>
    <m/>
    <m/>
    <m/>
    <m/>
    <m/>
    <m/>
    <m/>
    <m/>
    <m/>
    <m/>
    <m/>
    <m/>
    <m/>
    <m/>
    <m/>
  </r>
  <r>
    <s v="73631868"/>
    <s v="Náboženská obec Církve československé husitské v Uherském Brodě"/>
    <s v="722"/>
    <x v="5"/>
    <x v="2"/>
    <s v="Uherský Brod"/>
    <s v="Uherský Brod, Bří Lužů 290, PSČ 68801"/>
    <s v="94910"/>
    <s v="Činnosti náboženských organizací"/>
    <m/>
    <m/>
    <m/>
    <m/>
    <m/>
    <m/>
    <m/>
    <m/>
    <m/>
    <m/>
    <m/>
    <m/>
    <m/>
    <m/>
    <m/>
    <m/>
    <m/>
  </r>
  <r>
    <s v="60575603"/>
    <s v="Náboženská obec Církve československé husitské ve Zborovicích"/>
    <s v="722"/>
    <x v="5"/>
    <x v="3"/>
    <s v="Zborovice"/>
    <s v="Zborovice, Sokolská 235, PSČ 76832"/>
    <s v="94910"/>
    <s v="Činnosti náboženských organizací"/>
    <m/>
    <m/>
    <m/>
    <m/>
    <m/>
    <m/>
    <m/>
    <m/>
    <m/>
    <m/>
    <m/>
    <m/>
    <m/>
    <m/>
    <m/>
    <m/>
    <m/>
  </r>
  <r>
    <s v="62182587"/>
    <s v="Náboženská obec Církve československé husitské ve Zlíně"/>
    <s v="722"/>
    <x v="5"/>
    <x v="0"/>
    <s v="Zlín"/>
    <s v="Zlín, Štefánikova 6305, PSČ 76001"/>
    <s v="94910"/>
    <s v="Činnosti náboženských organizací"/>
    <m/>
    <m/>
    <m/>
    <m/>
    <m/>
    <m/>
    <m/>
    <m/>
    <m/>
    <m/>
    <m/>
    <m/>
    <m/>
    <m/>
    <m/>
    <m/>
    <m/>
  </r>
  <r>
    <s v="02163543"/>
    <s v="NADACE BRATŘÍ LUŽŮ"/>
    <s v="117"/>
    <x v="7"/>
    <x v="2"/>
    <s v="Uherský Brod"/>
    <s v="Uherský Brod, Na Výsluní 140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424"/>
    <s v="Nadace Jana Pivečky"/>
    <s v="117"/>
    <x v="7"/>
    <x v="0"/>
    <s v="Slavičín"/>
    <s v="Slavičín, Horní náměstí 111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658550"/>
    <s v="Nadace Masarykova gymnázia"/>
    <s v="117"/>
    <x v="7"/>
    <x v="1"/>
    <s v="Vsetín"/>
    <s v="Vsetín, Tyršova 106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01170"/>
    <s v="Nadace MORAVSKÉ SRDCE"/>
    <s v="117"/>
    <x v="7"/>
    <x v="2"/>
    <s v="Nedakonice"/>
    <s v="Nedakonice, Zahradní 408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35211"/>
    <s v="Nadace Most k domovu Zlín"/>
    <s v="117"/>
    <x v="7"/>
    <x v="0"/>
    <s v="Zlín"/>
    <s v="Zlín, Štípa, Mariánské náměstí 48, PSČ 76314"/>
    <s v="88"/>
    <s v="Ambulantní nebo terénní sociální služby"/>
    <m/>
    <m/>
    <m/>
    <m/>
    <m/>
    <m/>
    <m/>
    <m/>
    <m/>
    <m/>
    <m/>
    <m/>
    <m/>
    <m/>
    <m/>
    <m/>
    <m/>
  </r>
  <r>
    <s v="65326636"/>
    <s v="Nadace PORTAL pro umění Idy, Vladislava a Bety Vaculkových"/>
    <s v="117"/>
    <x v="7"/>
    <x v="2"/>
    <s v="Uherské Hradiště"/>
    <s v="Uherské Hradiště, Masarykovo náměstí 35, PSČ 68601"/>
    <s v="900"/>
    <s v="Tvůrčí, umělecké a zábavní činnosti"/>
    <m/>
    <m/>
    <m/>
    <m/>
    <m/>
    <m/>
    <m/>
    <m/>
    <m/>
    <m/>
    <m/>
    <m/>
    <m/>
    <m/>
    <m/>
    <m/>
    <m/>
  </r>
  <r>
    <s v="04694538"/>
    <s v="Nadace Pro půdu"/>
    <s v="117"/>
    <x v="7"/>
    <x v="3"/>
    <s v="Chropyně"/>
    <s v="Chropyně, Tovačovská 473, PSČ 76811"/>
    <s v="94995"/>
    <s v="Činnosti environmentálních a ekologických hnutí"/>
    <m/>
    <m/>
    <m/>
    <m/>
    <m/>
    <m/>
    <m/>
    <m/>
    <m/>
    <m/>
    <m/>
    <m/>
    <m/>
    <m/>
    <m/>
    <m/>
    <m/>
  </r>
  <r>
    <s v="65270045"/>
    <s v="Nadace První lidský klub"/>
    <s v="117"/>
    <x v="7"/>
    <x v="3"/>
    <s v="Kostelany"/>
    <s v="Kostelany 200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218330"/>
    <s v="Nadace SYNOT"/>
    <s v="117"/>
    <x v="7"/>
    <x v="2"/>
    <s v="Uherské Hradiště"/>
    <s v="Uherské Hradiště, Mařatice, Jaktáře 1475, PSČ 68601"/>
    <s v="94999"/>
    <s v="Činnosti ostatních organizací j. n."/>
    <s v="Provozování sportovních zařízení"/>
    <s v="Ostatní zábavní a rekreační činnosti j. n."/>
    <m/>
    <m/>
    <m/>
    <m/>
    <m/>
    <m/>
    <m/>
    <m/>
    <m/>
    <m/>
    <m/>
    <m/>
    <m/>
    <m/>
    <m/>
  </r>
  <r>
    <s v="65822374"/>
    <s v="Nadace Tomáše Bati"/>
    <s v="117"/>
    <x v="7"/>
    <x v="0"/>
    <s v="Zlín"/>
    <s v="Zlín, Gahurova 29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61022"/>
    <s v="Nadace Univerzity Tomáše Bati"/>
    <s v="117"/>
    <x v="7"/>
    <x v="0"/>
    <s v="Zlín"/>
    <s v="Zlín, Mostní 513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91511"/>
    <s v="Nadace Valašský svět"/>
    <s v="117"/>
    <x v="7"/>
    <x v="1"/>
    <s v="Vsetín"/>
    <s v="Vsetín, Sušilova 1610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625667"/>
    <s v="Nadace Živoucí světlo Maháprabhudíp satsang"/>
    <s v="117"/>
    <x v="7"/>
    <x v="3"/>
    <s v="Střílky"/>
    <s v="Střílky, Zámecká 202, PSČ 768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830081"/>
    <s v="Nadační fond - HYGGE DOMOV"/>
    <s v="118"/>
    <x v="6"/>
    <x v="0"/>
    <s v="Lhota"/>
    <s v="Lhota 299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88251"/>
    <s v="Nadační fond - Mateřská škola - Koryčanské Paseky"/>
    <s v="118"/>
    <x v="6"/>
    <x v="1"/>
    <s v="Rožnov pod Radhoštěm"/>
    <s v="Rožnov pod Radhoštěm, Svazarmovská 1444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335260"/>
    <s v="Nadační fond ALTER EGO"/>
    <s v="118"/>
    <x v="6"/>
    <x v="1"/>
    <s v="Valašské Meziříčí"/>
    <s v="Valašské Meziříčí, Havlíčkova 234/1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744051"/>
    <s v="Nadační fond Aurora"/>
    <s v="118"/>
    <x v="6"/>
    <x v="3"/>
    <s v="Morkovice-Slížany"/>
    <s v="Morkovice-Slížany, Morkovice, Svatopluka Čecha 159, PSČ 76833"/>
    <s v="88"/>
    <s v="Ambulantní nebo terénní sociální služby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04653793"/>
    <s v="Nadační fond CESTA KE HVĚZDÁM"/>
    <s v="118"/>
    <x v="6"/>
    <x v="0"/>
    <s v="Zlín"/>
    <s v="Zlín, Kostelec, Fryštácká 679, PSČ 76314"/>
    <s v="94999"/>
    <s v="Činnosti ostatních organizací j. n."/>
    <m/>
    <m/>
    <m/>
    <m/>
    <m/>
    <m/>
    <m/>
    <m/>
    <m/>
    <m/>
    <m/>
    <m/>
    <m/>
    <m/>
    <m/>
    <m/>
    <m/>
  </r>
  <r>
    <s v="14168430"/>
    <s v="Nadační fond Charitativní běh Lukov"/>
    <s v="118"/>
    <x v="6"/>
    <x v="0"/>
    <s v="Lukov"/>
    <s v="Lukov, Hrušoví č. ev. 163, PSČ 76317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9454671"/>
    <s v="Nadační fond CS CABOT"/>
    <s v="118"/>
    <x v="6"/>
    <x v="1"/>
    <s v="Valašské Meziříčí"/>
    <s v="Valašské Meziříčí, Krásno nad Bečvou, Masarykova 753, PSČ 75701"/>
    <s v="8899"/>
    <s v="Ostatní ambulantní nebo terénní sociální služby j. n."/>
    <m/>
    <m/>
    <m/>
    <m/>
    <m/>
    <m/>
    <m/>
    <m/>
    <m/>
    <m/>
    <m/>
    <m/>
    <m/>
    <m/>
    <m/>
    <m/>
    <m/>
  </r>
  <r>
    <s v="19959401"/>
    <s v="Nadační fond CSS MAXKO"/>
    <s v="118"/>
    <x v="6"/>
    <x v="0"/>
    <s v="Zlín"/>
    <s v="Zlín, K Pasekám 2984/4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25536"/>
    <s v="Nadační fond Čestmíra Vančury"/>
    <s v="118"/>
    <x v="6"/>
    <x v="0"/>
    <s v="Zlín"/>
    <s v="Zlín, Vavrečkova 5333, PSČ 76001"/>
    <s v="8559"/>
    <s v="Ostatní vzdělávání j. n."/>
    <s v="Činnosti ostatních organizací sdružujících osoby za účelem prosazování společných zájmů j. n."/>
    <s v="Podpůrné činnosti pro scénická umění"/>
    <m/>
    <m/>
    <m/>
    <m/>
    <m/>
    <m/>
    <m/>
    <m/>
    <m/>
    <m/>
    <m/>
    <m/>
    <m/>
    <m/>
    <m/>
  </r>
  <r>
    <s v="28304420"/>
    <s v="Nadační fond Dětský svět"/>
    <s v="118"/>
    <x v="6"/>
    <x v="2"/>
    <s v="Uherské Hradiště"/>
    <s v="Uherské Hradiště, Otakarova 82, PSČ 68601"/>
    <s v="9499"/>
    <s v="Činnosti ostatních organizací sdružujících osoby za účelem prosazování společných zájmů j. n."/>
    <s v="Ostatní vzdělávání j. n."/>
    <m/>
    <m/>
    <m/>
    <m/>
    <m/>
    <m/>
    <m/>
    <m/>
    <m/>
    <m/>
    <m/>
    <m/>
    <m/>
    <m/>
    <m/>
    <m/>
  </r>
  <r>
    <s v="61704008"/>
    <s v="Nadační fond Dr. Kachníka Nivnice"/>
    <s v="118"/>
    <x v="6"/>
    <x v="2"/>
    <s v="Nivnice"/>
    <s v="Nivnice, náměstí Míru 138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40401"/>
    <s v="Nadační fond EUROCORP"/>
    <s v="118"/>
    <x v="6"/>
    <x v="0"/>
    <s v="Valašské Klobouky"/>
    <s v="Valašské Klobouky, Sychrov 1061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415885"/>
    <s v="Nadační fond Filmana"/>
    <s v="118"/>
    <x v="6"/>
    <x v="0"/>
    <s v="Zlín"/>
    <s v="Zlín, Kudlov, Filmová 17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282887"/>
    <s v="Nadační fond Filmový festival Zlín"/>
    <s v="118"/>
    <x v="6"/>
    <x v="0"/>
    <s v="Zlín"/>
    <s v="Zlín, Kudlov, Filmová 174, PSČ 76001"/>
    <s v="59130"/>
    <s v="Distribuce filmů, videozáznamů a televizních programů"/>
    <m/>
    <m/>
    <m/>
    <m/>
    <m/>
    <m/>
    <m/>
    <m/>
    <m/>
    <m/>
    <m/>
    <m/>
    <m/>
    <m/>
    <m/>
    <m/>
    <m/>
  </r>
  <r>
    <s v="03021980"/>
    <s v="Nadační fond FILMTALENT ZLÍN"/>
    <s v="118"/>
    <x v="6"/>
    <x v="0"/>
    <s v="Zlín"/>
    <s v="Zlín, Kudlov, Filmová 174, PSČ 76001"/>
    <s v="7490"/>
    <s v="Ostatní profesní, vědecké a technické činnosti j. n."/>
    <s v="Tvůrčí, umělecké a zábavní činnosti"/>
    <s v="Činnosti v oblasti filmů, videozáznamů a televizních programů"/>
    <m/>
    <m/>
    <m/>
    <m/>
    <m/>
    <m/>
    <m/>
    <m/>
    <m/>
    <m/>
    <m/>
    <m/>
    <m/>
    <m/>
    <m/>
  </r>
  <r>
    <s v="09942289"/>
    <s v="Nadační fond Folklorika"/>
    <s v="118"/>
    <x v="6"/>
    <x v="2"/>
    <s v="Staré Město"/>
    <s v="Staré Město, Nádražní 575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884714"/>
    <s v="Nadační fond Future home"/>
    <s v="118"/>
    <x v="6"/>
    <x v="1"/>
    <s v="Vsetín"/>
    <s v="Vsetín, Horní Jasenka, Pod Babykou 28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229706"/>
    <s v="NADAČNÍ FOND GENERACE 21"/>
    <s v="118"/>
    <x v="6"/>
    <x v="3"/>
    <s v="Kroměříž"/>
    <s v="Kroměříž, Gen. Svobody 1221/1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131"/>
    <s v="Nadační fond GH 1899"/>
    <s v="118"/>
    <x v="6"/>
    <x v="3"/>
    <s v="Holešov"/>
    <s v="Holešov, Palackého 524/37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791929"/>
    <s v="Nadační fond GOLDEN APPLE CINEMA"/>
    <s v="118"/>
    <x v="6"/>
    <x v="3"/>
    <s v="Rajnochovice"/>
    <s v="Rajnochovice 109, PSČ 768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279746"/>
    <s v="Nadační fond Gymnázia Otrokovice"/>
    <s v="118"/>
    <x v="6"/>
    <x v="0"/>
    <s v="Otrokovice"/>
    <s v="Otrokovice, tř. Spojenců 907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773000"/>
    <s v="Nadační fond Gymnázia v Rožnově pod Radhoštěm"/>
    <s v="118"/>
    <x v="6"/>
    <x v="1"/>
    <s v="Rožnov pod Radhoštěm"/>
    <s v="Rožnov pod Radhoštěm, Koryčanské Paseky 1725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15824"/>
    <s v="NADAČNÍ FOND Gymnázia Zlín"/>
    <s v="118"/>
    <x v="6"/>
    <x v="0"/>
    <s v="Zlín"/>
    <s v="Zlín, Lesní čtvrť čp.13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851513"/>
    <s v="Nadační fond hospicové péče UH"/>
    <s v="118"/>
    <x v="6"/>
    <x v="2"/>
    <s v="Uherské Hradiště"/>
    <s v="Uherské Hradiště, Mariánské náměstí 78, PSČ 68601"/>
    <s v="9499"/>
    <s v="Činnosti ostatních organizací sdružujících osoby za účelem prosazování společných zájmů j. n."/>
    <s v="Podpůrné činnosti pro scénická umění"/>
    <m/>
    <m/>
    <m/>
    <m/>
    <m/>
    <m/>
    <m/>
    <m/>
    <m/>
    <m/>
    <m/>
    <m/>
    <m/>
    <m/>
    <m/>
    <m/>
  </r>
  <r>
    <s v="26271338"/>
    <s v="Nadační fond INTEGER"/>
    <s v="118"/>
    <x v="6"/>
    <x v="0"/>
    <s v="Zlín"/>
    <s v="Zlín, Boněcká 33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254736"/>
    <s v="Nadační fond Jana Antonína Bati"/>
    <s v="118"/>
    <x v="6"/>
    <x v="2"/>
    <s v="Uherské Hradiště"/>
    <s v="Uherské Hradiště, Rybárny, Moravní nábřeží 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98912"/>
    <s v="Nadační fond JMK"/>
    <s v="118"/>
    <x v="6"/>
    <x v="0"/>
    <s v="Štítná nad Vláří-Popov"/>
    <s v="Štítná nad Vláří-Popov, Štítná nad Vláří 206, PSČ 7633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8643755"/>
    <s v="Nadační fond &quot;Jonášek&quot;"/>
    <s v="118"/>
    <x v="6"/>
    <x v="1"/>
    <s v="Valašské Meziříčí"/>
    <s v="Valašské Meziříčí, Krásno nad Bečvou, Zašovská 75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5243"/>
    <s v="Nadační fond Kroměřížská mincovna"/>
    <s v="118"/>
    <x v="6"/>
    <x v="3"/>
    <s v="Kroměříž"/>
    <s v="Kroměříž, Velké náměstí 38/2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598847"/>
    <s v="Nadační fond Křídla pro život"/>
    <s v="118"/>
    <x v="6"/>
    <x v="0"/>
    <s v="Vizovice"/>
    <s v="Vizovice, Štěpská 949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3965620"/>
    <s v="Nadační fond LOVE Dědině"/>
    <s v="118"/>
    <x v="6"/>
    <x v="2"/>
    <s v="Ostrožská Nová Ves"/>
    <s v="Ostrožská Nová Ves, Dědina 2, PSČ 68722"/>
    <s v="9499"/>
    <s v="Činnosti ostatních organizací sdružujících osoby za účelem prosazování společných zájmů j. n."/>
    <s v="Ostatní vzdělávání"/>
    <s v="Podpůrné činnosti pro scénická umění"/>
    <s v="Ostatní sportovní činnosti"/>
    <m/>
    <m/>
    <m/>
    <m/>
    <m/>
    <m/>
    <m/>
    <m/>
    <m/>
    <m/>
    <m/>
    <m/>
    <m/>
    <m/>
  </r>
  <r>
    <s v="24774332"/>
    <s v="Nadační fond manželů Hradilových"/>
    <s v="118"/>
    <x v="6"/>
    <x v="1"/>
    <s v="Rožnov pod Radhoštěm"/>
    <s v="Rožnov pod Radhoštěm, Na Končinách 275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192072"/>
    <s v="Nadační fond Martiny a Martina Růžičkových"/>
    <s v="118"/>
    <x v="6"/>
    <x v="0"/>
    <s v="Zlín"/>
    <s v="Zlín, 2. května 2384, PSČ 76001"/>
    <s v="9499"/>
    <s v="Činnosti ostatních organizací sdružujících osoby za účelem prosazování společných zájmů j. n."/>
    <s v="Ostatní vzdělávání"/>
    <s v="Ostatní výzkum a vývoj v oblasti přírodních a technických věd"/>
    <m/>
    <m/>
    <m/>
    <m/>
    <m/>
    <m/>
    <m/>
    <m/>
    <m/>
    <m/>
    <m/>
    <m/>
    <m/>
    <m/>
    <m/>
  </r>
  <r>
    <s v="03640230"/>
    <s v="Nadační fond na podporu fotbalové mládeže Zlínského kraje"/>
    <s v="118"/>
    <x v="6"/>
    <x v="0"/>
    <s v="Zlín"/>
    <s v="Zlín, Hradská 854, PSČ 76001"/>
    <s v="93190"/>
    <s v="Ostatní sportovní činnosti"/>
    <m/>
    <m/>
    <m/>
    <m/>
    <m/>
    <m/>
    <m/>
    <m/>
    <m/>
    <m/>
    <m/>
    <m/>
    <m/>
    <m/>
    <m/>
    <m/>
    <m/>
  </r>
  <r>
    <s v="48473685"/>
    <s v="Nadační fond Nemocnice Milosrdných bratří ve Vizovicích"/>
    <s v="118"/>
    <x v="6"/>
    <x v="0"/>
    <s v="Vizovice"/>
    <s v="Vizovice, Zlínská 451, okres Zlín"/>
    <s v="88"/>
    <s v="Ambulantní nebo terénní sociální služby"/>
    <m/>
    <m/>
    <m/>
    <m/>
    <m/>
    <m/>
    <m/>
    <m/>
    <m/>
    <m/>
    <m/>
    <m/>
    <m/>
    <m/>
    <m/>
    <m/>
    <m/>
  </r>
  <r>
    <s v="46276408"/>
    <s v="Nadační fond Obchodní akademie Tomáše Bati Zlín"/>
    <s v="118"/>
    <x v="6"/>
    <x v="0"/>
    <s v="Zlín"/>
    <s v="Zlín, nám. T. G. Masaryka 366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669219"/>
    <s v="Nadační fond Opus Trinity"/>
    <s v="118"/>
    <x v="6"/>
    <x v="1"/>
    <s v="Zašová"/>
    <s v="Zašová 709, PSČ 75651"/>
    <s v="9499"/>
    <s v="Činnosti ostatních organizací sdružujících osoby za účelem prosazování společných zájmů j. n."/>
    <s v="Výroba, obchod a služby neuvedené v přílohách 1 až 3 živnostenského zákona"/>
    <s v="Ostatní vzdělávání"/>
    <s v="Ostatní pomocné činnosti související s finančním zprostředkováním"/>
    <s v="Činnosti reklamních agentur"/>
    <s v="Podpůrné činnosti pro scénická umění"/>
    <s v="Poskytování ostatních osobních služeb j. n."/>
    <m/>
    <m/>
    <m/>
    <m/>
    <m/>
    <m/>
    <m/>
    <m/>
    <m/>
    <m/>
    <m/>
  </r>
  <r>
    <s v="28272862"/>
    <s v="Nadační fond PASTELKA Základní školy Vizovice"/>
    <s v="118"/>
    <x v="6"/>
    <x v="0"/>
    <s v="Vizovice"/>
    <s v="Vizovice, Školní 790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535040"/>
    <s v="Nadační fond P.F.S."/>
    <s v="118"/>
    <x v="6"/>
    <x v="2"/>
    <s v="Staré Město"/>
    <s v="Staré Město, Zerzavice 2146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871957"/>
    <s v="Nadační fond Pramen Luhačovice"/>
    <s v="118"/>
    <x v="6"/>
    <x v="0"/>
    <s v="Luhačovice"/>
    <s v="Luhačovice, Antonína Slavíčka 267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24565"/>
    <s v="Nadační fond pro podporu ZUŠ Slovácko"/>
    <s v="118"/>
    <x v="6"/>
    <x v="2"/>
    <s v="Uherské Hradiště"/>
    <s v="Uherské Hradiště, Protzkarova 122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259096"/>
    <s v="Nadační fond pro rozvoj a podporu Slušovic"/>
    <s v="118"/>
    <x v="6"/>
    <x v="0"/>
    <s v="Slušovice"/>
    <s v="Slušovice, Rovná 654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454468"/>
    <s v="Nadační fond pro rozvoj vsetínské porodnice"/>
    <s v="118"/>
    <x v="6"/>
    <x v="1"/>
    <s v="Vsetín"/>
    <s v="Vsetín, Nemocniční 945, PSČ 755 32"/>
    <s v="8690"/>
    <s v="Ostatní činnosti související se zdravotní péčí"/>
    <m/>
    <m/>
    <m/>
    <m/>
    <m/>
    <m/>
    <m/>
    <m/>
    <m/>
    <m/>
    <m/>
    <m/>
    <m/>
    <m/>
    <m/>
    <m/>
    <m/>
  </r>
  <r>
    <s v="00380750"/>
    <s v="Nadační fond při Gymnáziu Kroměříž"/>
    <s v="118"/>
    <x v="6"/>
    <x v="3"/>
    <s v="Kroměříž"/>
    <s v="Kroměříž, Masarykovo náměstí 496/1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5211281"/>
    <s v="Nadační fond při Mateřské škole Valašské Meziříčí, Seifertova 160, okres Vsetín, příspěvková organizace"/>
    <s v="118"/>
    <x v="6"/>
    <x v="1"/>
    <s v="Valašské Meziříčí"/>
    <s v="Valašské Meziříčí, Krásno nad Bečvou, Seifertova 16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740794"/>
    <s v="Nadační fond při MŠ Kraiczova ul. 362, Valašské Meziříčí"/>
    <s v="118"/>
    <x v="6"/>
    <x v="1"/>
    <s v="Valašské Meziříčí"/>
    <s v="Valašské Meziříčí, Kraiczova 362/11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740808"/>
    <s v="Nadační fond při speciální škole pro sluchově postižené"/>
    <s v="118"/>
    <x v="6"/>
    <x v="1"/>
    <s v="Valašské Meziříčí"/>
    <s v="Valašské Meziříčí, Vsetínská 454/5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871"/>
    <s v="Nadační fond při Základní škole  Rožnov pod Radhoštěm, Tyršovo nábřeží"/>
    <s v="118"/>
    <x v="6"/>
    <x v="1"/>
    <s v="Rožnov pod Radhoštěm"/>
    <s v="Rožnov pod Radhoštěm, Tyršovo nábřeží 64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1904"/>
    <s v="Nadační fond při Základní škole Komenského II"/>
    <s v="118"/>
    <x v="6"/>
    <x v="0"/>
    <s v="Zlín"/>
    <s v="Zlín, Havlíčkovo nábřeží 256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832077"/>
    <s v="Nadační fond při Základní škole v Hošťálkové"/>
    <s v="118"/>
    <x v="6"/>
    <x v="1"/>
    <s v="Hošťálková"/>
    <s v="Hošťálková 380, PSČ 756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898606"/>
    <s v="Nadační fond při ZŠ Lešná"/>
    <s v="118"/>
    <x v="6"/>
    <x v="1"/>
    <s v="Lešná"/>
    <s v="Lešná 133, PSČ 756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76179"/>
    <s v="Nadační fond při ZŠ Vyhlídka"/>
    <s v="118"/>
    <x v="6"/>
    <x v="1"/>
    <s v="Valašské Meziříčí"/>
    <s v="Valašské Meziříčí, Králova 38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90294"/>
    <s v="Nadační fond RADOST"/>
    <s v="118"/>
    <x v="6"/>
    <x v="3"/>
    <s v="Kroměříž"/>
    <s v="Kroměříž, Jánská 197/9, PSČ 76701"/>
    <s v="88"/>
    <s v="Ambulantní nebo terénní sociální služby"/>
    <m/>
    <m/>
    <m/>
    <m/>
    <m/>
    <m/>
    <m/>
    <m/>
    <m/>
    <m/>
    <m/>
    <m/>
    <m/>
    <m/>
    <m/>
    <m/>
    <m/>
  </r>
  <r>
    <s v="22351761"/>
    <s v="Nadační fond rodiny Rafajových"/>
    <s v="118"/>
    <x v="6"/>
    <x v="1"/>
    <s v="Hutisko-Solanec"/>
    <s v="Hutisko-Solanec, Hutisko 205, PSČ 756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333444"/>
    <s v="Nadační fond rodiny Rudy"/>
    <s v="118"/>
    <x v="6"/>
    <x v="0"/>
    <s v="Vizovice"/>
    <s v="Vizovice, Nádražní 1136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282051"/>
    <s v="Nadační fond Rozvoj dostihového sportu ve Slušovicích"/>
    <s v="118"/>
    <x v="6"/>
    <x v="0"/>
    <s v="Slušovice"/>
    <s v="Slušovice, nám. Svobody 25, PSČ 76315"/>
    <s v="9499"/>
    <s v="Činnosti ostatních organizací sdružujících osoby za účelem prosazování společných zájmů j. n."/>
    <s v="Sportovní činnosti"/>
    <m/>
    <m/>
    <m/>
    <m/>
    <m/>
    <m/>
    <m/>
    <m/>
    <m/>
    <m/>
    <m/>
    <m/>
    <m/>
    <m/>
    <m/>
    <m/>
  </r>
  <r>
    <s v="62182323"/>
    <s v="Nadační fond rozvoje kulturního a duchovního života mládeže"/>
    <s v="118"/>
    <x v="6"/>
    <x v="0"/>
    <s v="Brumov-Bylnice"/>
    <s v="Brumov-Bylnice, Bylnice, Vlárská 283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39575"/>
    <s v="Nadační fond Řemeslo pomáhá"/>
    <s v="118"/>
    <x v="6"/>
    <x v="2"/>
    <s v="Staré Město"/>
    <s v="Staré Město, Huštěnovská 2004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03899"/>
    <s v="Nadační fond Sportovní agentura Slovácko"/>
    <s v="118"/>
    <x v="6"/>
    <x v="2"/>
    <s v="Uherské Hradiště"/>
    <s v="Uherské Hradiště, Stonky 860, PSČ 68601"/>
    <s v="93190"/>
    <s v="Ostatní sportovní činnosti"/>
    <m/>
    <m/>
    <m/>
    <m/>
    <m/>
    <m/>
    <m/>
    <m/>
    <m/>
    <m/>
    <m/>
    <m/>
    <m/>
    <m/>
    <m/>
    <m/>
    <m/>
  </r>
  <r>
    <s v="28319737"/>
    <s v="Nadační fond ST Consult"/>
    <s v="118"/>
    <x v="6"/>
    <x v="2"/>
    <s v="Uherské Hradiště"/>
    <s v="Uherské Hradiště, Menclovice 600, PSČ 68601"/>
    <s v="9499"/>
    <s v="Činnosti ostatních organizací sdružujících osoby za účelem prosazování společných zájmů j. n."/>
    <s v="Ambulantní nebo terénní sociální služby"/>
    <m/>
    <m/>
    <m/>
    <m/>
    <m/>
    <m/>
    <m/>
    <m/>
    <m/>
    <m/>
    <m/>
    <m/>
    <m/>
    <m/>
    <m/>
    <m/>
  </r>
  <r>
    <s v="44740671"/>
    <s v="Nadační fond Střední průmyslové školy stavební Valašské Meziříčí"/>
    <s v="118"/>
    <x v="6"/>
    <x v="1"/>
    <s v="Valašské Meziříčí"/>
    <s v="Valašské Meziříčí, Máchova 628/1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823761"/>
    <s v="Nadační fond Střední průmyslové školy strojnické Vsetín"/>
    <s v="118"/>
    <x v="6"/>
    <x v="1"/>
    <s v="Vsetín"/>
    <s v="Vsetín, Pod Strání 177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270031"/>
    <s v="Nadační fond Střední průmyslové školy Zlín"/>
    <s v="118"/>
    <x v="6"/>
    <x v="0"/>
    <s v="Zlín"/>
    <s v="Zlín, třída Tomáše Bati 4187, PSČ 76001"/>
    <s v="8559"/>
    <s v="Ostatní vzdělávání j. n."/>
    <s v="Sportovní činnosti"/>
    <s v="Ostatní zábavní a rekreační činnosti j. n."/>
    <m/>
    <m/>
    <m/>
    <m/>
    <m/>
    <m/>
    <m/>
    <m/>
    <m/>
    <m/>
    <m/>
    <m/>
    <m/>
    <m/>
    <m/>
  </r>
  <r>
    <s v="04697189"/>
    <s v="Nadační fond Střední školy gastronomie a obchodu Zlín"/>
    <s v="118"/>
    <x v="6"/>
    <x v="0"/>
    <s v="Zádveřice-Raková"/>
    <s v="Zádveřice-Raková, Zádveřice 425, PSČ 76312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08416800"/>
    <s v="Nadační fond Střední uměleckoprůmyslové školy Uherské Hradiště"/>
    <s v="118"/>
    <x v="6"/>
    <x v="0"/>
    <s v="Halenkovice"/>
    <s v="Halenkovice 724, PSČ 76363"/>
    <s v="94999"/>
    <s v="Činnosti ostatních organizací j. n."/>
    <m/>
    <m/>
    <m/>
    <m/>
    <m/>
    <m/>
    <m/>
    <m/>
    <m/>
    <m/>
    <m/>
    <m/>
    <m/>
    <m/>
    <m/>
    <m/>
    <m/>
  </r>
  <r>
    <s v="25837150"/>
    <s v="Nadační fond Střední zdravotnické školy ve Vsetíně"/>
    <s v="118"/>
    <x v="6"/>
    <x v="1"/>
    <s v="Vsetín"/>
    <s v="Vsetín, nám. Svobody 80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334638"/>
    <s v="Nadační fond &quot;Student&quot;"/>
    <s v="118"/>
    <x v="6"/>
    <x v="1"/>
    <s v="Valašské Meziříčí"/>
    <s v="Valašské Meziříčí, Krásno nad Bečvou, Masarykova 101/1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730628"/>
    <s v="Nadační fond SVĚT OKEN"/>
    <s v="118"/>
    <x v="6"/>
    <x v="1"/>
    <s v="Vsetín"/>
    <s v="Vsetín, Jasenická 1254, PSČ 75501"/>
    <s v="9499"/>
    <s v="Činnosti ostatních organizací sdružujících osoby za účelem prosazování společných zájmů j. n."/>
    <s v="Ambulantní nebo terénní sociální služby"/>
    <m/>
    <m/>
    <m/>
    <m/>
    <m/>
    <m/>
    <m/>
    <m/>
    <m/>
    <m/>
    <m/>
    <m/>
    <m/>
    <m/>
    <m/>
    <m/>
  </r>
  <r>
    <s v="66184363"/>
    <s v="Nadační fond SZeŠ Rožnov pod Radhoštěm"/>
    <s v="118"/>
    <x v="6"/>
    <x v="1"/>
    <s v="Rožnov pod Radhoštěm"/>
    <s v="Rožnov pod Radhoštěm, nábřeží Dukelských hrdinů 57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83353"/>
    <s v="Nadační fond Talent házená - šance pro všechny"/>
    <s v="118"/>
    <x v="6"/>
    <x v="1"/>
    <s v="Zubří"/>
    <s v="Zubří, Hlavní 492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85422"/>
    <s v="Nadační fond VIAIVA"/>
    <s v="118"/>
    <x v="6"/>
    <x v="2"/>
    <s v="Uherské Hradiště"/>
    <s v="Uherské Hradiště, Poštovní 25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3992"/>
    <s v="Nadační fond Vyšší odborné školy pedagogické a sociální a Střední pedagogické školy v Kroměříži"/>
    <s v="118"/>
    <x v="6"/>
    <x v="3"/>
    <s v="Kroměříž"/>
    <s v="Kroměříž, 1. máje 221/10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361567"/>
    <s v="Nadační fond YASMINKA"/>
    <s v="118"/>
    <x v="6"/>
    <x v="3"/>
    <s v="Koryčany"/>
    <s v="Koryčany, Masarykova 497, PSČ 76805"/>
    <s v="88"/>
    <s v="Ambulantní nebo terénní sociální služby"/>
    <m/>
    <m/>
    <m/>
    <m/>
    <m/>
    <m/>
    <m/>
    <m/>
    <m/>
    <m/>
    <m/>
    <m/>
    <m/>
    <m/>
    <m/>
    <m/>
    <m/>
  </r>
  <r>
    <s v="26817608"/>
    <s v="Nadační fond Základní školy Dolní Bečva, okres Vsetín"/>
    <s v="118"/>
    <x v="6"/>
    <x v="1"/>
    <s v="Dolní Bečva"/>
    <s v="Dolní Bečva 578, PSČ 7565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990520"/>
    <s v="Nadační fond Základní školy Karolinka"/>
    <s v="118"/>
    <x v="6"/>
    <x v="1"/>
    <s v="Karolinka"/>
    <s v="Karolinka, Kobylská 250, PSČ 75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618"/>
    <s v="Nadační fond Základní školy Rožnov pod Radhoštěm, Koryčanské Paseky 467"/>
    <s v="118"/>
    <x v="6"/>
    <x v="1"/>
    <s v="Rožnov pod Radhoštěm"/>
    <s v="Rožnov pod Radhoštěm, Sevastopolská 46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881582"/>
    <s v="Nadační fond Základní školy T.G. Masaryka Horní Bečva"/>
    <s v="118"/>
    <x v="6"/>
    <x v="1"/>
    <s v="Horní Bečva"/>
    <s v="Horní Bečva 793, PSČ 7565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863668"/>
    <s v="Nadační fond Základní školy Vidče"/>
    <s v="118"/>
    <x v="6"/>
    <x v="1"/>
    <s v="Vidče"/>
    <s v="Vidče 181, PSČ 756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990163"/>
    <s v="Nadační fond Základní školy Videčská ulice Rožnov pod Radhoštěm"/>
    <s v="118"/>
    <x v="6"/>
    <x v="1"/>
    <s v="Rožnov pod Radhoštěm"/>
    <s v="Rožnov pod Radhoštěm, Videčská 6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566"/>
    <s v="Nadační fond Základní školy Zubří"/>
    <s v="118"/>
    <x v="6"/>
    <x v="1"/>
    <s v="Zubří"/>
    <s v="Zubří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316"/>
    <s v="Nadační fond Základní školy 5.května"/>
    <s v="118"/>
    <x v="6"/>
    <x v="1"/>
    <s v="Rožnov pod Radhoštěm"/>
    <s v="Rožnov pod Radhoštěm, 5. května 170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1122"/>
    <s v="Nadační fond základní umělecké školy Zlín Štefánikova"/>
    <s v="118"/>
    <x v="6"/>
    <x v="0"/>
    <s v="Zlín"/>
    <s v="Zlín, Štefánikova 91, PSČ 76001"/>
    <s v="9499"/>
    <s v="Činnosti ostatních organizací sdružujících osoby za účelem prosazování společných zájmů j. n."/>
    <s v="Vydávání knih, periodických publikací a ostatní vydavatelské činnosti"/>
    <m/>
    <m/>
    <m/>
    <m/>
    <m/>
    <m/>
    <m/>
    <m/>
    <m/>
    <m/>
    <m/>
    <m/>
    <m/>
    <m/>
    <m/>
    <m/>
  </r>
  <r>
    <s v="09526714"/>
    <s v="Nadační fond ZET"/>
    <s v="118"/>
    <x v="6"/>
    <x v="2"/>
    <s v="Uherský Ostroh"/>
    <s v="Uherský Ostroh, Třebízského 82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715762"/>
    <s v="Nadační fond Zikmundova vila"/>
    <s v="118"/>
    <x v="6"/>
    <x v="0"/>
    <s v="Zlín"/>
    <s v="Zlín, Žlebová 2894, PSČ 76001"/>
    <s v="9002"/>
    <s v="Podpůrné činnosti pro scénická umění"/>
    <s v="Specializované stavební činnosti"/>
    <m/>
    <m/>
    <m/>
    <m/>
    <m/>
    <m/>
    <m/>
    <m/>
    <m/>
    <m/>
    <m/>
    <m/>
    <m/>
    <m/>
    <m/>
    <m/>
  </r>
  <r>
    <s v="07699638"/>
    <s v="Nadační fond Zkruhu"/>
    <s v="118"/>
    <x v="6"/>
    <x v="1"/>
    <s v="Rožnov pod Radhoštěm"/>
    <s v="Rožnov pod Radhoštěm, Čs. armády 1168, PSČ 7566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6184509"/>
    <s v="Nadační fond ZŠ a MŠ Hutisko - Solanec"/>
    <s v="118"/>
    <x v="6"/>
    <x v="1"/>
    <s v="Hutisko-Solanec"/>
    <s v="Hutisko-Solanec, Hutisko 605, PSČ 756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810379"/>
    <s v="Nadační fond ZŠ Horní Lideč"/>
    <s v="118"/>
    <x v="6"/>
    <x v="1"/>
    <s v="Horní Lideč"/>
    <s v="Horní Lideč 200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830643"/>
    <s v="Nadační fond ZŠ Loučka"/>
    <s v="118"/>
    <x v="6"/>
    <x v="1"/>
    <s v="Loučka"/>
    <s v="Loučka 188, PSČ 756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502"/>
    <s v="Nadační fond ZŠ Záhumení, Rožnov p. R."/>
    <s v="118"/>
    <x v="6"/>
    <x v="1"/>
    <s v="Rožnov pod Radhoštěm"/>
    <s v="Rožnov pod Radhoštěm, Boženy Němcové 118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807981"/>
    <s v="Nadační fond ZŮSTANEME DOMA"/>
    <s v="118"/>
    <x v="6"/>
    <x v="0"/>
    <s v="Zlín"/>
    <s v="Zlín, K Pasekám 2984/45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8898746"/>
    <s v="Nadační fond ZUŠ Alfréda Radoka"/>
    <s v="118"/>
    <x v="6"/>
    <x v="1"/>
    <s v="Valašské Meziříčí"/>
    <s v="Valašské Meziříčí, Komenského 67/1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5211752"/>
    <s v="Nadační fond ZvŠ Horní Lideč"/>
    <s v="118"/>
    <x v="6"/>
    <x v="1"/>
    <s v="Horní Lideč"/>
    <s v="Horní Lideč 130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647081"/>
    <s v="Nadační fond ŽIVOT DRUHÝM"/>
    <s v="118"/>
    <x v="6"/>
    <x v="3"/>
    <s v="Kroměříž"/>
    <s v="Kroměříž, Bílany 4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08421"/>
    <s v="Naděje Kavalíra Charlie"/>
    <s v="706"/>
    <x v="1"/>
    <x v="2"/>
    <s v="Uherské Hradiště"/>
    <s v="Uherské Hradiště, Mařatice, Praporce 1131, PSČ 686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9378800"/>
    <s v="NADĚJE, otrokovická o.p.s."/>
    <s v="141"/>
    <x v="2"/>
    <x v="0"/>
    <s v="Otrokovice"/>
    <s v="Otrokovice, Wolkerova 1274, PSČ 76502"/>
    <s v="889"/>
    <s v="Ostatní ambulantní nebo terénní sociální služby"/>
    <s v="Výroba pekařských, cukrářských a jiných moučných výrobků"/>
    <s v="Maloobchod v nespecializovaných prodejnách"/>
    <s v="Stravování v restauracích, u stánků a v mobilních zařízeních"/>
    <s v="Destilace, rektifikace a míchání lihovin"/>
    <m/>
    <m/>
    <m/>
    <m/>
    <m/>
    <m/>
    <m/>
    <m/>
    <m/>
    <m/>
    <m/>
    <m/>
    <m/>
  </r>
  <r>
    <s v="26517477"/>
    <s v="Naděje psů a koček"/>
    <s v="706"/>
    <x v="1"/>
    <x v="2"/>
    <s v="Uherské Hradiště"/>
    <s v="Uherské Hradiště, Za Alejí 1008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734020"/>
    <s v="Najdi svou krásu, z. s."/>
    <s v="706"/>
    <x v="1"/>
    <x v="3"/>
    <s v="Holešov"/>
    <s v="Holešov, Všetuly, Zahradní 67, PSČ 76901"/>
    <s v="9499"/>
    <s v="Činnosti ostatních organizací sdružujících osoby za účelem prosazování společných zájmů j. n."/>
    <s v="Výroba, obchod a služby neuvedené v přílohách 1 až 3 živnostenského zákona"/>
    <s v="Ostatní zpracovatelský průmysl"/>
    <s v="Ostatní vzdělávání"/>
    <m/>
    <m/>
    <m/>
    <m/>
    <m/>
    <m/>
    <m/>
    <m/>
    <m/>
    <m/>
    <m/>
    <m/>
    <m/>
    <m/>
  </r>
  <r>
    <s v="04854829"/>
    <s v="Naked Bastet, z.s."/>
    <s v="706"/>
    <x v="1"/>
    <x v="0"/>
    <s v="Slušovice"/>
    <s v="Slušovice 83, PSČ 76315"/>
    <s v="94993"/>
    <s v="Činnosti organizací na podporu rekreační a zájmové činnosti"/>
    <s v="Velkoobchod, kromě motorových vozidel"/>
    <s v="Maloobchod, kromě motorových vozidel"/>
    <m/>
    <m/>
    <m/>
    <m/>
    <m/>
    <m/>
    <m/>
    <m/>
    <m/>
    <m/>
    <m/>
    <m/>
    <m/>
    <m/>
    <m/>
  </r>
  <r>
    <s v="28561091"/>
    <s v="Námořnická Unie o.s."/>
    <s v="706"/>
    <x v="1"/>
    <x v="0"/>
    <s v="Zlín"/>
    <s v="Zlín, Štefánikova 218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87600"/>
    <s v="NANY BIKE ZLÍN"/>
    <s v="706"/>
    <x v="1"/>
    <x v="0"/>
    <s v="Zlín"/>
    <s v="Zlín, Dukelská 4003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827863"/>
    <s v="Národní centrum nábytkového designu, obecně prospěšná společnost"/>
    <s v="141"/>
    <x v="2"/>
    <x v="3"/>
    <s v="Bystřice pod Hostýnem"/>
    <s v="Bystřice pod Hostýnem, Pod Platany 1, PSČ 76861"/>
    <s v="741"/>
    <s v="Specializované návrhářské činnosti"/>
    <s v="Ostatní profesní, vědecké a technické činnosti j. n."/>
    <m/>
    <m/>
    <m/>
    <m/>
    <m/>
    <m/>
    <m/>
    <m/>
    <m/>
    <m/>
    <m/>
    <m/>
    <m/>
    <m/>
    <m/>
    <m/>
  </r>
  <r>
    <s v="01344293"/>
    <s v="Národní házenkářský archiv"/>
    <s v="706"/>
    <x v="1"/>
    <x v="2"/>
    <s v="Uherské Hradiště"/>
    <s v="Uherské Hradiště, Mařatice, Derflanská 1009, PSČ 68605"/>
    <s v="93190"/>
    <s v="Ostatní sportovní činnosti"/>
    <m/>
    <m/>
    <m/>
    <m/>
    <m/>
    <m/>
    <m/>
    <m/>
    <m/>
    <m/>
    <m/>
    <m/>
    <m/>
    <m/>
    <m/>
    <m/>
    <m/>
  </r>
  <r>
    <s v="70922900"/>
    <s v="Národní institut pro integraci osob s omezenou schopností pohybu a orientace České republiky, Krajská organizace Zlínského kraje, o.s."/>
    <s v="736"/>
    <x v="0"/>
    <x v="0"/>
    <s v="Zlín"/>
    <s v="Zlín, Zálešná I 405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42375"/>
    <s v="Národní institut pro integraci osob s omezenou schopností pohybu a orientace České republiky, o.s. (oficiální zkratka - NIPI ČR, o. s.)"/>
    <s v="736"/>
    <x v="0"/>
    <x v="0"/>
    <s v="Zlín"/>
    <s v="Zlín, Zálešná I 405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80843"/>
    <s v="Národní sekce Mezinárodní organizace lidového umění v České republice, z.s."/>
    <s v="706"/>
    <x v="1"/>
    <x v="1"/>
    <s v="Rožnov pod Radhoštěm"/>
    <s v="Rožnov pod Radhoštěm, Palackého 14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198245"/>
    <s v="Národní studentská organizace z.s."/>
    <s v="706"/>
    <x v="1"/>
    <x v="0"/>
    <s v="Zlín"/>
    <s v="Zlín, Slovenská 551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9553"/>
    <s v="Národopisný krúžek Dolněmčan, z.s."/>
    <s v="706"/>
    <x v="1"/>
    <x v="2"/>
    <s v="Dolní Němčí"/>
    <s v="Dolní Němčí, Hlucká 108, PSČ 687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8025"/>
    <s v="Národopisný soubor Závršan, z.s."/>
    <s v="706"/>
    <x v="1"/>
    <x v="0"/>
    <s v="Návojná"/>
    <s v="Návojná 21, PSČ 763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10878"/>
    <s v="Národopisný spolek Klobučan"/>
    <s v="706"/>
    <x v="1"/>
    <x v="0"/>
    <s v="Valašské Klobouky"/>
    <s v="Valašské Klobouky, Záhumení 517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54494"/>
    <s v="NÁRUČ LASKAVOSTI z.s."/>
    <s v="706"/>
    <x v="1"/>
    <x v="0"/>
    <s v="Zlín"/>
    <s v="Zlín, Kostelec, Jetelová 598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819847"/>
    <s v="Náš kolektiv, z. s."/>
    <s v="706"/>
    <x v="1"/>
    <x v="3"/>
    <s v="Kroměříž"/>
    <s v="Kroměříž, Vodní 82/27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838881"/>
    <s v="Naše Bartoška, z. s."/>
    <s v="706"/>
    <x v="1"/>
    <x v="0"/>
    <s v="Zlín"/>
    <s v="Zlín, Příluky, Zborovská 414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5880"/>
    <s v="Naše děti, Vaše šance z.s."/>
    <s v="706"/>
    <x v="1"/>
    <x v="1"/>
    <s v="Valašské Meziříčí"/>
    <s v="Valašské Meziříčí, Podlesí č. ev. 104, PSČ 75701"/>
    <s v="94991"/>
    <s v="Činnosti organizací dětí a mládeže"/>
    <m/>
    <m/>
    <m/>
    <m/>
    <m/>
    <m/>
    <m/>
    <m/>
    <m/>
    <m/>
    <m/>
    <m/>
    <m/>
    <m/>
    <m/>
    <m/>
    <m/>
  </r>
  <r>
    <s v="22860584"/>
    <s v="Naše Valašsko, z.s."/>
    <s v="706"/>
    <x v="1"/>
    <x v="1"/>
    <s v="Velké Karlovice"/>
    <s v="Velké Karlovice 190, PSČ 756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64165"/>
    <s v="&quot;NATANAEL&quot;"/>
    <s v="706"/>
    <x v="1"/>
    <x v="0"/>
    <s v="Napajedla"/>
    <s v="Napajedla, Příční 732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031448"/>
    <s v="National Reining Horse Association Czech, z.s."/>
    <s v="706"/>
    <x v="1"/>
    <x v="0"/>
    <s v="Zádveřice-Raková"/>
    <s v="Zádveřice-Raková, Zádveřice 8, PSČ 76312"/>
    <s v="93190"/>
    <s v="Ostatní sportovní činnosti"/>
    <s v="Ostatní vzdělávání"/>
    <m/>
    <m/>
    <m/>
    <m/>
    <m/>
    <m/>
    <m/>
    <m/>
    <m/>
    <m/>
    <m/>
    <m/>
    <m/>
    <m/>
    <m/>
    <m/>
  </r>
  <r>
    <s v="05506671"/>
    <s v="Natura Nobis, z.s."/>
    <s v="706"/>
    <x v="1"/>
    <x v="2"/>
    <s v="Hluk"/>
    <s v="Hluk, Hlavní 66, PSČ 68725"/>
    <s v="94995"/>
    <s v="Činnosti environmentálních a ekologických hnutí"/>
    <m/>
    <m/>
    <m/>
    <m/>
    <m/>
    <m/>
    <m/>
    <m/>
    <m/>
    <m/>
    <m/>
    <m/>
    <m/>
    <m/>
    <m/>
    <m/>
    <m/>
  </r>
  <r>
    <s v="26661039"/>
    <s v="Nature"/>
    <s v="706"/>
    <x v="1"/>
    <x v="2"/>
    <s v="Staré Město"/>
    <s v="Staré Město, Erbenova 1264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14929"/>
    <s v="Nava Gókula z.s."/>
    <s v="706"/>
    <x v="1"/>
    <x v="3"/>
    <s v="Morkovice-Slížany"/>
    <s v="Morkovice-Slížany, Morkovice, Skavsko 519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05933"/>
    <s v="Návrat"/>
    <s v="706"/>
    <x v="1"/>
    <x v="0"/>
    <s v="Zlín"/>
    <s v="Zlín, Polní 4575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06553"/>
    <s v="“Návrat ovečky do Bílých Karpat - občanské sdružení“"/>
    <s v="706"/>
    <x v="1"/>
    <x v="0"/>
    <s v="Valašské Klobouky"/>
    <s v="Valašské Klobouky, Brumovská 918, PSČ 76601"/>
    <s v="94995"/>
    <s v="Činnosti environmentálních a ekologických hnutí"/>
    <m/>
    <m/>
    <m/>
    <m/>
    <m/>
    <m/>
    <m/>
    <m/>
    <m/>
    <m/>
    <m/>
    <m/>
    <m/>
    <m/>
    <m/>
    <m/>
    <m/>
  </r>
  <r>
    <s v="26616165"/>
    <s v="NAZ5"/>
    <s v="706"/>
    <x v="1"/>
    <x v="1"/>
    <s v="Rožnov pod Radhoštěm"/>
    <s v="Rožnov pod Radhoštěm, Dubková 152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091706"/>
    <s v="Nebuďme lhostejní z. s."/>
    <s v="706"/>
    <x v="1"/>
    <x v="0"/>
    <s v="Tečovice"/>
    <s v="Tečovice 79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981"/>
    <s v="Nedachlebjan, zapsaný spolek"/>
    <s v="706"/>
    <x v="1"/>
    <x v="2"/>
    <s v="Nedachlebice"/>
    <s v="Bílovice, Nedachlebice 25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3911"/>
    <s v="Nedoslýchaví Slovácka, z.s."/>
    <s v="706"/>
    <x v="1"/>
    <x v="2"/>
    <s v="Uherský Ostroh"/>
    <s v="Uherský Ostroh, Mašovy 275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3440"/>
    <s v="NEKKY, z.s."/>
    <s v="706"/>
    <x v="1"/>
    <x v="0"/>
    <s v="Zlín"/>
    <s v="Zlín, Valachův žleb 5371, PSČ 76005"/>
    <s v="94991"/>
    <s v="Činnosti organizací dětí a mládeže"/>
    <m/>
    <m/>
    <m/>
    <m/>
    <m/>
    <m/>
    <m/>
    <m/>
    <m/>
    <m/>
    <m/>
    <m/>
    <m/>
    <m/>
    <m/>
    <m/>
    <m/>
  </r>
  <r>
    <s v="26516861"/>
    <s v="NĚKOLIKASPŘEŽÍ, z.s."/>
    <s v="706"/>
    <x v="1"/>
    <x v="2"/>
    <s v="Uherské Hradiště"/>
    <s v="Uherské Hradiště, Mariánské náměstí 12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49419"/>
    <s v="NEMO Zlín, pobočný spolek SPMS"/>
    <s v="736"/>
    <x v="0"/>
    <x v="0"/>
    <s v="Zlín"/>
    <s v="Zlín, Smetanova 2401"/>
    <s v="931"/>
    <s v="Sportovní činnosti"/>
    <m/>
    <m/>
    <m/>
    <m/>
    <m/>
    <m/>
    <m/>
    <m/>
    <m/>
    <m/>
    <m/>
    <m/>
    <m/>
    <m/>
    <m/>
    <m/>
    <m/>
  </r>
  <r>
    <s v="04615727"/>
    <s v="Nestátní Nezisková Organizace Lotos z.s."/>
    <s v="706"/>
    <x v="1"/>
    <x v="3"/>
    <s v="Morkovice-Slížany"/>
    <s v="Morkovice-Slížany, Morkovice, Skavsko 520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3673"/>
    <s v="Neurona, z.s."/>
    <s v="706"/>
    <x v="1"/>
    <x v="1"/>
    <s v="Lidečko"/>
    <s v="Lidečko 287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164863"/>
    <s v="NEVODROM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20411"/>
    <s v="„Nevšová dětem, o.s.”"/>
    <s v="706"/>
    <x v="1"/>
    <x v="0"/>
    <s v="Slavičín"/>
    <s v="Slavičín, Nevšová 46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813875"/>
    <s v="Next RC Rally, z.s."/>
    <s v="706"/>
    <x v="1"/>
    <x v="0"/>
    <s v="Zlín"/>
    <s v="Zlín, Bratří Jaroňků 406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31784"/>
    <s v="NEZÁVISLÉ SDRUŽENÍ AKCIONÁŘŮ akciové společnosti Pozemního stavitelství Zlín"/>
    <s v="706"/>
    <x v="1"/>
    <x v="0"/>
    <s v="Zlín"/>
    <s v="Zlín, Mostní 948, PSČ 760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239998"/>
    <s v="Neziskovka, z.s."/>
    <s v="706"/>
    <x v="1"/>
    <x v="0"/>
    <s v="Valašské Klobouky"/>
    <s v="Valašské Klobouky, Masarykovo náměstí 103, PSČ 76601"/>
    <s v="855"/>
    <s v="Ostatní vzdělávání"/>
    <s v="Pronájem a správa vlastních nebo pronajatých nemovitostí"/>
    <s v="Činnosti ostatních organizací sdružujících osoby za účelem prosazování společných zájmů j. n."/>
    <m/>
    <m/>
    <m/>
    <m/>
    <m/>
    <m/>
    <m/>
    <m/>
    <m/>
    <m/>
    <m/>
    <m/>
    <m/>
    <m/>
    <m/>
  </r>
  <r>
    <s v="21082278"/>
    <s v="N.F.R.K., rodinný nadační fond"/>
    <s v="118"/>
    <x v="6"/>
    <x v="1"/>
    <s v="Valašské Meziříčí"/>
    <s v="Valašské Meziříčí, Krásno nad Bečvou, M. Alše 78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91277"/>
    <s v="NIEMANDI z. s."/>
    <s v="706"/>
    <x v="1"/>
    <x v="0"/>
    <s v="Provodov"/>
    <s v="Provodov 240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2859"/>
    <s v="NIMBUS z.s."/>
    <s v="706"/>
    <x v="1"/>
    <x v="2"/>
    <s v="Vlčnov"/>
    <s v="Vlčnov 1099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5530"/>
    <s v="NIVNIČKA, z. s."/>
    <s v="706"/>
    <x v="1"/>
    <x v="2"/>
    <s v="Nivnice"/>
    <s v="Nivnice, Komenského 101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3651"/>
    <s v="&quot;Nivy IV Zlín&quot;"/>
    <s v="706"/>
    <x v="1"/>
    <x v="0"/>
    <s v="Zlín"/>
    <s v="Zlín, Kvítková 1569/5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4878"/>
    <s v="NK Slavičín"/>
    <s v="706"/>
    <x v="1"/>
    <x v="0"/>
    <s v="Slavičín"/>
    <s v="Slavičín, K Hájenkám 314, PSČ 76321"/>
    <s v="93110"/>
    <s v="Provozování sportovních zařízení"/>
    <m/>
    <m/>
    <m/>
    <m/>
    <m/>
    <m/>
    <m/>
    <m/>
    <m/>
    <m/>
    <m/>
    <m/>
    <m/>
    <m/>
    <m/>
    <m/>
    <m/>
  </r>
  <r>
    <s v="68898487"/>
    <s v="Nohejbal klub Vsetín, z.s."/>
    <s v="706"/>
    <x v="1"/>
    <x v="1"/>
    <s v="Vsetín"/>
    <s v="Vsetín, Mostecká 367, PSČ 75501"/>
    <s v="93120"/>
    <s v="Činnosti sportovních klubů"/>
    <m/>
    <m/>
    <m/>
    <m/>
    <m/>
    <m/>
    <m/>
    <m/>
    <m/>
    <m/>
    <m/>
    <m/>
    <m/>
    <m/>
    <m/>
    <m/>
    <m/>
  </r>
  <r>
    <s v="18188401"/>
    <s v="Nohejbalový klub Bajda Kroměříž, z.s."/>
    <s v="706"/>
    <x v="1"/>
    <x v="3"/>
    <s v="Kroměříž"/>
    <s v="Kroměříž, Na Sladovnách 1496/18, PSČ 76701"/>
    <s v="93120"/>
    <s v="Činnosti sportovních klubů"/>
    <m/>
    <m/>
    <m/>
    <m/>
    <m/>
    <m/>
    <m/>
    <m/>
    <m/>
    <m/>
    <m/>
    <m/>
    <m/>
    <m/>
    <m/>
    <m/>
    <m/>
  </r>
  <r>
    <s v="22885170"/>
    <s v="Nordika Ski Zlín, z.s."/>
    <s v="706"/>
    <x v="1"/>
    <x v="0"/>
    <s v="Zlín"/>
    <s v="Zlín, nám. T. G. Masaryka 1281, PSČ 76001"/>
    <s v="93190"/>
    <s v="Ostatní sportovní činnosti"/>
    <m/>
    <m/>
    <m/>
    <m/>
    <m/>
    <m/>
    <m/>
    <m/>
    <m/>
    <m/>
    <m/>
    <m/>
    <m/>
    <m/>
    <m/>
    <m/>
    <m/>
  </r>
  <r>
    <s v="22896074"/>
    <s v="„NOS OMNIS”"/>
    <s v="706"/>
    <x v="1"/>
    <x v="0"/>
    <s v="Horní Lhota"/>
    <s v="Horní Lhota 122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0622"/>
    <s v="NOTABENE Bojkovice z.s."/>
    <s v="706"/>
    <x v="1"/>
    <x v="2"/>
    <s v="Bojkovice"/>
    <s v="Bojkovice, Sušilova 95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3863"/>
    <s v="„Nová Míle”"/>
    <s v="706"/>
    <x v="1"/>
    <x v="1"/>
    <s v="Halenkov"/>
    <s v="Halenkov 9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48701"/>
    <s v="NOVA poradenské centrum z.s."/>
    <s v="706"/>
    <x v="1"/>
    <x v="2"/>
    <s v="Rudice"/>
    <s v="Rudice 134, PSČ 687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94529"/>
    <s v="Nová Snaha z. s."/>
    <s v="706"/>
    <x v="1"/>
    <x v="1"/>
    <s v="Jarcová"/>
    <s v="Jarcová 20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70097"/>
    <s v="Nové proudy"/>
    <s v="706"/>
    <x v="1"/>
    <x v="2"/>
    <s v="Nezdenice"/>
    <s v="Nezdenice 213, PSČ 687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310211"/>
    <s v="Nové Slovácko o.p.s."/>
    <s v="141"/>
    <x v="2"/>
    <x v="2"/>
    <s v="Uherský Brod"/>
    <s v="Uherský Brod, Vlčnovská 2344, PSČ 68801"/>
    <s v="9499"/>
    <s v="Činnosti ostatních organizací sdružujících osoby za účelem prosazování společných zájmů j. n."/>
    <s v="Ostatní profesní, vědecké a technické činnosti j. n."/>
    <s v="Činnosti organizací na podporu rekreační a zájmové činnosti"/>
    <m/>
    <m/>
    <m/>
    <m/>
    <m/>
    <m/>
    <m/>
    <m/>
    <m/>
    <m/>
    <m/>
    <m/>
    <m/>
    <m/>
    <m/>
  </r>
  <r>
    <s v="04015461"/>
    <s v="Nový cestovatel, z.s."/>
    <s v="706"/>
    <x v="1"/>
    <x v="3"/>
    <s v="Kvasice"/>
    <s v="Kvasice, Čtvrtky 702, PSČ 768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9370421"/>
    <s v="NRC klub v AČR"/>
    <s v="736"/>
    <x v="0"/>
    <x v="0"/>
    <s v="Vlčková"/>
    <s v="Vlčková 82, PSČ 7631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15015"/>
    <s v="Nuntius Regis, spolek šermu, tance a divadla"/>
    <s v="706"/>
    <x v="1"/>
    <x v="0"/>
    <s v="Žlutava"/>
    <s v="Žlutava 194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54410"/>
    <s v="&quot;o. s. Edukta&quot;"/>
    <s v="706"/>
    <x v="1"/>
    <x v="1"/>
    <s v="Kelč"/>
    <s v="Kelč 32"/>
    <s v="94991"/>
    <s v="Činnosti organizací dětí a mládeže"/>
    <m/>
    <m/>
    <m/>
    <m/>
    <m/>
    <m/>
    <m/>
    <m/>
    <m/>
    <m/>
    <m/>
    <m/>
    <m/>
    <m/>
    <m/>
    <m/>
    <m/>
  </r>
  <r>
    <s v="22612629"/>
    <s v="o. s. Jídlopis"/>
    <s v="706"/>
    <x v="1"/>
    <x v="1"/>
    <s v="Nový Hrozenkov"/>
    <s v="Nový Hrozenkov 725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5954"/>
    <s v="O. s. Občané Napajedel"/>
    <s v="706"/>
    <x v="1"/>
    <x v="0"/>
    <s v="Napajedla"/>
    <s v="Napajedla, 1. máje 1053, PSČ 76361"/>
    <s v="94995"/>
    <s v="Činnosti environmentálních a ekologických hnutí"/>
    <m/>
    <m/>
    <m/>
    <m/>
    <m/>
    <m/>
    <m/>
    <m/>
    <m/>
    <m/>
    <m/>
    <m/>
    <m/>
    <m/>
    <m/>
    <m/>
    <m/>
  </r>
  <r>
    <s v="01780905"/>
    <s v="O Valašského pilařa, o.s."/>
    <s v="706"/>
    <x v="1"/>
    <x v="1"/>
    <s v="Karolinka"/>
    <s v="Karolinka, Vsetínská 597, PSČ 75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03033"/>
    <s v="OB Holešov z. s."/>
    <s v="706"/>
    <x v="1"/>
    <x v="3"/>
    <s v="Holešov"/>
    <s v="Holešov, Holajka 1018/4, PSČ 76901"/>
    <s v="93190"/>
    <s v="Ostatní sportovní činnosti"/>
    <m/>
    <m/>
    <m/>
    <m/>
    <m/>
    <m/>
    <m/>
    <m/>
    <m/>
    <m/>
    <m/>
    <m/>
    <m/>
    <m/>
    <m/>
    <m/>
    <m/>
  </r>
  <r>
    <s v="26579596"/>
    <s v="OB Vizovice z.s."/>
    <s v="706"/>
    <x v="1"/>
    <x v="0"/>
    <s v="Vizovice"/>
    <s v="Vizovice, 3. května 1280, PSČ 76312"/>
    <s v="93110"/>
    <s v="Provozování sportovních zařízení"/>
    <m/>
    <m/>
    <m/>
    <m/>
    <m/>
    <m/>
    <m/>
    <m/>
    <m/>
    <m/>
    <m/>
    <m/>
    <m/>
    <m/>
    <m/>
    <m/>
    <m/>
  </r>
  <r>
    <s v="22860622"/>
    <s v="Občané ulice Komenského v Uherském Brodě za slušné bydlení"/>
    <s v="706"/>
    <x v="1"/>
    <x v="2"/>
    <s v="Uherský Brod"/>
    <s v="Uherský Brod, Komenského 2033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3289"/>
    <s v="&quot;Občané za udržení životního standardu v obci Štípa o.s.&quot;"/>
    <s v="706"/>
    <x v="1"/>
    <x v="0"/>
    <s v="Zlín"/>
    <s v="Zlín, Stará cesta 19, Erik Zajíček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9199"/>
    <s v="Občanská beseda Kyselovice"/>
    <s v="706"/>
    <x v="1"/>
    <x v="3"/>
    <s v="Kyselovice"/>
    <s v="Kyselovice 211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44374"/>
    <s v="Občanská poradna Kroměříž, z.s."/>
    <s v="706"/>
    <x v="1"/>
    <x v="3"/>
    <s v="Kroměříž"/>
    <s v="Kroměříž, Moravcova 430/1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948794"/>
    <s v="Občanské energetické společenství Hříběcí hory, z.s."/>
    <s v="706"/>
    <x v="1"/>
    <x v="3"/>
    <s v="Zdounky"/>
    <s v="Zdounky 27, PSČ 76802"/>
    <s v="9499"/>
    <s v="Činnosti ostatních organizací sdružujících osoby za účelem prosazování společných zájmů j. n."/>
    <s v="Velkoobchod a maloobchod; opravy a údržba motorových vozidel"/>
    <s v="Informační a komunikační činnosti"/>
    <s v="Výroba, obchod a služby neuvedené v přílohách 1 až 3 živnostenského zákona"/>
    <s v="Velkoobchod, kromě motorových vozidel"/>
    <s v="Maloobchod, kromě motorových vozidel"/>
    <s v="Reklama a průzkum trhu"/>
    <s v="Ostatní vzdělávání"/>
    <s v="Inženýrské činnosti a související technické poradenství"/>
    <s v="Pronájem a leasing ostatních výrobků pro osobní potřebu a převážně pro domácnost"/>
    <s v="Univerzální administrativní činnosti"/>
    <s v="Ostatní technické zkoušky a analýzy"/>
    <s v="Ostatní úklidové činnosti"/>
    <m/>
    <m/>
    <m/>
    <m/>
    <m/>
  </r>
  <r>
    <s v="22906436"/>
    <s v="Občanské sdružení - HELP FOR REGI"/>
    <s v="706"/>
    <x v="1"/>
    <x v="0"/>
    <s v="Zlín"/>
    <s v="Zlín, Na Honech I 489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3115"/>
    <s v="Občanské sdružení - SDRUŽENÍ KAMARÁDI"/>
    <s v="706"/>
    <x v="1"/>
    <x v="0"/>
    <s v="Zlín"/>
    <s v="Zlín - Zlínské Paseky 4387, PSČ 760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5732"/>
    <s v="„Občanské sdružení ABECEDA”"/>
    <s v="706"/>
    <x v="1"/>
    <x v="0"/>
    <s v="Zlín"/>
    <s v="Zlín, Kudlov, Filmová 174, PSČ 76001"/>
    <s v="94991"/>
    <s v="Činnosti organizací dětí a mládeže"/>
    <m/>
    <m/>
    <m/>
    <m/>
    <m/>
    <m/>
    <m/>
    <m/>
    <m/>
    <m/>
    <m/>
    <m/>
    <m/>
    <m/>
    <m/>
    <m/>
    <m/>
  </r>
  <r>
    <s v="63459426"/>
    <s v="Občanské sdružení Adeta"/>
    <s v="706"/>
    <x v="1"/>
    <x v="3"/>
    <s v="Kroměříž"/>
    <s v="Kroměříž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2098"/>
    <s v="Občanské sdružení AKCENT"/>
    <s v="706"/>
    <x v="1"/>
    <x v="0"/>
    <s v="Zlín"/>
    <s v="Zlín, Malenovice, třída Svobody 745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8649"/>
    <s v="Občanské sdružení Alfa Vsetín"/>
    <s v="706"/>
    <x v="1"/>
    <x v="1"/>
    <s v="Vsetín"/>
    <s v="Vsetín, Pod Strání 177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4440"/>
    <s v="Občanské sdružení Alternativa 003"/>
    <s v="706"/>
    <x v="1"/>
    <x v="3"/>
    <s v="Kroměříž"/>
    <s v="Kroměříž, Kotojedská 461/1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640360"/>
    <s v="Občanské sdružení BALVAJ"/>
    <s v="706"/>
    <x v="1"/>
    <x v="1"/>
    <s v="Vsetín"/>
    <s v="Vsetín, Smetanova 133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3177"/>
    <s v="OBČANSKÉ SDRUŽENÍ BLESKOSVOD"/>
    <s v="706"/>
    <x v="1"/>
    <x v="0"/>
    <s v="Zlín"/>
    <s v="Zlín, Lorencova 3345, PSČ 76001"/>
    <s v="94991"/>
    <s v="Činnosti organizací dětí a mládeže"/>
    <m/>
    <m/>
    <m/>
    <m/>
    <m/>
    <m/>
    <m/>
    <m/>
    <m/>
    <m/>
    <m/>
    <m/>
    <m/>
    <m/>
    <m/>
    <m/>
    <m/>
  </r>
  <r>
    <s v="26570203"/>
    <s v="Občanské sdružení Brutwánek"/>
    <s v="706"/>
    <x v="1"/>
    <x v="3"/>
    <s v="Kroměříž"/>
    <s v="Kroměříž, Vrchlického 2859/1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5434"/>
    <s v="Občanské sdružení Chřibská brána"/>
    <s v="706"/>
    <x v="1"/>
    <x v="2"/>
    <s v="Staré Město"/>
    <s v="Staré Město, Nad Hřištěm 664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5081"/>
    <s v="Občanské sdružení ČAGAN"/>
    <s v="706"/>
    <x v="1"/>
    <x v="2"/>
    <s v="Mistřice"/>
    <s v="Mistřice 427, PSČ 68712"/>
    <s v="94991"/>
    <s v="Činnosti organizací dětí a mládeže"/>
    <m/>
    <m/>
    <m/>
    <m/>
    <m/>
    <m/>
    <m/>
    <m/>
    <m/>
    <m/>
    <m/>
    <m/>
    <m/>
    <m/>
    <m/>
    <m/>
    <m/>
  </r>
  <r>
    <s v="02472279"/>
    <s v="Občanské sdružení Černobílý život z.s."/>
    <s v="706"/>
    <x v="1"/>
    <x v="1"/>
    <s v="Vsetín"/>
    <s v="Vsetín, Stará cesta 178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0807"/>
    <s v="Občanské sdružení Dědictví a budoucnost, z.s."/>
    <s v="706"/>
    <x v="1"/>
    <x v="0"/>
    <s v="Zlín"/>
    <s v="Zlín, Lazy III 367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74563"/>
    <s v="Občanské sdružení dětí a mládeže VOLNÝ ČAS Kroměříž"/>
    <s v="706"/>
    <x v="1"/>
    <x v="3"/>
    <s v="Kroměříž"/>
    <s v="Kroměříž, Vrchlického 2899/3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5232"/>
    <s v="OBČANSKÉ SDRUŽENÍ DR.STIVARA"/>
    <s v="706"/>
    <x v="1"/>
    <x v="2"/>
    <s v="Korytná"/>
    <s v="Korytná 297, PSČ 687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1002"/>
    <s v="Občanské sdružení Dům na skále"/>
    <s v="706"/>
    <x v="1"/>
    <x v="1"/>
    <s v="Velká Lhota"/>
    <s v="Velká Lhota 30, PSČ 757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7641"/>
    <s v="Občanské sdružení EMPIDUM"/>
    <s v="706"/>
    <x v="1"/>
    <x v="3"/>
    <s v="Osíčko"/>
    <s v="Osíčko 159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2945"/>
    <s v="Občanské sdružení E-WORD"/>
    <s v="706"/>
    <x v="1"/>
    <x v="0"/>
    <s v="Fryšták"/>
    <s v="Fryšták, Horní Ves, Vítovská 276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0880"/>
    <s v="Občanské sdružení Fiftýn"/>
    <s v="706"/>
    <x v="1"/>
    <x v="1"/>
    <s v="Rožnov pod Radhoštěm"/>
    <s v="Rožnov pod Radhoštěm, Dr. Milady Horákové 1012, PSČ 75661"/>
    <s v="93110"/>
    <s v="Provozování sportovních zařízení"/>
    <m/>
    <m/>
    <m/>
    <m/>
    <m/>
    <m/>
    <m/>
    <m/>
    <m/>
    <m/>
    <m/>
    <m/>
    <m/>
    <m/>
    <m/>
    <m/>
    <m/>
  </r>
  <r>
    <s v="27053806"/>
    <s v="Občanské sdružení Freediving Team Zlín"/>
    <s v="706"/>
    <x v="1"/>
    <x v="0"/>
    <s v="Zlín"/>
    <s v="Zlín, Štípa, Dolečky I 524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2152"/>
    <s v="Občanské sdružení Game-net"/>
    <s v="706"/>
    <x v="1"/>
    <x v="2"/>
    <s v="Bílovice"/>
    <s v="Bílovice 506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0911"/>
    <s v="Občanské sdružení GARDE"/>
    <s v="706"/>
    <x v="1"/>
    <x v="0"/>
    <s v="Zlín"/>
    <s v="Zlín, Kamenná 385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8112"/>
    <s v="&quot;Občanské sdružení Gibon&quot;"/>
    <s v="706"/>
    <x v="1"/>
    <x v="0"/>
    <s v="Zlín"/>
    <s v="Zlín, Zálešná III 261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61104"/>
    <s v="&quot;Občanské sdružení Halenkovická dolina&quot;"/>
    <s v="706"/>
    <x v="1"/>
    <x v="0"/>
    <s v="Halenkovice"/>
    <s v="Halenkovice"/>
    <s v="94995"/>
    <s v="Činnosti environmentálních a ekologických hnutí"/>
    <m/>
    <m/>
    <m/>
    <m/>
    <m/>
    <m/>
    <m/>
    <m/>
    <m/>
    <m/>
    <m/>
    <m/>
    <m/>
    <m/>
    <m/>
    <m/>
    <m/>
  </r>
  <r>
    <s v="22857176"/>
    <s v="Občanské sdružení Hokej Chropyně"/>
    <s v="706"/>
    <x v="1"/>
    <x v="3"/>
    <s v="Chropyně"/>
    <s v="Chropyně, Moravská 714, PSČ 76811"/>
    <s v="93120"/>
    <s v="Činnosti sportovních klubů"/>
    <m/>
    <m/>
    <m/>
    <m/>
    <m/>
    <m/>
    <m/>
    <m/>
    <m/>
    <m/>
    <m/>
    <m/>
    <m/>
    <m/>
    <m/>
    <m/>
    <m/>
  </r>
  <r>
    <s v="28558430"/>
    <s v="&quot;občanské sdružení HUBERT - HOSTÝN&quot;"/>
    <s v="706"/>
    <x v="1"/>
    <x v="3"/>
    <s v="Chvalčov"/>
    <s v="Chvalčov, U Revíru 333, PSČ 76872"/>
    <s v="01700"/>
    <s v="Lov a odchyt divokých zvířat a související činnosti"/>
    <m/>
    <m/>
    <m/>
    <m/>
    <m/>
    <m/>
    <m/>
    <m/>
    <m/>
    <m/>
    <m/>
    <m/>
    <m/>
    <m/>
    <m/>
    <m/>
    <m/>
  </r>
  <r>
    <s v="66934478"/>
    <s v="Občanské sdružení IHS"/>
    <s v="706"/>
    <x v="1"/>
    <x v="1"/>
    <s v="Hutisko-Solanec"/>
    <s v="Hutisko - Solanec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1850"/>
    <s v="Občanské sdružení Interevium - Zlín"/>
    <s v="706"/>
    <x v="1"/>
    <x v="0"/>
    <s v="Zlín"/>
    <s v="Zlín, Pod Stráněmi 51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0691"/>
    <s v="OBČANSKÉ SDRUŽENÍ ITF TAEKWON-DO ZLÍN"/>
    <s v="706"/>
    <x v="1"/>
    <x v="0"/>
    <s v="Fryšták"/>
    <s v="Fryšták, Jaroslava Kvapila 120, PSČ 76316"/>
    <s v="93110"/>
    <s v="Provozování sportovních zařízení"/>
    <m/>
    <m/>
    <m/>
    <m/>
    <m/>
    <m/>
    <m/>
    <m/>
    <m/>
    <m/>
    <m/>
    <m/>
    <m/>
    <m/>
    <m/>
    <m/>
    <m/>
  </r>
  <r>
    <s v="28556402"/>
    <s v="Občanské sdružení JOUBÍNEK"/>
    <s v="706"/>
    <x v="1"/>
    <x v="0"/>
    <s v="Slavičín"/>
    <s v="Slavičín, Javorová I 395, PSČ 76321"/>
    <s v="94991"/>
    <s v="Činnosti organizací dětí a mládeže"/>
    <m/>
    <m/>
    <m/>
    <m/>
    <m/>
    <m/>
    <m/>
    <m/>
    <m/>
    <m/>
    <m/>
    <m/>
    <m/>
    <m/>
    <m/>
    <m/>
    <m/>
  </r>
  <r>
    <s v="27020363"/>
    <s v="&quot;Občanské sdružení Kelnický folklorní kroužek Fěrtůšek&quot;"/>
    <s v="706"/>
    <x v="1"/>
    <x v="0"/>
    <s v="Kelníky"/>
    <s v="Velký Ořechov, Obec Kelníky čp.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3602"/>
    <s v="&quot;Občanské sdružení KETC&quot;"/>
    <s v="706"/>
    <x v="1"/>
    <x v="2"/>
    <s v="Korytná"/>
    <s v="Korytná 196, PSČ 687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9353"/>
    <s v="Občanské sdružení Klidná Březnická"/>
    <s v="706"/>
    <x v="1"/>
    <x v="0"/>
    <s v="Zlín"/>
    <s v="Zlín, U Zimního stadionu 408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7194"/>
    <s v="Občanské sdružení Klub důchodců ve Fryštáku, z.s."/>
    <s v="706"/>
    <x v="1"/>
    <x v="0"/>
    <s v="Fryšták"/>
    <s v="Fryšták, Komenského 381, PSČ 76316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6603781"/>
    <s v="Občanské sdružení Klub zlínských dam Zlín"/>
    <s v="706"/>
    <x v="1"/>
    <x v="0"/>
    <s v="Zlín"/>
    <s v="Zlín, Prštné, M. Alše 43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5062"/>
    <s v="Občanské sdružení Kostelec -Štípa"/>
    <s v="706"/>
    <x v="1"/>
    <x v="0"/>
    <s v="Zlín"/>
    <s v="Zlín, Kostelec, Obilná 620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545544"/>
    <s v="Občanské sdružení KRYLIAS"/>
    <s v="706"/>
    <x v="1"/>
    <x v="3"/>
    <s v="Vrbka"/>
    <s v="Vrbka čp. 41, p. Kvas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1585"/>
    <s v="Občanské sdružení &quot;Kunovjan&quot;, z.s."/>
    <s v="706"/>
    <x v="1"/>
    <x v="2"/>
    <s v="Kunovice"/>
    <s v="Kunovice, Záchalupčí 952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80794"/>
    <s v="Občanské sdružení KVaK (Knihovny Valašského království)"/>
    <s v="706"/>
    <x v="1"/>
    <x v="1"/>
    <s v="Vsetín"/>
    <s v="Vsetín, Svárov 71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2695"/>
    <s v="Občanské sdružení Lechotice.NET"/>
    <s v="706"/>
    <x v="1"/>
    <x v="3"/>
    <s v="Lechotice"/>
    <s v="Lechotice 52, PSČ 76852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2609911"/>
    <s v="Občanské sdružení LESŇÁČEK"/>
    <s v="706"/>
    <x v="1"/>
    <x v="0"/>
    <s v="Zlín"/>
    <s v="Zlín, Mladcová, Návesní 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60012"/>
    <s v="&quot;Občanské sdružení Lešetín&quot;"/>
    <s v="706"/>
    <x v="1"/>
    <x v="0"/>
    <s v="Zlín"/>
    <s v="Zlín, Lešetín V 69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8721"/>
    <s v="Občanské sdružení Lípa 2007"/>
    <s v="706"/>
    <x v="1"/>
    <x v="2"/>
    <s v="Kunovice"/>
    <s v="Kunovice, Záhumní 986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3249"/>
    <s v="Občanské sdružení Literární Luhačovice"/>
    <s v="706"/>
    <x v="1"/>
    <x v="0"/>
    <s v="Luhačovice"/>
    <s v="Luhačovice, Masarykova 101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07571"/>
    <s v="Občanské sdružení majitelů bytů, Nerudova ul. Kroměříž"/>
    <s v="706"/>
    <x v="1"/>
    <x v="3"/>
    <s v="Kroměříž"/>
    <s v="Kroměříž, Nerudova ul.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7396"/>
    <s v="Občanské sdružení Malenovice, z.s."/>
    <s v="706"/>
    <x v="1"/>
    <x v="0"/>
    <s v="Zlín"/>
    <s v="Zlín, Malenovice, Masarykova 203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1241"/>
    <s v="Občanské sdružení M-Net"/>
    <s v="706"/>
    <x v="1"/>
    <x v="2"/>
    <s v="Dolní Němčí"/>
    <s v="Dolní Němčí, Hlucká 229, PSČ 687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55856"/>
    <s v="Občanské sdružení modelářský kroužek Blaník Kunovice"/>
    <s v="706"/>
    <x v="1"/>
    <x v="2"/>
    <s v="Kunovice"/>
    <s v="Kunovice, Panská 9, PSČ 68604"/>
    <s v="93190"/>
    <s v="Ostatní sportovní činnosti"/>
    <m/>
    <m/>
    <m/>
    <m/>
    <m/>
    <m/>
    <m/>
    <m/>
    <m/>
    <m/>
    <m/>
    <m/>
    <m/>
    <m/>
    <m/>
    <m/>
    <m/>
  </r>
  <r>
    <s v="22815589"/>
    <s v="občanské sdružení MOVE"/>
    <s v="706"/>
    <x v="1"/>
    <x v="1"/>
    <s v="Rožnov pod Radhoštěm"/>
    <s v="Rožnov pod Radhoštěm, Dubková 152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9959"/>
    <s v="Občanské sdružení &quot;Naproti zóny&quot;"/>
    <s v="706"/>
    <x v="1"/>
    <x v="3"/>
    <s v="Martinice"/>
    <s v="Martinice 187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7363"/>
    <s v="Občanské sdružení nestraníků Žeranovice"/>
    <s v="706"/>
    <x v="1"/>
    <x v="3"/>
    <s v="Žeranovice"/>
    <s v="Holešov, Žeranovice26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5784"/>
    <s v="Občanské sdružení NIKI"/>
    <s v="706"/>
    <x v="1"/>
    <x v="0"/>
    <s v="Zlín"/>
    <s v="Zlín, Louky, Šternberská 300, PSČ 76302"/>
    <s v="93110"/>
    <s v="Provozování sportovních zařízení"/>
    <m/>
    <m/>
    <m/>
    <m/>
    <m/>
    <m/>
    <m/>
    <m/>
    <m/>
    <m/>
    <m/>
    <m/>
    <m/>
    <m/>
    <m/>
    <m/>
    <m/>
  </r>
  <r>
    <s v="22671625"/>
    <s v="Občanské sdružení NIVY"/>
    <s v="706"/>
    <x v="1"/>
    <x v="0"/>
    <s v="Zlín"/>
    <s v="Zlín, Nivy II 55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9507"/>
    <s v="Občanské sdružení obce Nedakonice"/>
    <s v="706"/>
    <x v="1"/>
    <x v="2"/>
    <s v="Nedakonice"/>
    <s v="Nedakonice 432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2108"/>
    <s v="Občanské sdružení Ochrana přírody Střílky"/>
    <s v="706"/>
    <x v="1"/>
    <x v="3"/>
    <s v="Střílky"/>
    <s v="Střílky, Zámecká 191, PSČ 76804"/>
    <s v="94995"/>
    <s v="Činnosti environmentálních a ekologických hnutí"/>
    <m/>
    <m/>
    <m/>
    <m/>
    <m/>
    <m/>
    <m/>
    <m/>
    <m/>
    <m/>
    <m/>
    <m/>
    <m/>
    <m/>
    <m/>
    <m/>
    <m/>
  </r>
  <r>
    <s v="27056066"/>
    <s v="Občanské sdružení &quot;Ochránci Hostýnských vrchů&quot;"/>
    <s v="706"/>
    <x v="1"/>
    <x v="3"/>
    <s v="Chvalčov"/>
    <s v="Chvalčov, U Revíru 315, PSČ 76872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2731130"/>
    <s v="Občanské sdružení Ochránců přírody - Kunovice, z.s."/>
    <s v="706"/>
    <x v="1"/>
    <x v="1"/>
    <s v="Kunovice"/>
    <s v="Kunovice 153, PSČ 756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795"/>
    <s v="Občanské sdružení ochránců přírody Valašské Meziříčí"/>
    <s v="706"/>
    <x v="1"/>
    <x v="1"/>
    <s v="Valašské Meziříčí"/>
    <s v="Valašské Meziříčí, Krásno nad Bečvou, Zašovská 784, PSČ 75701"/>
    <s v="94995"/>
    <s v="Činnosti environmentálních a ekologických hnutí"/>
    <m/>
    <m/>
    <m/>
    <m/>
    <m/>
    <m/>
    <m/>
    <m/>
    <m/>
    <m/>
    <m/>
    <m/>
    <m/>
    <m/>
    <m/>
    <m/>
    <m/>
  </r>
  <r>
    <s v="22738622"/>
    <s v="Občanské sdružení PAINTBALL Žabka"/>
    <s v="706"/>
    <x v="1"/>
    <x v="2"/>
    <s v="Strání"/>
    <s v="Strání, Drahy IV 1034, PSČ 68765"/>
    <s v="93110"/>
    <s v="Provozování sportovních zařízení"/>
    <m/>
    <m/>
    <m/>
    <m/>
    <m/>
    <m/>
    <m/>
    <m/>
    <m/>
    <m/>
    <m/>
    <m/>
    <m/>
    <m/>
    <m/>
    <m/>
    <m/>
  </r>
  <r>
    <s v="27049094"/>
    <s v="Občanské sdružení podnikatelů Velkokarlovicka"/>
    <s v="706"/>
    <x v="1"/>
    <x v="0"/>
    <s v="Zlín"/>
    <s v="Prštné-Kútiky 637"/>
    <s v="94120"/>
    <s v="Činnosti profesních organizací"/>
    <m/>
    <m/>
    <m/>
    <m/>
    <m/>
    <m/>
    <m/>
    <m/>
    <m/>
    <m/>
    <m/>
    <m/>
    <m/>
    <m/>
    <m/>
    <m/>
    <m/>
  </r>
  <r>
    <s v="27025136"/>
    <s v="občanské sdružení POMINET"/>
    <s v="706"/>
    <x v="1"/>
    <x v="2"/>
    <s v="Strání"/>
    <s v="Strání, Květná, J. A. Komenského 828, PSČ 6876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1354"/>
    <s v="Občanské sdružení Povidlo"/>
    <s v="706"/>
    <x v="1"/>
    <x v="0"/>
    <s v="Zlín"/>
    <s v="Zlín, Benešovo nábřeží 394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5450"/>
    <s v="Občanské sdružení Pro Boršice, z.s."/>
    <s v="706"/>
    <x v="1"/>
    <x v="2"/>
    <s v="Boršice"/>
    <s v="Boršice 497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4157"/>
    <s v="Občanské sdružení pro integraci cizinců &quot;NADĚŽDA&quot;"/>
    <s v="706"/>
    <x v="1"/>
    <x v="0"/>
    <s v="Zlín"/>
    <s v="Zlín, Lesní čtvrť III 5417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6618672"/>
    <s v="Občanské sdružení pro klidné prostředí ve Vlčkové"/>
    <s v="706"/>
    <x v="1"/>
    <x v="0"/>
    <s v="Vlčková"/>
    <s v="Vlčková 156, PSČ 7631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8446"/>
    <s v="Občanské sdružení Pro kuželky Vsetín"/>
    <s v="706"/>
    <x v="1"/>
    <x v="1"/>
    <s v="Vsetín"/>
    <s v="Vsetín, Turkmenská 835, PSČ 75501"/>
    <s v="93190"/>
    <s v="Ostatní sportovní činnosti"/>
    <m/>
    <m/>
    <m/>
    <m/>
    <m/>
    <m/>
    <m/>
    <m/>
    <m/>
    <m/>
    <m/>
    <m/>
    <m/>
    <m/>
    <m/>
    <m/>
    <m/>
  </r>
  <r>
    <s v="26601451"/>
    <s v="Občanské sdružení pro ochranu přírodního a kulturního dědictví LOCUS"/>
    <s v="706"/>
    <x v="1"/>
    <x v="3"/>
    <s v="Kroměříž"/>
    <s v="Kroměříž, Vrchlického 2859/1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4471"/>
    <s v="Občanské sdružení PRO PATRIA MORAVIA"/>
    <s v="706"/>
    <x v="1"/>
    <x v="3"/>
    <s v="Kroměříž"/>
    <s v="Kroměříž, Bílanská 1611/2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6485"/>
    <s v="Občanské sdružení Pro Police"/>
    <s v="706"/>
    <x v="1"/>
    <x v="1"/>
    <s v="Police"/>
    <s v="Police 81, PSČ 75644"/>
    <s v="94995"/>
    <s v="Činnosti environmentálních a ekologických hnutí"/>
    <m/>
    <m/>
    <m/>
    <m/>
    <m/>
    <m/>
    <m/>
    <m/>
    <m/>
    <m/>
    <m/>
    <m/>
    <m/>
    <m/>
    <m/>
    <m/>
    <m/>
  </r>
  <r>
    <s v="22858539"/>
    <s v="Občanské sdružení pro rozvoj Kroměřížska z.s."/>
    <s v="706"/>
    <x v="1"/>
    <x v="3"/>
    <s v="Hulín"/>
    <s v="Hulín, Chrášťany 49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728332"/>
    <s v="&quot;Občanské sdružení pro rozvoj města Valašské Meziříčí - Milenium&quot;"/>
    <s v="706"/>
    <x v="1"/>
    <x v="1"/>
    <s v="Valašské Meziříčí"/>
    <s v="Valašské Meziříčí, Krásno nad Bečvou, Nádražní 546/6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8182"/>
    <s v="Občanské sdružení pro rozvoj Slovácka z.s."/>
    <s v="706"/>
    <x v="1"/>
    <x v="3"/>
    <s v="Hulín"/>
    <s v="Hulín, Chrášťany 49, PSČ 7682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902520"/>
    <s v="&quot;Občanské sdružení pro uctění památky Josefa Sousedíka&quot;"/>
    <s v="706"/>
    <x v="1"/>
    <x v="1"/>
    <s v="Vsetín"/>
    <s v="Vsetín, Horní náměstí 2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11789"/>
    <s v="Občanské sdružení pro záchranu barokního hřbitova ve Střílkách, z.s."/>
    <s v="706"/>
    <x v="1"/>
    <x v="3"/>
    <s v="Střílky"/>
    <s v="Střílky, Koryčanská 47, PSČ 768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7184"/>
    <s v="Občanské sdružení přátel sportu Bořenovice"/>
    <s v="706"/>
    <x v="1"/>
    <x v="3"/>
    <s v="Bořenovice"/>
    <s v="Bořenovice 5, PSČ 76901"/>
    <s v="93190"/>
    <s v="Ostatní sportovní činnosti"/>
    <m/>
    <m/>
    <m/>
    <m/>
    <m/>
    <m/>
    <m/>
    <m/>
    <m/>
    <m/>
    <m/>
    <m/>
    <m/>
    <m/>
    <m/>
    <m/>
    <m/>
  </r>
  <r>
    <s v="26656949"/>
    <s v="Občanské sdružení přátel školy sv. Dominika Savia"/>
    <s v="706"/>
    <x v="1"/>
    <x v="2"/>
    <s v="Uherský Brod"/>
    <s v="Uherský Brod, Masarykovo nám. 68, PSČ 68801"/>
    <s v="94999"/>
    <s v="Činnosti ostatních organizací j. n."/>
    <m/>
    <m/>
    <m/>
    <m/>
    <m/>
    <m/>
    <m/>
    <m/>
    <m/>
    <m/>
    <m/>
    <m/>
    <m/>
    <m/>
    <m/>
    <m/>
    <m/>
  </r>
  <r>
    <s v="27054683"/>
    <s v="Občanské sdružení přátel zábavy Racková"/>
    <s v="706"/>
    <x v="1"/>
    <x v="0"/>
    <s v="Racková"/>
    <s v="Racková 8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107686"/>
    <s v="Občanské sdružení „Přátelé ulice Na Včelíně“"/>
    <s v="706"/>
    <x v="1"/>
    <x v="0"/>
    <s v="Zlín"/>
    <s v="Zlín, Prostřední 274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4811"/>
    <s v="Občanské sdružení při Arcibiskupském gymnáziu v Kroměříži"/>
    <s v="706"/>
    <x v="1"/>
    <x v="3"/>
    <s v="Kroměříž"/>
    <s v="Kroměříž, Pilařova 3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477"/>
    <s v="Občanské sdružení při dětském domově ve Valašském Meziříčí"/>
    <s v="706"/>
    <x v="1"/>
    <x v="1"/>
    <s v="Valašské Meziříčí"/>
    <s v="Valašské Meziříčí, Žerotínova 211 /Dětský domov/"/>
    <s v="94991"/>
    <s v="Činnosti organizací dětí a mládeže"/>
    <m/>
    <m/>
    <m/>
    <m/>
    <m/>
    <m/>
    <m/>
    <m/>
    <m/>
    <m/>
    <m/>
    <m/>
    <m/>
    <m/>
    <m/>
    <m/>
    <m/>
  </r>
  <r>
    <s v="67728367"/>
    <s v="Občanské sdružení při Krizovém centru ve Valašském Meziříčí, Králova 370"/>
    <s v="706"/>
    <x v="1"/>
    <x v="1"/>
    <s v="Valašské Meziříčí"/>
    <s v="Valašské Meziříčí, Králova 370/37, PSČ 75701"/>
    <s v="94991"/>
    <s v="Činnosti organizací dětí a mládeže"/>
    <m/>
    <m/>
    <m/>
    <m/>
    <m/>
    <m/>
    <m/>
    <m/>
    <m/>
    <m/>
    <m/>
    <m/>
    <m/>
    <m/>
    <m/>
    <m/>
    <m/>
  </r>
  <r>
    <s v="66610613"/>
    <s v=",,Občanské sdružení REAL KREDIT,,"/>
    <s v="706"/>
    <x v="1"/>
    <x v="2"/>
    <s v="Uherské Hradiště"/>
    <s v="Uherské Hradiště, Velehradská třída 1206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7754"/>
    <s v="Občanské sdružení REZEDA"/>
    <s v="706"/>
    <x v="1"/>
    <x v="2"/>
    <s v="Uherské Hradiště"/>
    <s v="Uherské Hradiště, Mařatice, Pod Rochusem 1387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8009"/>
    <s v="Občanské sdružení rodičů Bařice"/>
    <s v="706"/>
    <x v="1"/>
    <x v="3"/>
    <s v="Bařice-Velké Těšany"/>
    <s v="Bařice-Velké Těšany, Bařice 1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4114"/>
    <s v="&quot;Občanské sdružení rodičů při základní a mateřské škole v Litenčicích&quot;"/>
    <s v="706"/>
    <x v="1"/>
    <x v="3"/>
    <s v="Litenčice"/>
    <s v="Litenčice 165, PSČ 76813"/>
    <s v="94999"/>
    <s v="Činnosti ostatních organizací j. n."/>
    <m/>
    <m/>
    <m/>
    <m/>
    <m/>
    <m/>
    <m/>
    <m/>
    <m/>
    <m/>
    <m/>
    <m/>
    <m/>
    <m/>
    <m/>
    <m/>
    <m/>
  </r>
  <r>
    <s v="22852239"/>
    <s v="&quot;Občanské sdružení rodičů SLUNÍČKO&quot;"/>
    <s v="706"/>
    <x v="1"/>
    <x v="0"/>
    <s v="Provodov"/>
    <s v="p. Březůvky, Provodov 161"/>
    <s v="94991"/>
    <s v="Činnosti organizací dětí a mládeže"/>
    <m/>
    <m/>
    <m/>
    <m/>
    <m/>
    <m/>
    <m/>
    <m/>
    <m/>
    <m/>
    <m/>
    <m/>
    <m/>
    <m/>
    <m/>
    <m/>
    <m/>
  </r>
  <r>
    <s v="28555066"/>
    <s v="Občanské sdružení Romani godži"/>
    <s v="706"/>
    <x v="1"/>
    <x v="1"/>
    <s v="Vsetín"/>
    <s v="Vsetín, Jiráskova 409, PSČ 7550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2768301"/>
    <s v="Občanské sdružení Rovné šance"/>
    <s v="706"/>
    <x v="1"/>
    <x v="1"/>
    <s v="Valašské Meziříčí"/>
    <s v="Valašské Meziříčí, Krásno nad Bečvou, Sklářská 604/2, PSČ 75701"/>
    <s v="94999"/>
    <s v="Činnosti ostatních organizací j. n."/>
    <m/>
    <m/>
    <m/>
    <m/>
    <m/>
    <m/>
    <m/>
    <m/>
    <m/>
    <m/>
    <m/>
    <m/>
    <m/>
    <m/>
    <m/>
    <m/>
    <m/>
  </r>
  <r>
    <s v="26528363"/>
    <s v="Občanské sdružení Rybářský svaz Moravských Kopanic"/>
    <s v="706"/>
    <x v="1"/>
    <x v="2"/>
    <s v="Starý Hrozenkov"/>
    <s v="Starý Hrozenkov 245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3318"/>
    <s v="Občanské sdružení ředitelů - velitelů městských policií Olomouckého a Zlínského kraje"/>
    <s v="706"/>
    <x v="1"/>
    <x v="3"/>
    <s v="Kroměříž"/>
    <s v="Kroměříž, Velké náměstí 33, Městská policie Kroměříž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7982"/>
    <s v="Občanské sdružení SALAMANDR"/>
    <s v="706"/>
    <x v="1"/>
    <x v="2"/>
    <s v="Košíky"/>
    <s v="Košíky 122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53157"/>
    <s v="Občanské sdružení Slunná Luhačovice"/>
    <s v="706"/>
    <x v="1"/>
    <x v="0"/>
    <s v="Luhačovice"/>
    <s v="Luhačovice, Hrazanská 1036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3276"/>
    <s v="Občanské sdružení Soukolí"/>
    <s v="706"/>
    <x v="1"/>
    <x v="1"/>
    <s v="Oznice"/>
    <s v="pošta Bystřička, Oznice 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1909"/>
    <s v="Občanské sdružení SPHEX Uherské Hradiště"/>
    <s v="706"/>
    <x v="1"/>
    <x v="2"/>
    <s v="Uherské Hradiště"/>
    <s v="Uherské Hradiště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9741"/>
    <s v="Občanské sdružení Sportoviště co nejblíže"/>
    <s v="706"/>
    <x v="1"/>
    <x v="0"/>
    <s v="Zlín"/>
    <s v="Zlín, Louky, Chlumská 396, PSČ 76302"/>
    <s v="93190"/>
    <s v="Ostatní sportovní činnosti"/>
    <m/>
    <m/>
    <m/>
    <m/>
    <m/>
    <m/>
    <m/>
    <m/>
    <m/>
    <m/>
    <m/>
    <m/>
    <m/>
    <m/>
    <m/>
    <m/>
    <m/>
  </r>
  <r>
    <s v="26563240"/>
    <s v="Občanské sdružení &quot;Správný KROK&quot;"/>
    <s v="706"/>
    <x v="1"/>
    <x v="2"/>
    <s v="Kunovice"/>
    <s v="Kunovice, Obecní 1596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9722"/>
    <s v="Občanské sdružení Staré Kvítkovice"/>
    <s v="706"/>
    <x v="1"/>
    <x v="0"/>
    <s v="Otrokovice"/>
    <s v="Otrokovice, Kvítkovice, Bartošova 251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2435"/>
    <s v="&quot;Občanské sdružení Střevíček&quot;"/>
    <s v="706"/>
    <x v="1"/>
    <x v="3"/>
    <s v="Kroměříž"/>
    <s v="Kroměříž, Vážany, Požárníků 302/1B, PSČ 76701"/>
    <s v="900"/>
    <s v="Tvůrčí, umělecké a zábavní činnosti"/>
    <m/>
    <m/>
    <m/>
    <m/>
    <m/>
    <m/>
    <m/>
    <m/>
    <m/>
    <m/>
    <m/>
    <m/>
    <m/>
    <m/>
    <m/>
    <m/>
    <m/>
  </r>
  <r>
    <s v="28556071"/>
    <s v="Občanské sdružení Štefánikova u Masarykových škol"/>
    <s v="706"/>
    <x v="1"/>
    <x v="0"/>
    <s v="Zlín"/>
    <s v="Zlín, Štefánikova 2463/5, PSČ 7600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01555090"/>
    <s v="Občanské sdružení Ta východní část Želechovic"/>
    <s v="706"/>
    <x v="1"/>
    <x v="0"/>
    <s v="Želechovice nad Dřevnicí"/>
    <s v="Želechovice nad Dřevnicí, Osvobození 303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38774"/>
    <s v="Občanské sdružení taxikářů města Valašské Meziříčí"/>
    <s v="706"/>
    <x v="1"/>
    <x v="1"/>
    <s v="Krhová"/>
    <s v="Krhová, U Bytovek 428, PSČ 756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8608"/>
    <s v="Občanské sdružení Terezka z.s."/>
    <s v="706"/>
    <x v="1"/>
    <x v="3"/>
    <s v="Pravčice"/>
    <s v="Pravčice 27, PSČ 7682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208755"/>
    <s v="Občanské sdružení UnArt Lukov"/>
    <s v="736"/>
    <x v="0"/>
    <x v="0"/>
    <s v="Lukov"/>
    <s v="Lukov, K Boří 330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2737"/>
    <s v="Občanské sdružení Valaši"/>
    <s v="706"/>
    <x v="1"/>
    <x v="1"/>
    <s v="Valašské Meziříčí"/>
    <s v="Valašské Meziříčí, Krásno nad Bečvou, Hřbitovní 368/1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4957"/>
    <s v="OBČANSKÉ SDRUŽENÍ VALAŠSKÝ NÁZOR"/>
    <s v="706"/>
    <x v="1"/>
    <x v="0"/>
    <s v="Hvozdná"/>
    <s v="Hvozdná, Záhumení 261, PSČ 7631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6741"/>
    <s v="Občanské sdružení Vážaňák"/>
    <s v="706"/>
    <x v="1"/>
    <x v="3"/>
    <s v="Kroměříž"/>
    <s v="Kroměříž, Vážany, Osvoboditelů 225/4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5909"/>
    <s v="Občanské sdružení V-club"/>
    <s v="706"/>
    <x v="1"/>
    <x v="1"/>
    <s v="Vsetín"/>
    <s v="Vsetín, Smetanova 1533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4647"/>
    <s v="Občanské sdružení vlastníků pozemků v t.zv. mezicestí k.ú. Malenovice-obec Zlín"/>
    <s v="706"/>
    <x v="1"/>
    <x v="0"/>
    <s v="Zlín"/>
    <s v="Zlín-Malenovice, Havlíčkova 335, Ing. Richard Jecho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2760"/>
    <s v="Občanské sdružení VLEHRADSKÁ SVĚTNICA"/>
    <s v="706"/>
    <x v="1"/>
    <x v="2"/>
    <s v="Velehrad"/>
    <s v="Velehrad, Salašská 60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8416"/>
    <s v="Občanské sdružení Wifipočenice"/>
    <s v="706"/>
    <x v="1"/>
    <x v="3"/>
    <s v="Počenice-Tetětice"/>
    <s v="Počenice-Tetětice, Počenice 71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1701"/>
    <s v="OBČANSKÉ SDRUŽENÍ ZA DŮSTOJNÝ ŽIVOT"/>
    <s v="706"/>
    <x v="1"/>
    <x v="1"/>
    <s v="Vsetín"/>
    <s v="Vsetín, Horní náměstí 2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0739"/>
    <s v="Občanské sdružení ZewwwlNet"/>
    <s v="706"/>
    <x v="1"/>
    <x v="3"/>
    <s v="Martinice"/>
    <s v="Martinice 185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3705"/>
    <s v="Občanské sdružení Zobáček - sdružení přátel lidové písničky Zlín"/>
    <s v="706"/>
    <x v="1"/>
    <x v="0"/>
    <s v="Zlín"/>
    <s v="Zlín, Prštné, M. Alše 43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5668"/>
    <s v="Občanské sdružení ŽEJDLÍK"/>
    <s v="706"/>
    <x v="1"/>
    <x v="0"/>
    <s v="Otrokovice"/>
    <s v="Otrokovice, Nádražní 1416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3210"/>
    <s v="Občanské sdružení Želechovice"/>
    <s v="706"/>
    <x v="1"/>
    <x v="0"/>
    <s v="Želechovice nad Dřevnicí"/>
    <s v="Želechovice nad Dřevnicí, 4. května 223, PSČ 76311"/>
    <s v="94995"/>
    <s v="Činnosti environmentálních a ekologických hnutí"/>
    <m/>
    <m/>
    <m/>
    <m/>
    <m/>
    <m/>
    <m/>
    <m/>
    <m/>
    <m/>
    <m/>
    <m/>
    <m/>
    <m/>
    <m/>
    <m/>
    <m/>
  </r>
  <r>
    <s v="68689756"/>
    <s v="Občanské sdružení &quot;Život je náhoda&quot;"/>
    <s v="706"/>
    <x v="1"/>
    <x v="0"/>
    <s v="Zlín"/>
    <s v="Zlín, Zálešná VIII 317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6625"/>
    <s v="Občanské sdružení ŽOLÍK"/>
    <s v="706"/>
    <x v="1"/>
    <x v="2"/>
    <s v="Uherské Hradiště"/>
    <s v="Uherské Hradiště, Zelný trh 124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6923"/>
    <s v="&quot;občanské sdružení&quot;MSUR Liptál"/>
    <s v="706"/>
    <x v="1"/>
    <x v="1"/>
    <s v="Liptál"/>
    <s v="Liptál 134, PSČ 756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0705"/>
    <s v="Občanský spolek LOM"/>
    <s v="706"/>
    <x v="1"/>
    <x v="2"/>
    <s v="Medlovice"/>
    <s v="Medlovice 182, PSČ 687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283808"/>
    <s v="Obecně prospěšná společnost Gymnázia Uherské Hradiště"/>
    <s v="141"/>
    <x v="2"/>
    <x v="2"/>
    <s v="Uherské Hradiště"/>
    <s v="Uherské Hradiště, Velehradská třída 218, PSČ 68601"/>
    <s v="9499"/>
    <s v="Činnosti ostatních organizací sdružujících osoby za účelem prosazování společných zájmů j. n."/>
    <s v="Ambulantní nebo terénní sociální služby"/>
    <s v="Činnosti organizací dětí a mládeže"/>
    <m/>
    <m/>
    <m/>
    <m/>
    <m/>
    <m/>
    <m/>
    <m/>
    <m/>
    <m/>
    <m/>
    <m/>
    <m/>
    <m/>
    <m/>
  </r>
  <r>
    <s v="25562371"/>
    <s v="Obecně prospěšná společnost Obchodní akademie a Vyšší odborné školy Uherské Hradiště"/>
    <s v="141"/>
    <x v="2"/>
    <x v="2"/>
    <s v="Uherské Hradiště"/>
    <s v="Uherské Hradiště, Nádražní 2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50071"/>
    <s v="Obecně prospěšná společnost pro podporu vzdělání a praktické výuky na SOUZ Uh. Brod"/>
    <s v="141"/>
    <x v="2"/>
    <x v="2"/>
    <s v="Uherský Brod"/>
    <s v="Uherský Brod, Svat. Čecha 1110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158138"/>
    <s v="Obecní klub Bořenovice - Nováček, z. s."/>
    <s v="706"/>
    <x v="1"/>
    <x v="3"/>
    <s v="Bořenovice"/>
    <s v="Bořenovice 33, PSČ 76901"/>
    <s v="9499"/>
    <s v="Činnosti ostatních organizací sdružujících osoby za účelem prosazování společných zájmů j. n."/>
    <s v="Velkoobchod a maloobchod; opravy a údržba motorových vozidel"/>
    <s v="Destilace, rektifikace a míchání lihovin"/>
    <s v="Stravování v restauracích, u stánků a v mobilních zařízeních"/>
    <s v="Podpůrné činnosti pro scénická umění"/>
    <m/>
    <m/>
    <m/>
    <m/>
    <m/>
    <m/>
    <m/>
    <m/>
    <m/>
    <m/>
    <m/>
    <m/>
    <m/>
  </r>
  <r>
    <s v="01827146"/>
    <s v="Obecní klub Košíky, z.s."/>
    <s v="706"/>
    <x v="1"/>
    <x v="2"/>
    <s v="Košíky"/>
    <s v="Košíky 172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71272"/>
    <s v="Obecní výbor Hrachovec z. s."/>
    <s v="706"/>
    <x v="1"/>
    <x v="1"/>
    <s v="Valašské Meziříčí"/>
    <s v="Valašské Meziříčí, Hrachovec 26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694125"/>
    <s v="OBKLADAČI Group, z.s."/>
    <s v="706"/>
    <x v="1"/>
    <x v="2"/>
    <s v="Vyškovec"/>
    <s v="Vyškovec 81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426351"/>
    <s v="Oblastní spolek Českého červeného kříže Kroměříž"/>
    <s v="736"/>
    <x v="0"/>
    <x v="3"/>
    <s v="Kroměříž"/>
    <s v="Kroměříž, Koperníkova 2646/1, PSČ 76701"/>
    <s v="94993"/>
    <s v="Činnosti organizací na podporu rekreační a zájmové činnosti"/>
    <s v="Maloobchod v nespecializovaných prodejnách"/>
    <s v="Ostatní sportovní činnosti"/>
    <m/>
    <m/>
    <m/>
    <m/>
    <m/>
    <m/>
    <m/>
    <m/>
    <m/>
    <m/>
    <m/>
    <m/>
    <m/>
    <m/>
    <m/>
  </r>
  <r>
    <s v="00426385"/>
    <s v="Oblastní spolek Českého červeného kříže Uherské Hradiště"/>
    <s v="736"/>
    <x v="0"/>
    <x v="2"/>
    <s v="Uherské Hradiště"/>
    <s v="Uherské Hradiště, Palackého 29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8773883"/>
    <s v="Oblastní spolek Českého červeného kříže Vsetín"/>
    <s v="736"/>
    <x v="0"/>
    <x v="1"/>
    <s v="Vsetín"/>
    <s v="Vsetín, 4. května 287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26326"/>
    <s v="Oblastní spolek Českého červeného kříže Zlín"/>
    <s v="736"/>
    <x v="0"/>
    <x v="0"/>
    <s v="Zlín"/>
    <s v="Zlín, Potoky 331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898342"/>
    <s v="Ochotnický soubor Lípa, z.s."/>
    <s v="706"/>
    <x v="1"/>
    <x v="0"/>
    <s v="Lípa"/>
    <s v="Lípa 220, PSČ 76311"/>
    <s v="90010"/>
    <s v="Scénická umění"/>
    <m/>
    <m/>
    <m/>
    <m/>
    <m/>
    <m/>
    <m/>
    <m/>
    <m/>
    <m/>
    <m/>
    <m/>
    <m/>
    <m/>
    <m/>
    <m/>
    <m/>
  </r>
  <r>
    <s v="22768009"/>
    <s v="Ochotnický spolek Kašava"/>
    <s v="706"/>
    <x v="1"/>
    <x v="0"/>
    <s v="Kašava"/>
    <s v="Kašava 24, PSČ 7631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0809"/>
    <s v="OCHOTNICKÝ SPOLEK KORYČANY"/>
    <s v="706"/>
    <x v="1"/>
    <x v="3"/>
    <s v="Koryčany"/>
    <s v="Koryčany, Masarykova 633, PSČ 76805"/>
    <s v="90010"/>
    <s v="Scénická umění"/>
    <m/>
    <m/>
    <m/>
    <m/>
    <m/>
    <m/>
    <m/>
    <m/>
    <m/>
    <m/>
    <m/>
    <m/>
    <m/>
    <m/>
    <m/>
    <m/>
    <m/>
  </r>
  <r>
    <s v="05582245"/>
    <s v="Ochrana práva, z. s."/>
    <s v="706"/>
    <x v="1"/>
    <x v="3"/>
    <s v="Kroměříž"/>
    <s v="Kroměříž, Tylova 215/2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654581"/>
    <s v="Ochránci přírody VM z.s."/>
    <s v="706"/>
    <x v="1"/>
    <x v="1"/>
    <s v="Krhová"/>
    <s v="Krhová, Ke Studánce 265, PSČ 75663"/>
    <s v="94995"/>
    <s v="Činnosti environmentálních a ekologických hnutí"/>
    <m/>
    <m/>
    <m/>
    <m/>
    <m/>
    <m/>
    <m/>
    <m/>
    <m/>
    <m/>
    <m/>
    <m/>
    <m/>
    <m/>
    <m/>
    <m/>
    <m/>
  </r>
  <r>
    <s v="26633361"/>
    <s v="Ochranný svaz hostinských a hoteliérů - OSHH"/>
    <s v="706"/>
    <x v="1"/>
    <x v="2"/>
    <s v="Uherské Hradiště"/>
    <s v="Uherské Hradiště, Palackého náměstí 34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26978"/>
    <s v="OCR Zlín z. s."/>
    <s v="706"/>
    <x v="1"/>
    <x v="0"/>
    <s v="Zlín"/>
    <s v="Zlín, Budovatelská 4797, PSČ 76005"/>
    <s v="93190"/>
    <s v="Ostatní sportovní činnosti"/>
    <m/>
    <m/>
    <m/>
    <m/>
    <m/>
    <m/>
    <m/>
    <m/>
    <m/>
    <m/>
    <m/>
    <m/>
    <m/>
    <m/>
    <m/>
    <m/>
    <m/>
  </r>
  <r>
    <s v="22689869"/>
    <s v="OCTOPUS, z.s."/>
    <s v="706"/>
    <x v="1"/>
    <x v="0"/>
    <s v="Otrokovice"/>
    <s v="Otrokovice, Školní 1004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76687"/>
    <s v="Oddíl kulturistiky a fitness Vsetín, z.s."/>
    <s v="706"/>
    <x v="1"/>
    <x v="1"/>
    <s v="Vsetín"/>
    <s v="Vsetín, Mládí 1571, PSČ 75501"/>
    <s v="93190"/>
    <s v="Ostatní sportovní činnosti"/>
    <m/>
    <m/>
    <m/>
    <m/>
    <m/>
    <m/>
    <m/>
    <m/>
    <m/>
    <m/>
    <m/>
    <m/>
    <m/>
    <m/>
    <m/>
    <m/>
    <m/>
  </r>
  <r>
    <s v="68898517"/>
    <s v="Oddíl Radiového orientačního běhu Kunovice"/>
    <s v="706"/>
    <x v="1"/>
    <x v="1"/>
    <s v="Kunovice"/>
    <s v="Kunovice 54, PSČ 75644"/>
    <s v="931"/>
    <s v="Sportovní činnosti"/>
    <m/>
    <m/>
    <m/>
    <m/>
    <m/>
    <m/>
    <m/>
    <m/>
    <m/>
    <m/>
    <m/>
    <m/>
    <m/>
    <m/>
    <m/>
    <m/>
    <m/>
  </r>
  <r>
    <s v="01463641"/>
    <s v="odtadyma, o.p.s."/>
    <s v="141"/>
    <x v="2"/>
    <x v="1"/>
    <s v="Seninka"/>
    <s v="Seninka 2, PSČ 75611"/>
    <s v="471"/>
    <s v="Maloobchod v nespecializovaných prodejnách"/>
    <m/>
    <m/>
    <m/>
    <m/>
    <m/>
    <m/>
    <m/>
    <m/>
    <m/>
    <m/>
    <m/>
    <m/>
    <m/>
    <m/>
    <m/>
    <m/>
    <m/>
  </r>
  <r>
    <s v="19196369"/>
    <s v="oDušu, z.s."/>
    <s v="706"/>
    <x v="1"/>
    <x v="1"/>
    <s v="Huslenky"/>
    <s v="Huslenky 252, PSČ 756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31840"/>
    <s v="OFF ROAD CLUB UHERSKÉ HRADIŠTĚ"/>
    <s v="706"/>
    <x v="1"/>
    <x v="2"/>
    <s v="Uherské Hradiště"/>
    <s v="Uherské Hradiště, Mařatice, Vinohradská 430, PSČ 68605"/>
    <s v="93120"/>
    <s v="Činnosti sportovních klubů"/>
    <m/>
    <m/>
    <m/>
    <m/>
    <m/>
    <m/>
    <m/>
    <m/>
    <m/>
    <m/>
    <m/>
    <m/>
    <m/>
    <m/>
    <m/>
    <m/>
    <m/>
  </r>
  <r>
    <s v="68898789"/>
    <s v="OFF ROAD TEAM Valašské Meziříčí"/>
    <s v="706"/>
    <x v="1"/>
    <x v="1"/>
    <s v="Valašské Meziříčí"/>
    <s v="Valašské Meziříčí, Juřinka 127, PSČ 75701"/>
    <s v="931"/>
    <s v="Sportovní činnosti"/>
    <m/>
    <m/>
    <m/>
    <m/>
    <m/>
    <m/>
    <m/>
    <m/>
    <m/>
    <m/>
    <m/>
    <m/>
    <m/>
    <m/>
    <m/>
    <m/>
    <m/>
  </r>
  <r>
    <s v="68726961"/>
    <s v="Off Road Team Zlín"/>
    <s v="706"/>
    <x v="1"/>
    <x v="0"/>
    <s v="Zlín"/>
    <s v="Zlín, Louky, třída Tomáše Bati 385, PSČ 76302"/>
    <s v="931"/>
    <s v="Sportovní činnosti"/>
    <m/>
    <m/>
    <m/>
    <m/>
    <m/>
    <m/>
    <m/>
    <m/>
    <m/>
    <m/>
    <m/>
    <m/>
    <m/>
    <m/>
    <m/>
    <m/>
    <m/>
  </r>
  <r>
    <s v="26548976"/>
    <s v="Off road4x4 z.s."/>
    <s v="706"/>
    <x v="1"/>
    <x v="1"/>
    <s v="Vsetín"/>
    <s v="Vsetín, Ohrada 1878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71441"/>
    <s v="Offroad Moravia o.s."/>
    <s v="706"/>
    <x v="1"/>
    <x v="0"/>
    <s v="Fryšták"/>
    <s v="Fryšták, Břetislava Bakaly 410, PSČ 7631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6285350"/>
    <s v="OGAŘI TRUCK TRIAL TEAM Velké Karlovice,z.s."/>
    <s v="706"/>
    <x v="1"/>
    <x v="1"/>
    <s v="Velké Karlovice"/>
    <s v="Velké Karlovice 654, PSČ 756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60909"/>
    <s v="Ohnica, z.s."/>
    <s v="706"/>
    <x v="1"/>
    <x v="3"/>
    <s v="Přílepy"/>
    <s v="Přílepy 293, PSČ 76901"/>
    <s v="94995"/>
    <s v="Činnosti environmentálních a ekologických hnutí"/>
    <m/>
    <m/>
    <m/>
    <m/>
    <m/>
    <m/>
    <m/>
    <m/>
    <m/>
    <m/>
    <m/>
    <m/>
    <m/>
    <m/>
    <m/>
    <m/>
    <m/>
  </r>
  <r>
    <s v="27003884"/>
    <s v="Ohýřov, z.s."/>
    <s v="706"/>
    <x v="1"/>
    <x v="1"/>
    <s v="Vsetín"/>
    <s v="Vsetín, Na Příkopě 81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73921"/>
    <s v="O-KOLO, z.s."/>
    <s v="706"/>
    <x v="1"/>
    <x v="2"/>
    <s v="Uherské Hradiště"/>
    <s v="Uherské Hradiště, Štěpnická 1160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63564"/>
    <s v="Okolohor z. s."/>
    <s v="706"/>
    <x v="1"/>
    <x v="1"/>
    <s v="Hošťálková"/>
    <s v="Hošťálková 238, PSČ 75622"/>
    <s v="93190"/>
    <s v="Ostatní sportovní činnosti"/>
    <m/>
    <m/>
    <m/>
    <m/>
    <m/>
    <m/>
    <m/>
    <m/>
    <m/>
    <m/>
    <m/>
    <m/>
    <m/>
    <m/>
    <m/>
    <m/>
    <m/>
  </r>
  <r>
    <s v="22737367"/>
    <s v="Okrašlovací a zábavní spolek, z. s."/>
    <s v="706"/>
    <x v="1"/>
    <x v="3"/>
    <s v="Bystřice pod Hostýnem"/>
    <s v="Bystřice pod Hostýnem, Tř. Legií 662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694050"/>
    <s v="Okrašlovací spolek v Nítkovicích"/>
    <s v="706"/>
    <x v="1"/>
    <x v="3"/>
    <s v="Nítkovice"/>
    <s v="Nítkovice 3, PSČ 768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3205"/>
    <s v="Okrašlovací spolek Vizovice"/>
    <s v="706"/>
    <x v="1"/>
    <x v="0"/>
    <s v="Vizovice"/>
    <s v="Vizovice, Štěpská 562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2472"/>
    <s v="Okresní fotbalový svaz Kroměříž"/>
    <s v="736"/>
    <x v="0"/>
    <x v="3"/>
    <s v="Kroměříž"/>
    <s v="Kroměříž, Vrchlického 2899/31, PSČ 76701"/>
    <s v="93110"/>
    <s v="Provozování sportovních zařízení"/>
    <m/>
    <m/>
    <m/>
    <m/>
    <m/>
    <m/>
    <m/>
    <m/>
    <m/>
    <m/>
    <m/>
    <m/>
    <m/>
    <m/>
    <m/>
    <m/>
    <m/>
  </r>
  <r>
    <s v="22880283"/>
    <s v="Okresní fotbalový svaz Uherské Hradiště"/>
    <s v="736"/>
    <x v="0"/>
    <x v="2"/>
    <s v="Uherské Hradiště"/>
    <s v="Uherské Hradiště, Růžová 436, PSČ 68601"/>
    <s v="93110"/>
    <s v="Provozování sportovních zařízení"/>
    <m/>
    <m/>
    <m/>
    <m/>
    <m/>
    <m/>
    <m/>
    <m/>
    <m/>
    <m/>
    <m/>
    <m/>
    <m/>
    <m/>
    <m/>
    <m/>
    <m/>
  </r>
  <r>
    <s v="01555260"/>
    <s v="Okresní fotbalový svaz Vsetín"/>
    <s v="736"/>
    <x v="0"/>
    <x v="1"/>
    <s v="Vsetín"/>
    <s v="Vsetín, Svárov 1082, PSČ 75501"/>
    <s v="93110"/>
    <s v="Provozování sportovních zařízení"/>
    <m/>
    <m/>
    <m/>
    <m/>
    <m/>
    <m/>
    <m/>
    <m/>
    <m/>
    <m/>
    <m/>
    <m/>
    <m/>
    <m/>
    <m/>
    <m/>
    <m/>
  </r>
  <r>
    <s v="22883070"/>
    <s v="Okresní fotbalový svaz Zlín"/>
    <s v="736"/>
    <x v="0"/>
    <x v="0"/>
    <s v="Zlín"/>
    <s v="Zlín, Hradská 854, PSČ 76001"/>
    <s v="93110"/>
    <s v="Provozování sportovních zařízení"/>
    <m/>
    <m/>
    <m/>
    <m/>
    <m/>
    <m/>
    <m/>
    <m/>
    <m/>
    <m/>
    <m/>
    <m/>
    <m/>
    <m/>
    <m/>
    <m/>
    <m/>
  </r>
  <r>
    <s v="00425389"/>
    <s v="Okresní organizace Českého svazu žen"/>
    <s v="736"/>
    <x v="0"/>
    <x v="0"/>
    <s v="Zlín"/>
    <s v="Nedefinováno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689"/>
    <s v="Okresní rada Asociace školních sportovních klubů České republiky Kroměříž, pobočný spolek"/>
    <s v="736"/>
    <x v="0"/>
    <x v="3"/>
    <s v="Kroměříž"/>
    <s v="Kroměříž, Vrchlického 2899/31, PSČ 76701"/>
    <s v="93110"/>
    <s v="Provozování sportovních zařízení"/>
    <m/>
    <m/>
    <m/>
    <m/>
    <m/>
    <m/>
    <m/>
    <m/>
    <m/>
    <m/>
    <m/>
    <m/>
    <m/>
    <m/>
    <m/>
    <m/>
    <m/>
  </r>
  <r>
    <s v="01705911"/>
    <s v="Okresní rada Asociace školních sportovních klubů České republiky Uherské Hradiště, pobočný spolek"/>
    <s v="736"/>
    <x v="0"/>
    <x v="2"/>
    <s v="Uherský Brod"/>
    <s v="Uherský Brod, Za Humny 1420, PSČ 68801"/>
    <s v="9311"/>
    <s v="Provozování sportovních zařízení"/>
    <m/>
    <m/>
    <m/>
    <m/>
    <m/>
    <m/>
    <m/>
    <m/>
    <m/>
    <m/>
    <m/>
    <m/>
    <m/>
    <m/>
    <m/>
    <m/>
    <m/>
  </r>
  <r>
    <s v="72557567"/>
    <s v="Okresní rada Asociace školních sportovních klubů České republiky Vsetín, pobočný spolek"/>
    <s v="736"/>
    <x v="0"/>
    <x v="1"/>
    <s v="Valašské Meziříčí"/>
    <s v="Valašské Meziříčí, Zdeňka Fibicha 287, PSČ 75701"/>
    <s v="93110"/>
    <s v="Provozování sportovních zařízení"/>
    <m/>
    <m/>
    <m/>
    <m/>
    <m/>
    <m/>
    <m/>
    <m/>
    <m/>
    <m/>
    <m/>
    <m/>
    <m/>
    <m/>
    <m/>
    <m/>
    <m/>
  </r>
  <r>
    <s v="72072024"/>
    <s v="Okresní rada Asociace školních sportovních klubů České republiky Zlín, pobočný spolek"/>
    <s v="736"/>
    <x v="0"/>
    <x v="0"/>
    <s v="Zlín"/>
    <s v="Zlín, nám. T. G. Masaryka 3669, PSČ 76001"/>
    <s v="93110"/>
    <s v="Provozování sportovních zařízení"/>
    <m/>
    <m/>
    <m/>
    <m/>
    <m/>
    <m/>
    <m/>
    <m/>
    <m/>
    <m/>
    <m/>
    <m/>
    <m/>
    <m/>
    <m/>
    <m/>
    <m/>
  </r>
  <r>
    <s v="00435953"/>
    <s v="Okresní sdružení ČUS Uherské Hradiště, z.s."/>
    <s v="706"/>
    <x v="1"/>
    <x v="2"/>
    <s v="Uherské Hradiště"/>
    <s v="Uherské Hradiště, Růžová 436, PSČ 68601"/>
    <s v="93110"/>
    <s v="Provozování sportovních zařízení"/>
    <m/>
    <m/>
    <m/>
    <m/>
    <m/>
    <m/>
    <m/>
    <m/>
    <m/>
    <m/>
    <m/>
    <m/>
    <m/>
    <m/>
    <m/>
    <m/>
    <m/>
  </r>
  <r>
    <s v="42340128"/>
    <s v="OKRESNÍ ŠTÁB SÁLOVÉHO FOTBALU - ZLÍN"/>
    <s v="736"/>
    <x v="0"/>
    <x v="0"/>
    <s v="Otrokovice"/>
    <s v="Otrokovice, K. Čapka 1198, PSČ 76502"/>
    <s v="931"/>
    <s v="Sportovní činnosti"/>
    <m/>
    <m/>
    <m/>
    <m/>
    <m/>
    <m/>
    <m/>
    <m/>
    <m/>
    <m/>
    <m/>
    <m/>
    <m/>
    <m/>
    <m/>
    <m/>
    <m/>
  </r>
  <r>
    <s v="70893004"/>
    <s v="Old Stars Hradišťan, z.s."/>
    <s v="706"/>
    <x v="1"/>
    <x v="2"/>
    <s v="Kunovice"/>
    <s v="Kunovice, Farská 1135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615811"/>
    <s v="Oldies Vsetín, z.s."/>
    <s v="706"/>
    <x v="1"/>
    <x v="1"/>
    <s v="Jablůnka"/>
    <s v="Jablůnka 135, PSČ 75623"/>
    <s v="93190"/>
    <s v="Ostatní sportovní činnosti"/>
    <m/>
    <m/>
    <m/>
    <m/>
    <m/>
    <m/>
    <m/>
    <m/>
    <m/>
    <m/>
    <m/>
    <m/>
    <m/>
    <m/>
    <m/>
    <m/>
    <m/>
  </r>
  <r>
    <s v="01506986"/>
    <s v="OLD-STAR ROZMARÝN z.s."/>
    <s v="706"/>
    <x v="1"/>
    <x v="2"/>
    <s v="Uherský Brod"/>
    <s v="Uherský Brod, Újezdec, 1. května 282, PSČ 6873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7891"/>
    <s v="OLDŠAVA z. s."/>
    <s v="706"/>
    <x v="1"/>
    <x v="2"/>
    <s v="Uherský Brod"/>
    <s v="Uherský Brod, Mariánské nám. 218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053531"/>
    <s v="OLŠAVANKA, dechová hudba, z.s."/>
    <s v="706"/>
    <x v="1"/>
    <x v="2"/>
    <s v="Drslavice"/>
    <s v="Drslavice 93, PSČ 687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155554"/>
    <s v="Olšavěnka l Uherský Brod"/>
    <s v="706"/>
    <x v="1"/>
    <x v="2"/>
    <s v="Uherský Brod"/>
    <s v="Uherský Brod, Mariánské nám. 218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7698"/>
    <s v="Olympia, z.s."/>
    <s v="706"/>
    <x v="1"/>
    <x v="3"/>
    <s v="Holešov"/>
    <s v="Holešov, U Letiště 1150/3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34803"/>
    <s v="OMAKA, z. s."/>
    <s v="706"/>
    <x v="1"/>
    <x v="1"/>
    <s v="Prostřední Bečva"/>
    <s v="Prostřední Bečva 71, PSČ 756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013449"/>
    <s v="Omega-rescue záchranáři z. s."/>
    <s v="706"/>
    <x v="1"/>
    <x v="3"/>
    <s v="Zborovice"/>
    <s v="Zborovice, Sokolská 252, PSČ 768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467881"/>
    <s v="On One Ship, z.s."/>
    <s v="706"/>
    <x v="1"/>
    <x v="2"/>
    <s v="Mistřice"/>
    <s v="Mistřice 119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851376"/>
    <s v="Ondra na nohy a do života z.s."/>
    <s v="706"/>
    <x v="1"/>
    <x v="0"/>
    <s v="Zlín"/>
    <s v="Zlín, Prštné, B. Němcové 338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836519"/>
    <s v="Ondřena, z.s."/>
    <s v="706"/>
    <x v="1"/>
    <x v="3"/>
    <s v="Kroměříž"/>
    <s v="Kroměříž, Karolíny Světlé 3377/12, PSČ 76701"/>
    <s v="94995"/>
    <s v="Činnosti environmentálních a ekologických hnutí"/>
    <m/>
    <m/>
    <m/>
    <m/>
    <m/>
    <m/>
    <m/>
    <m/>
    <m/>
    <m/>
    <m/>
    <m/>
    <m/>
    <m/>
    <m/>
    <m/>
    <m/>
  </r>
  <r>
    <s v="27741354"/>
    <s v="ONENESS o.p.s."/>
    <s v="141"/>
    <x v="2"/>
    <x v="3"/>
    <s v="Rusava"/>
    <s v="Rusava č. ev. 296, PSČ 76841"/>
    <s v="855"/>
    <s v="Ostatní vzdělávání"/>
    <s v="Činnosti v oblasti filmů, videozáznamů a televizních programů, pořizování zvukových nahrávek a hudební vydavatelské činnosti"/>
    <s v="Tvůrčí, umělecké a zábavní činnosti"/>
    <m/>
    <m/>
    <m/>
    <m/>
    <m/>
    <m/>
    <m/>
    <m/>
    <m/>
    <m/>
    <m/>
    <m/>
    <m/>
    <m/>
    <m/>
  </r>
  <r>
    <s v="02492415"/>
    <s v="ONKO Zlín spolek"/>
    <s v="706"/>
    <x v="1"/>
    <x v="0"/>
    <s v="Zlín"/>
    <s v="Zlín, Dlouhá 16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677913"/>
    <s v="Operárium, z.s."/>
    <s v="706"/>
    <x v="1"/>
    <x v="0"/>
    <s v="Vizovice"/>
    <s v="Vizovice, Pardubská 199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1754"/>
    <s v="Optimum"/>
    <s v="706"/>
    <x v="1"/>
    <x v="0"/>
    <s v="Fryšták"/>
    <s v="Fryšták, Horní Ves, Vítovská 276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9946"/>
    <s v="Orbis Musica o. s."/>
    <s v="706"/>
    <x v="1"/>
    <x v="0"/>
    <s v="Březnice"/>
    <s v="Březnice 29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11289"/>
    <s v="Orbiscool, z.s."/>
    <s v="706"/>
    <x v="1"/>
    <x v="0"/>
    <s v="Zlín"/>
    <s v="Zlín, Prostřední 6529, PSČ 76001"/>
    <s v="94999"/>
    <s v="Činnosti ostatních organizací j. n."/>
    <m/>
    <m/>
    <m/>
    <m/>
    <m/>
    <m/>
    <m/>
    <m/>
    <m/>
    <m/>
    <m/>
    <m/>
    <m/>
    <m/>
    <m/>
    <m/>
    <m/>
  </r>
  <r>
    <s v="02020718"/>
    <s v="Orbisum"/>
    <s v="706"/>
    <x v="1"/>
    <x v="2"/>
    <s v="Uherské Hradiště"/>
    <s v="Uherské Hradiště, Sady, Tř. Maršála Malinovského 88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773611"/>
    <s v="Orchestrální sdružení Vsetín, z. s."/>
    <s v="706"/>
    <x v="1"/>
    <x v="1"/>
    <s v="Vsetín"/>
    <s v="Vsetín, Svárov 1055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6337"/>
    <s v="&quot;ORCHIDEJ&quot; - sdružení pro pomoc a podporu postiženým a starším občanům"/>
    <s v="706"/>
    <x v="1"/>
    <x v="0"/>
    <s v="Zlín"/>
    <s v="Zlín, Masaryka 128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3766"/>
    <s v="Orchis 2003, z.s."/>
    <s v="706"/>
    <x v="1"/>
    <x v="2"/>
    <s v="Březolupy"/>
    <s v="Březolupy 545, PSČ 68713"/>
    <s v="94995"/>
    <s v="Činnosti environmentálních a ekologických hnutí"/>
    <m/>
    <m/>
    <m/>
    <m/>
    <m/>
    <m/>
    <m/>
    <m/>
    <m/>
    <m/>
    <m/>
    <m/>
    <m/>
    <m/>
    <m/>
    <m/>
    <m/>
  </r>
  <r>
    <s v="06120041"/>
    <s v="Orel jednota Bratřejov"/>
    <s v="736"/>
    <x v="0"/>
    <x v="0"/>
    <s v="Bratřejov"/>
    <s v="Bratřejov 117, PSČ 76312"/>
    <s v="9319"/>
    <s v="Ostatní sportovní činnosti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65274423"/>
    <s v="Orel jednota Bystřice pod Hostýnem"/>
    <s v="736"/>
    <x v="0"/>
    <x v="3"/>
    <s v="Bystřice pod Hostýnem"/>
    <s v="Bystřice pod Hostýnem, Za Drahou 853, PSČ 76861"/>
    <s v="93110"/>
    <s v="Provozování sportovních zařízení"/>
    <m/>
    <m/>
    <m/>
    <m/>
    <m/>
    <m/>
    <m/>
    <m/>
    <m/>
    <m/>
    <m/>
    <m/>
    <m/>
    <m/>
    <m/>
    <m/>
    <m/>
  </r>
  <r>
    <s v="86771116"/>
    <s v="Orel jednota Drnovice u Valašských Klobouk"/>
    <s v="736"/>
    <x v="0"/>
    <x v="0"/>
    <s v="Drnovice"/>
    <s v="Drnovice 139, PSČ 76325"/>
    <s v="931"/>
    <s v="Sportovní činnosti"/>
    <m/>
    <m/>
    <m/>
    <m/>
    <m/>
    <m/>
    <m/>
    <m/>
    <m/>
    <m/>
    <m/>
    <m/>
    <m/>
    <m/>
    <m/>
    <m/>
    <m/>
  </r>
  <r>
    <s v="65888235"/>
    <s v="Orel jednota Halenkov - Huslenky"/>
    <s v="736"/>
    <x v="0"/>
    <x v="1"/>
    <s v="Huslenky"/>
    <s v="Huslenky 115, PSČ 75602"/>
    <s v="93110"/>
    <s v="Provozování sportovních zařízení"/>
    <m/>
    <m/>
    <m/>
    <m/>
    <m/>
    <m/>
    <m/>
    <m/>
    <m/>
    <m/>
    <m/>
    <m/>
    <m/>
    <m/>
    <m/>
    <m/>
    <m/>
  </r>
  <r>
    <s v="70936455"/>
    <s v="Orel jednota Holešov"/>
    <s v="736"/>
    <x v="0"/>
    <x v="3"/>
    <s v="Holešov"/>
    <s v="Holešov, Palackého 519/12, PSČ 76901"/>
    <s v="931"/>
    <s v="Sportovní činnosti"/>
    <m/>
    <m/>
    <m/>
    <m/>
    <m/>
    <m/>
    <m/>
    <m/>
    <m/>
    <m/>
    <m/>
    <m/>
    <m/>
    <m/>
    <m/>
    <m/>
    <m/>
  </r>
  <r>
    <s v="65891104"/>
    <s v="Orel jednota Hovězí"/>
    <s v="736"/>
    <x v="0"/>
    <x v="1"/>
    <s v="Hovězí"/>
    <s v="Hovězí 32, PSČ 75601"/>
    <s v="93110"/>
    <s v="Provozování sportovních zařízení"/>
    <m/>
    <m/>
    <m/>
    <m/>
    <m/>
    <m/>
    <m/>
    <m/>
    <m/>
    <m/>
    <m/>
    <m/>
    <m/>
    <m/>
    <m/>
    <m/>
    <m/>
  </r>
  <r>
    <s v="06920837"/>
    <s v="Orel jednota Hradisko"/>
    <s v="736"/>
    <x v="0"/>
    <x v="3"/>
    <s v="Kroměříž"/>
    <s v="Kroměříž, Hradisko 26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44514"/>
    <s v="Orel jednota Hulín"/>
    <s v="736"/>
    <x v="0"/>
    <x v="3"/>
    <s v="Hulín"/>
    <s v="Hulín, Kostelní 132, PSČ 76824"/>
    <s v="931"/>
    <s v="Sportovní činnosti"/>
    <m/>
    <m/>
    <m/>
    <m/>
    <m/>
    <m/>
    <m/>
    <m/>
    <m/>
    <m/>
    <m/>
    <m/>
    <m/>
    <m/>
    <m/>
    <m/>
    <m/>
  </r>
  <r>
    <s v="75150751"/>
    <s v="Orel jednota Kašava"/>
    <s v="736"/>
    <x v="0"/>
    <x v="0"/>
    <s v="Kašava"/>
    <s v="Kašava 160, PSČ 76319"/>
    <s v="93110"/>
    <s v="Provozování sportovních zařízení"/>
    <m/>
    <m/>
    <m/>
    <m/>
    <m/>
    <m/>
    <m/>
    <m/>
    <m/>
    <m/>
    <m/>
    <m/>
    <m/>
    <m/>
    <m/>
    <m/>
    <m/>
  </r>
  <r>
    <s v="75081661"/>
    <s v="Orel jednota Kelč"/>
    <s v="736"/>
    <x v="0"/>
    <x v="1"/>
    <s v="Kelč"/>
    <s v="Kelč, Němetice 68, PSČ 75643"/>
    <s v="93110"/>
    <s v="Provozování sportovních zařízení"/>
    <m/>
    <m/>
    <m/>
    <m/>
    <m/>
    <m/>
    <m/>
    <m/>
    <m/>
    <m/>
    <m/>
    <m/>
    <m/>
    <m/>
    <m/>
    <m/>
    <m/>
  </r>
  <r>
    <s v="64422593"/>
    <s v="Orel jednota Koryčany"/>
    <s v="736"/>
    <x v="0"/>
    <x v="3"/>
    <s v="Koryčany"/>
    <s v="Koryčany, Masarykova 688, PSČ 76805"/>
    <s v="93110"/>
    <s v="Provozování sportovních zařízení"/>
    <m/>
    <m/>
    <m/>
    <m/>
    <m/>
    <m/>
    <m/>
    <m/>
    <m/>
    <m/>
    <m/>
    <m/>
    <m/>
    <m/>
    <m/>
    <m/>
    <m/>
  </r>
  <r>
    <s v="72072857"/>
    <s v="Orel jednota Korytná"/>
    <s v="736"/>
    <x v="0"/>
    <x v="2"/>
    <s v="Korytná"/>
    <s v="Korytná 57, PSČ 68752"/>
    <s v="93190"/>
    <s v="Ostatní sportovní činnosti"/>
    <m/>
    <m/>
    <m/>
    <m/>
    <m/>
    <m/>
    <m/>
    <m/>
    <m/>
    <m/>
    <m/>
    <m/>
    <m/>
    <m/>
    <m/>
    <m/>
    <m/>
  </r>
  <r>
    <s v="65270240"/>
    <s v="Orel jednota Kroměříž"/>
    <s v="736"/>
    <x v="0"/>
    <x v="3"/>
    <s v="Kroměříž"/>
    <s v="Kroměříž, Pilařova 3/3, PSČ 76701"/>
    <s v="93110"/>
    <s v="Provozování sportovních zařízení"/>
    <m/>
    <m/>
    <m/>
    <m/>
    <m/>
    <m/>
    <m/>
    <m/>
    <m/>
    <m/>
    <m/>
    <m/>
    <m/>
    <m/>
    <m/>
    <m/>
    <m/>
  </r>
  <r>
    <s v="67027270"/>
    <s v="Orel jednota Kunovice"/>
    <s v="736"/>
    <x v="0"/>
    <x v="2"/>
    <s v="Kunovice"/>
    <s v="Kunovice, Osvobození 855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156091"/>
    <s v="Orel jednota Kunovice u Valašského Meziříčí"/>
    <s v="736"/>
    <x v="0"/>
    <x v="1"/>
    <s v="Kunovice"/>
    <s v="Kunovice 3, PSČ 75644"/>
    <s v="93190"/>
    <s v="Ostatní sportovní činnosti"/>
    <m/>
    <m/>
    <m/>
    <m/>
    <m/>
    <m/>
    <m/>
    <m/>
    <m/>
    <m/>
    <m/>
    <m/>
    <m/>
    <m/>
    <m/>
    <m/>
    <m/>
  </r>
  <r>
    <s v="05965276"/>
    <s v="Orel jednota Morkovice"/>
    <s v="736"/>
    <x v="0"/>
    <x v="3"/>
    <s v="Morkovice-Slížany"/>
    <s v="Morkovice-Slížany, Morkovice, Nádražní 17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6431"/>
    <s v="Orel jednota Nivnice"/>
    <s v="736"/>
    <x v="0"/>
    <x v="2"/>
    <s v="Nivnice"/>
    <s v="Nivnice, náměstí Míru 176, PSČ 68751"/>
    <s v="93110"/>
    <s v="Provozování sportovních zařízení"/>
    <m/>
    <m/>
    <m/>
    <m/>
    <m/>
    <m/>
    <m/>
    <m/>
    <m/>
    <m/>
    <m/>
    <m/>
    <m/>
    <m/>
    <m/>
    <m/>
    <m/>
  </r>
  <r>
    <s v="65891392"/>
    <s v="Orel jednota Nový Hrozenkov"/>
    <s v="736"/>
    <x v="0"/>
    <x v="1"/>
    <s v="Nový Hrozenkov"/>
    <s v="Nový Hrozenkov 571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2123"/>
    <s v="Orel jednota Ostrožská Nová Ves"/>
    <s v="736"/>
    <x v="0"/>
    <x v="2"/>
    <s v="Ostrožská Nová Ves"/>
    <s v="Ostrožská Nová Ves, Dědina 594, PSČ 68722"/>
    <s v="93110"/>
    <s v="Provozování sportovních zařízení"/>
    <s v="Stravování v restauracích, u stánků a v mobilních zařízeních"/>
    <m/>
    <m/>
    <m/>
    <m/>
    <m/>
    <m/>
    <m/>
    <m/>
    <m/>
    <m/>
    <m/>
    <m/>
    <m/>
    <m/>
    <m/>
    <m/>
  </r>
  <r>
    <s v="62832484"/>
    <s v="Orel jednota Pitín"/>
    <s v="736"/>
    <x v="0"/>
    <x v="2"/>
    <s v="Pitín"/>
    <s v="Pitín 15, PSČ 68771"/>
    <s v="93110"/>
    <s v="Provozování sportovních zařízení"/>
    <m/>
    <m/>
    <m/>
    <m/>
    <m/>
    <m/>
    <m/>
    <m/>
    <m/>
    <m/>
    <m/>
    <m/>
    <m/>
    <m/>
    <m/>
    <m/>
    <m/>
  </r>
  <r>
    <s v="75020262"/>
    <s v="Orel jednota Polešovice"/>
    <s v="736"/>
    <x v="0"/>
    <x v="2"/>
    <s v="Polešovice"/>
    <s v="Polešovice 293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170"/>
    <s v="Orel jednota Slavičín"/>
    <s v="736"/>
    <x v="0"/>
    <x v="0"/>
    <s v="Slavičín"/>
    <s v="Slavičín, Osvobození 248, PSČ 76321"/>
    <s v="93110"/>
    <s v="Provozování sportovních zařízení"/>
    <m/>
    <m/>
    <m/>
    <m/>
    <m/>
    <m/>
    <m/>
    <m/>
    <m/>
    <m/>
    <m/>
    <m/>
    <m/>
    <m/>
    <m/>
    <m/>
    <m/>
  </r>
  <r>
    <s v="62832646"/>
    <s v="Orel jednota Staré Město"/>
    <s v="736"/>
    <x v="0"/>
    <x v="2"/>
    <s v="Staré Město"/>
    <s v="Staré Město, náměstí Hrdinů 264, PSČ 68603"/>
    <s v="93110"/>
    <s v="Provozování sportovních zařízení"/>
    <m/>
    <m/>
    <m/>
    <m/>
    <m/>
    <m/>
    <m/>
    <m/>
    <m/>
    <m/>
    <m/>
    <m/>
    <m/>
    <m/>
    <m/>
    <m/>
    <m/>
  </r>
  <r>
    <s v="72048034"/>
    <s v="Orel jednota Suchá Loz"/>
    <s v="736"/>
    <x v="0"/>
    <x v="2"/>
    <s v="Suchá Loz"/>
    <s v="Suchá Loz 72, PSČ 68753"/>
    <s v="93190"/>
    <s v="Ostatní sportovní činnosti"/>
    <m/>
    <m/>
    <m/>
    <m/>
    <m/>
    <m/>
    <m/>
    <m/>
    <m/>
    <m/>
    <m/>
    <m/>
    <m/>
    <m/>
    <m/>
    <m/>
    <m/>
  </r>
  <r>
    <s v="62832778"/>
    <s v="Orel jednota Uherské Hradiště"/>
    <s v="736"/>
    <x v="0"/>
    <x v="2"/>
    <s v="Uherské Hradiště"/>
    <s v="Uherské Hradiště, Mariánské náměstí 78, PSČ 68601"/>
    <s v="93110"/>
    <s v="Provozování sportovních zařízení"/>
    <m/>
    <m/>
    <m/>
    <m/>
    <m/>
    <m/>
    <m/>
    <m/>
    <m/>
    <m/>
    <m/>
    <m/>
    <m/>
    <m/>
    <m/>
    <m/>
    <m/>
  </r>
  <r>
    <s v="62832638"/>
    <s v="Orel jednota Uherský Brod"/>
    <s v="736"/>
    <x v="0"/>
    <x v="2"/>
    <s v="Uherský Brod"/>
    <s v="Uherský Brod, Lipová 2614, PSČ 68801"/>
    <s v="93110"/>
    <s v="Provozování sportovních zařízení"/>
    <m/>
    <m/>
    <m/>
    <m/>
    <m/>
    <m/>
    <m/>
    <m/>
    <m/>
    <m/>
    <m/>
    <m/>
    <m/>
    <m/>
    <m/>
    <m/>
    <m/>
  </r>
  <r>
    <s v="64467104"/>
    <s v="Orel jednota Valašské Klobouky"/>
    <s v="736"/>
    <x v="0"/>
    <x v="0"/>
    <s v="Valašské Klobouky"/>
    <s v="Valašské Klobouky, Koželužská 361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081652"/>
    <s v="Orel jednota Valašské Meziříčí"/>
    <s v="736"/>
    <x v="0"/>
    <x v="1"/>
    <s v="Valašské Meziříčí"/>
    <s v="Valašské Meziříčí, Komenského 2/2, PSČ 75701"/>
    <s v="93110"/>
    <s v="Provozování sportovních zařízení"/>
    <m/>
    <m/>
    <m/>
    <m/>
    <m/>
    <m/>
    <m/>
    <m/>
    <m/>
    <m/>
    <m/>
    <m/>
    <m/>
    <m/>
    <m/>
    <m/>
    <m/>
  </r>
  <r>
    <s v="70238812"/>
    <s v="Orel jednota Velké Karlovice"/>
    <s v="736"/>
    <x v="0"/>
    <x v="1"/>
    <s v="Velké Karlovice"/>
    <s v="Velké Karlovice 686, PSČ 75606"/>
    <s v="93110"/>
    <s v="Provozování sportovních zařízení"/>
    <m/>
    <m/>
    <m/>
    <m/>
    <m/>
    <m/>
    <m/>
    <m/>
    <m/>
    <m/>
    <m/>
    <m/>
    <m/>
    <m/>
    <m/>
    <m/>
    <m/>
  </r>
  <r>
    <s v="67027911"/>
    <s v="Orel jednota Vizovice"/>
    <s v="736"/>
    <x v="0"/>
    <x v="0"/>
    <s v="Vizovice"/>
    <s v="Vizovice, Palackého Nám. 1203, PSČ 76312"/>
    <s v="931"/>
    <s v="Sportovní činnosti"/>
    <m/>
    <m/>
    <m/>
    <m/>
    <m/>
    <m/>
    <m/>
    <m/>
    <m/>
    <m/>
    <m/>
    <m/>
    <m/>
    <m/>
    <m/>
    <m/>
    <m/>
  </r>
  <r>
    <s v="65891449"/>
    <s v="Orel jednota Zašová"/>
    <s v="736"/>
    <x v="0"/>
    <x v="1"/>
    <s v="Zašová"/>
    <s v="Zašová 722, PSČ 75651"/>
    <s v="93110"/>
    <s v="Provozování sportovních zařízení"/>
    <m/>
    <m/>
    <m/>
    <m/>
    <m/>
    <m/>
    <m/>
    <m/>
    <m/>
    <m/>
    <m/>
    <m/>
    <m/>
    <m/>
    <m/>
    <m/>
    <m/>
  </r>
  <r>
    <s v="64467317"/>
    <s v="Orel jednota Zlín"/>
    <s v="736"/>
    <x v="0"/>
    <x v="0"/>
    <s v="Zlín"/>
    <s v="Zlín, Štefánikova 661/21, PSČ 76001"/>
    <s v="93110"/>
    <s v="Provozování sportovních zařízení"/>
    <m/>
    <m/>
    <m/>
    <m/>
    <m/>
    <m/>
    <m/>
    <m/>
    <m/>
    <m/>
    <m/>
    <m/>
    <m/>
    <m/>
    <m/>
    <m/>
    <m/>
  </r>
  <r>
    <s v="65792084"/>
    <s v="Orel jednota Zlín-Malenovice"/>
    <s v="736"/>
    <x v="0"/>
    <x v="0"/>
    <s v="Zlín"/>
    <s v="Zlín, Malenovice, Jar. Staši 150, PSČ 76302"/>
    <s v="93110"/>
    <s v="Provozování sportovních zařízení"/>
    <m/>
    <m/>
    <m/>
    <m/>
    <m/>
    <m/>
    <m/>
    <m/>
    <m/>
    <m/>
    <m/>
    <m/>
    <m/>
    <m/>
    <m/>
    <m/>
    <m/>
  </r>
  <r>
    <s v="64989224"/>
    <s v="Orel župa Bauerova"/>
    <s v="736"/>
    <x v="0"/>
    <x v="1"/>
    <s v="Zašová"/>
    <s v="Zašová 722, PSČ 75651"/>
    <s v="93110"/>
    <s v="Provozování sportovních zařízení"/>
    <m/>
    <m/>
    <m/>
    <m/>
    <m/>
    <m/>
    <m/>
    <m/>
    <m/>
    <m/>
    <m/>
    <m/>
    <m/>
    <m/>
    <m/>
    <m/>
    <m/>
  </r>
  <r>
    <s v="63459582"/>
    <s v="Orel župa Urbanova"/>
    <s v="736"/>
    <x v="0"/>
    <x v="3"/>
    <s v="Kroměříž"/>
    <s v="Kroměříž, Pilařova 3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1933"/>
    <s v="Orel župa Velehradská"/>
    <s v="736"/>
    <x v="0"/>
    <x v="2"/>
    <s v="Uherské Hradiště"/>
    <s v="Uherské Hradiště, Mariánské náměstí 78, PSČ 68601"/>
    <s v="93110"/>
    <s v="Provozování sportovních zařízení"/>
    <m/>
    <m/>
    <m/>
    <m/>
    <m/>
    <m/>
    <m/>
    <m/>
    <m/>
    <m/>
    <m/>
    <m/>
    <m/>
    <m/>
    <m/>
    <m/>
    <m/>
  </r>
  <r>
    <s v="26519364"/>
    <s v="Ornitologický klub České republiky, z.s."/>
    <s v="706"/>
    <x v="1"/>
    <x v="0"/>
    <s v="Biskupice"/>
    <s v="Biskupice 158, PSČ 763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2593"/>
    <s v="Ornix z.s."/>
    <s v="706"/>
    <x v="1"/>
    <x v="2"/>
    <s v="Dolní Němčí"/>
    <s v="Dolní Němčí, Mírová 763, PSČ 6876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690379"/>
    <s v="o.s. Berg-Trophy Team"/>
    <s v="706"/>
    <x v="1"/>
    <x v="2"/>
    <s v="Kunovice"/>
    <s v="Kunovice, Na Rynku 354, PSČ 68604"/>
    <s v="93110"/>
    <s v="Provozování sportovních zařízení"/>
    <m/>
    <m/>
    <m/>
    <m/>
    <m/>
    <m/>
    <m/>
    <m/>
    <m/>
    <m/>
    <m/>
    <m/>
    <m/>
    <m/>
    <m/>
    <m/>
    <m/>
  </r>
  <r>
    <s v="64123111"/>
    <s v="OS chalupářské osady SAHARA z.s."/>
    <s v="706"/>
    <x v="1"/>
    <x v="1"/>
    <s v="Vsetín"/>
    <s v="Vsetín, Rokytnice, Okružní 45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435929"/>
    <s v="OS ČUS Kroměříž z.s."/>
    <s v="706"/>
    <x v="1"/>
    <x v="3"/>
    <s v="Kroměříž"/>
    <s v="Kroměříž, Vrchlického 2899/31, PSČ 76701"/>
    <s v="93110"/>
    <s v="Provozování sportovních zařízení"/>
    <m/>
    <m/>
    <m/>
    <m/>
    <m/>
    <m/>
    <m/>
    <m/>
    <m/>
    <m/>
    <m/>
    <m/>
    <m/>
    <m/>
    <m/>
    <m/>
    <m/>
  </r>
  <r>
    <s v="00436101"/>
    <s v="OS ČUS Vsetín, z. s."/>
    <s v="706"/>
    <x v="1"/>
    <x v="1"/>
    <s v="Vsetín"/>
    <s v="Vsetín, Svárov 1082, PSČ 75501"/>
    <s v="931"/>
    <s v="Sportovní činnosti"/>
    <m/>
    <m/>
    <m/>
    <m/>
    <m/>
    <m/>
    <m/>
    <m/>
    <m/>
    <m/>
    <m/>
    <m/>
    <m/>
    <m/>
    <m/>
    <m/>
    <m/>
  </r>
  <r>
    <s v="00435899"/>
    <s v="OS ČUS Zlín z.s."/>
    <s v="706"/>
    <x v="1"/>
    <x v="0"/>
    <s v="Zlín"/>
    <s v="Zlín, Hradská 854, PSČ 76001"/>
    <s v="931"/>
    <s v="Sportovní činnosti"/>
    <m/>
    <m/>
    <m/>
    <m/>
    <m/>
    <m/>
    <m/>
    <m/>
    <m/>
    <m/>
    <m/>
    <m/>
    <m/>
    <m/>
    <m/>
    <m/>
    <m/>
  </r>
  <r>
    <s v="22847103"/>
    <s v="o.s. KARPATY"/>
    <s v="706"/>
    <x v="1"/>
    <x v="0"/>
    <s v="Zlín"/>
    <s v="Zlín, Obeciny IX 3620, PSČ 76001"/>
    <s v="94995"/>
    <s v="Činnosti environmentálních a ekologických hnutí"/>
    <m/>
    <m/>
    <m/>
    <m/>
    <m/>
    <m/>
    <m/>
    <m/>
    <m/>
    <m/>
    <m/>
    <m/>
    <m/>
    <m/>
    <m/>
    <m/>
    <m/>
  </r>
  <r>
    <s v="22674926"/>
    <s v="&quot;o.s. Military Morava&quot;"/>
    <s v="706"/>
    <x v="1"/>
    <x v="2"/>
    <s v="Uherské Hradiště"/>
    <s v="Uherské Hradiště, Jana Žižky 746, PSČ 68606"/>
    <s v="93110"/>
    <s v="Provozování sportovních zařízení"/>
    <m/>
    <m/>
    <m/>
    <m/>
    <m/>
    <m/>
    <m/>
    <m/>
    <m/>
    <m/>
    <m/>
    <m/>
    <m/>
    <m/>
    <m/>
    <m/>
    <m/>
  </r>
  <r>
    <s v="22672362"/>
    <s v="OS Ráj Veselá, z.s."/>
    <s v="706"/>
    <x v="1"/>
    <x v="1"/>
    <s v="Zašová"/>
    <s v="Zašová, Veselá 38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50234"/>
    <s v="”o.s. SATURN”"/>
    <s v="706"/>
    <x v="1"/>
    <x v="2"/>
    <s v="Strání"/>
    <s v="Strání, Na kopci 156, PSČ 6876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8235"/>
    <s v="o.s. Sportovní klub dobrovolných šipkařů"/>
    <s v="706"/>
    <x v="1"/>
    <x v="3"/>
    <s v="Kroměříž"/>
    <s v="Kroměříž, Vážany, Pionýrů 202/29, PSČ 76701"/>
    <s v="93120"/>
    <s v="Činnosti sportovních klubů"/>
    <m/>
    <m/>
    <m/>
    <m/>
    <m/>
    <m/>
    <m/>
    <m/>
    <m/>
    <m/>
    <m/>
    <m/>
    <m/>
    <m/>
    <m/>
    <m/>
    <m/>
  </r>
  <r>
    <s v="22667741"/>
    <s v="o.s. Table Tennis Valaška Růžďka"/>
    <s v="706"/>
    <x v="1"/>
    <x v="1"/>
    <s v="Růžďka"/>
    <s v="Růžďka 319, PSČ 75625"/>
    <s v="93110"/>
    <s v="Provozování sportovních zařízení"/>
    <m/>
    <m/>
    <m/>
    <m/>
    <m/>
    <m/>
    <m/>
    <m/>
    <m/>
    <m/>
    <m/>
    <m/>
    <m/>
    <m/>
    <m/>
    <m/>
    <m/>
  </r>
  <r>
    <s v="27043185"/>
    <s v="&quot;o.s. výchova pro šťastné dětství&quot;"/>
    <s v="706"/>
    <x v="1"/>
    <x v="2"/>
    <s v="Uherské Hradiště"/>
    <s v="Uherské Hradiště, Sady, Trnková 429, PSČ 68605"/>
    <s v="94991"/>
    <s v="Činnosti organizací dětí a mládeže"/>
    <m/>
    <m/>
    <m/>
    <m/>
    <m/>
    <m/>
    <m/>
    <m/>
    <m/>
    <m/>
    <m/>
    <m/>
    <m/>
    <m/>
    <m/>
    <m/>
    <m/>
  </r>
  <r>
    <s v="22679464"/>
    <s v="&quot;o.s. Zážitkové centrum&quot;"/>
    <s v="706"/>
    <x v="1"/>
    <x v="0"/>
    <s v="Halenkovice"/>
    <s v="Halenkovice 619, PSČ 763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561957"/>
    <s v="OSActiv, z. s."/>
    <s v="706"/>
    <x v="1"/>
    <x v="2"/>
    <s v="Strání"/>
    <s v="Strání, Sv. Cyrila a Metoděje 220, PSČ 68765"/>
    <s v="93190"/>
    <s v="Ostatní sportovní činnosti"/>
    <m/>
    <m/>
    <m/>
    <m/>
    <m/>
    <m/>
    <m/>
    <m/>
    <m/>
    <m/>
    <m/>
    <m/>
    <m/>
    <m/>
    <m/>
    <m/>
    <m/>
  </r>
  <r>
    <s v="27038165"/>
    <s v="Osada Lipka, z.s."/>
    <s v="706"/>
    <x v="1"/>
    <x v="2"/>
    <s v="Uherské Hradiště"/>
    <s v="Uherské Hradiště, Palackého náměstí 29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74647"/>
    <s v="Osada Želkov z.s."/>
    <s v="706"/>
    <x v="1"/>
    <x v="3"/>
    <s v="Holešov"/>
    <s v="Holešov, Bezručova 1403/5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7039042"/>
    <s v="Osmička - Malenovice, z.s."/>
    <s v="706"/>
    <x v="1"/>
    <x v="0"/>
    <s v="Zlín"/>
    <s v="Zlín, Malenovice, Komenského 78, PSČ 76302"/>
    <s v="94999"/>
    <s v="Činnosti ostatních organizací j. n."/>
    <m/>
    <m/>
    <m/>
    <m/>
    <m/>
    <m/>
    <m/>
    <m/>
    <m/>
    <m/>
    <m/>
    <m/>
    <m/>
    <m/>
    <m/>
    <m/>
    <m/>
  </r>
  <r>
    <s v="22733515"/>
    <s v="OSOPS - Občanské sdružení ochránců potoka Svodnice"/>
    <s v="706"/>
    <x v="1"/>
    <x v="0"/>
    <s v="Sazovice"/>
    <s v="Sazovice 180, PSČ 76301"/>
    <s v="94995"/>
    <s v="Činnosti environmentálních a ekologických hnutí"/>
    <m/>
    <m/>
    <m/>
    <m/>
    <m/>
    <m/>
    <m/>
    <m/>
    <m/>
    <m/>
    <m/>
    <m/>
    <m/>
    <m/>
    <m/>
    <m/>
    <m/>
  </r>
  <r>
    <s v="22684492"/>
    <s v="o.s.RC klub Elišky Junkové Zlín"/>
    <s v="706"/>
    <x v="1"/>
    <x v="0"/>
    <s v="Zlín"/>
    <s v="Zlín, Malenovice, Na Větrově 1124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05506"/>
    <s v="OSST Zlín, spolek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743624"/>
    <s v="Osteologická Akademie Zlín, o.p.s."/>
    <s v="141"/>
    <x v="2"/>
    <x v="0"/>
    <s v="Zlín"/>
    <s v="Zlín, třída Tomáše Bati 3910, PSČ 76001"/>
    <s v="855"/>
    <s v="Ostatní vzdělávání"/>
    <s v="Výroba, obchod a služby neuvedené v přílohách 1 až 3 živnostenského zákona"/>
    <s v="Poradenství v oblasti řízení"/>
    <s v="Ostatní výzkum a vývoj v oblasti přírodních a technických věd"/>
    <m/>
    <m/>
    <m/>
    <m/>
    <m/>
    <m/>
    <m/>
    <m/>
    <m/>
    <m/>
    <m/>
    <m/>
    <m/>
    <m/>
  </r>
  <r>
    <s v="02492334"/>
    <s v="Ostrévka, z.s."/>
    <s v="706"/>
    <x v="1"/>
    <x v="1"/>
    <s v="Nový Hrozenkov"/>
    <s v="Nový Hrozenkov 429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9829"/>
    <s v="OSTROŽAN II z.s."/>
    <s v="706"/>
    <x v="1"/>
    <x v="2"/>
    <s v="Uherský Ostroh"/>
    <s v="Uherský Ostroh, Zámecká 24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6155"/>
    <s v="Ostrožská jezera"/>
    <s v="706"/>
    <x v="1"/>
    <x v="2"/>
    <s v="Uherské Hradiště"/>
    <s v="Uherské Hradiště, Vésky, Na Pastvišti 179, PSČ 68601"/>
    <s v="94995"/>
    <s v="Činnosti environmentálních a ekologických hnutí"/>
    <m/>
    <m/>
    <m/>
    <m/>
    <m/>
    <m/>
    <m/>
    <m/>
    <m/>
    <m/>
    <m/>
    <m/>
    <m/>
    <m/>
    <m/>
    <m/>
    <m/>
  </r>
  <r>
    <s v="26668432"/>
    <s v="Ostrožský pulling club"/>
    <s v="706"/>
    <x v="1"/>
    <x v="2"/>
    <s v="Uherský Ostroh"/>
    <s v="Uherský Ostroh, Mašovy 281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869774"/>
    <s v="ostrožský splav z.s."/>
    <s v="706"/>
    <x v="1"/>
    <x v="2"/>
    <s v="Uherský Ostroh"/>
    <s v="Uherský Ostroh, Ostrožské Předměstí, Sídliště 816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6627768"/>
    <s v="Otevřené sdružení, Vsetín"/>
    <s v="706"/>
    <x v="1"/>
    <x v="1"/>
    <s v="Vsetín"/>
    <s v="Vsetín, Štěpánská 151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238142"/>
    <s v="Otevřený spolek"/>
    <s v="706"/>
    <x v="1"/>
    <x v="1"/>
    <s v="Rožnov pod Radhoštěm"/>
    <s v="Rožnov pod Radhoštěm, Sladské č. ev. 111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259100"/>
    <s v="Othala z.s."/>
    <s v="706"/>
    <x v="1"/>
    <x v="3"/>
    <s v="Kvasice"/>
    <s v="Kvasice, Krajina 373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117641"/>
    <s v="OV ČSOP Vsetín"/>
    <s v="736"/>
    <x v="0"/>
    <x v="1"/>
    <s v="Valašské Meziříčí"/>
    <s v="Valašské Meziříčí, Krásno nad Bečvou, Zašovská 784, PSČ 75701"/>
    <s v="94995"/>
    <s v="Činnosti environmentálních a ekologických hnutí"/>
    <m/>
    <m/>
    <m/>
    <m/>
    <m/>
    <m/>
    <m/>
    <m/>
    <m/>
    <m/>
    <m/>
    <m/>
    <m/>
    <m/>
    <m/>
    <m/>
    <m/>
  </r>
  <r>
    <s v="22888578"/>
    <s v="Ovečka Vsetín, z.s."/>
    <s v="706"/>
    <x v="1"/>
    <x v="1"/>
    <s v="Vsetín"/>
    <s v="Vsetín, Červenka 2193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906681"/>
    <s v="Ovisis, o.s."/>
    <s v="706"/>
    <x v="1"/>
    <x v="0"/>
    <s v="Lukov"/>
    <s v="Lukov, Slatiny 466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4781"/>
    <s v="Ozvěny života, z. s."/>
    <s v="706"/>
    <x v="1"/>
    <x v="1"/>
    <s v="Liptál"/>
    <s v="Liptál 25, PSČ 756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77408"/>
    <s v="PAHOP, Zdravotní ústav paliativní a hospicové péče, z.ú."/>
    <s v="161"/>
    <x v="3"/>
    <x v="2"/>
    <s v="Uherské Hradiště"/>
    <s v="Uherské Hradiště, Palackého náměstí 293, PSČ 68601"/>
    <s v="8810"/>
    <s v="Ambulantní nebo terénní sociální služby pro seniory a osoby se zdravotním postižením"/>
    <s v="Zprostředkování velkoobchodu a velkoobchod v zastoupení"/>
    <s v="Maloobchod v nespecializovaných prodejnách"/>
    <s v="Ostatní činnosti související se zdravotní péčí"/>
    <s v="Činnosti ostatních organizací sdružujících osoby za účelem prosazování společných zájmů j. n."/>
    <s v="Činnosti reklamních agentur"/>
    <s v="Činnosti organizací dětí a mládeže"/>
    <m/>
    <m/>
    <m/>
    <m/>
    <m/>
    <m/>
    <m/>
    <m/>
    <m/>
    <m/>
    <m/>
  </r>
  <r>
    <s v="27024831"/>
    <s v="PAHORKY"/>
    <s v="706"/>
    <x v="1"/>
    <x v="0"/>
    <s v="Valašské Klobouky"/>
    <s v="Valašské Klobouky, Cyrilometodějská 885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076175"/>
    <s v="Paint Horse Club České republiky z.s."/>
    <s v="706"/>
    <x v="1"/>
    <x v="3"/>
    <s v="Bezměrov"/>
    <s v="Bezměrov 6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97912"/>
    <s v="Paintball Klub Rožnov pod Radhoštěm z.s."/>
    <s v="706"/>
    <x v="1"/>
    <x v="1"/>
    <s v="Rožnov pod Radhoštěm"/>
    <s v="Rožnov pod Radhoštěm, Jarní 2909, PSČ 75661"/>
    <s v="93190"/>
    <s v="Ostatní sportovní činnosti"/>
    <m/>
    <m/>
    <m/>
    <m/>
    <m/>
    <m/>
    <m/>
    <m/>
    <m/>
    <m/>
    <m/>
    <m/>
    <m/>
    <m/>
    <m/>
    <m/>
    <m/>
  </r>
  <r>
    <s v="67028551"/>
    <s v="Paintball MORAVIA UNIT"/>
    <s v="706"/>
    <x v="1"/>
    <x v="2"/>
    <s v="Staré Město"/>
    <s v="Uherské Hradiště"/>
    <s v="931"/>
    <s v="Sportovní činnosti"/>
    <m/>
    <m/>
    <m/>
    <m/>
    <m/>
    <m/>
    <m/>
    <m/>
    <m/>
    <m/>
    <m/>
    <m/>
    <m/>
    <m/>
    <m/>
    <m/>
    <m/>
  </r>
  <r>
    <s v="26643201"/>
    <s v="Paintball Žopy"/>
    <s v="706"/>
    <x v="1"/>
    <x v="3"/>
    <s v="Holešov"/>
    <s v="Holešov, Školní 462/38, PSČ 76901"/>
    <s v="93110"/>
    <s v="Provozování sportovních zařízení"/>
    <m/>
    <m/>
    <m/>
    <m/>
    <m/>
    <m/>
    <m/>
    <m/>
    <m/>
    <m/>
    <m/>
    <m/>
    <m/>
    <m/>
    <m/>
    <m/>
    <m/>
  </r>
  <r>
    <s v="08795240"/>
    <s v="Pales Riders Team, z.s."/>
    <s v="706"/>
    <x v="1"/>
    <x v="1"/>
    <s v="Rožnov pod Radhoštěm"/>
    <s v="Rožnov pod Radhoštěm, Partyzánská 1008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6358322"/>
    <s v="PALLIARE - CARPE DIEM z.ú."/>
    <s v="161"/>
    <x v="3"/>
    <x v="3"/>
    <s v="Zahnašovice"/>
    <s v="Zahnašovice 43, PSČ 76901"/>
    <s v="8690"/>
    <s v="Ostatní činnosti související se zdravotní péčí"/>
    <m/>
    <m/>
    <m/>
    <m/>
    <m/>
    <m/>
    <m/>
    <m/>
    <m/>
    <m/>
    <m/>
    <m/>
    <m/>
    <m/>
    <m/>
    <m/>
    <m/>
  </r>
  <r>
    <s v="26991446"/>
    <s v="Palma z. s."/>
    <s v="706"/>
    <x v="1"/>
    <x v="1"/>
    <s v="Mikulůvka"/>
    <s v="Mikulůvka 251, PSČ 7562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384863"/>
    <s v="PAMPA, z.s."/>
    <s v="706"/>
    <x v="1"/>
    <x v="3"/>
    <s v="Kroměříž"/>
    <s v="Kroměříž, Postoupky 24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79457"/>
    <s v="PanFunk z.s."/>
    <s v="706"/>
    <x v="1"/>
    <x v="0"/>
    <s v="Lukov"/>
    <s v="Lukov, K Boří 156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583853"/>
    <s v="PANTOK KICKBOX, z.s."/>
    <s v="706"/>
    <x v="1"/>
    <x v="2"/>
    <s v="Uherské Hradiště"/>
    <s v="Uherské Hradiště, Stará Tenice 119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977801"/>
    <s v="Pár kapek v moři z.s."/>
    <s v="706"/>
    <x v="1"/>
    <x v="0"/>
    <s v="Zlín"/>
    <s v="Zlín, Potoky 543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502036"/>
    <s v="ParaAgility Walachia z.s."/>
    <s v="706"/>
    <x v="1"/>
    <x v="0"/>
    <s v="Lipová"/>
    <s v="Lipová 117, PSČ 763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686037"/>
    <s v="Paráda, z.s."/>
    <s v="706"/>
    <x v="1"/>
    <x v="3"/>
    <s v="Kroměříž"/>
    <s v="Kroměříž, Tovačovského 3250/22A, PSČ 76701"/>
    <s v="9499"/>
    <s v="Činnosti ostatních organizací sdružujících osoby za účelem prosazování společných zájmů j. n."/>
    <s v="Destilace, rektifikace a míchání lihovin"/>
    <s v="Stravování v restauracích, u stánků a v mobilních zařízeních"/>
    <s v="Ostatní zábavní a rekreační činnosti j. n."/>
    <m/>
    <m/>
    <m/>
    <m/>
    <m/>
    <m/>
    <m/>
    <m/>
    <m/>
    <m/>
    <m/>
    <m/>
    <m/>
    <m/>
  </r>
  <r>
    <s v="68688466"/>
    <s v="Paragliding klub Kroměříž z.s."/>
    <s v="706"/>
    <x v="1"/>
    <x v="3"/>
    <s v="Jarohněvice"/>
    <s v="Jarohněvice 23, PSČ 76801"/>
    <s v="93120"/>
    <s v="Činnosti sportovních klubů"/>
    <m/>
    <m/>
    <m/>
    <m/>
    <m/>
    <m/>
    <m/>
    <m/>
    <m/>
    <m/>
    <m/>
    <m/>
    <m/>
    <m/>
    <m/>
    <m/>
    <m/>
  </r>
  <r>
    <s v="02664127"/>
    <s v="Paragliding Kroměříž, z.s."/>
    <s v="706"/>
    <x v="1"/>
    <x v="3"/>
    <s v="Kroměříž"/>
    <s v="Kroměříž, Gorkého 2571/46, PSČ 76701"/>
    <s v="93190"/>
    <s v="Ostatní sportovní činnosti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05156408"/>
    <s v="Parawalachia z.s."/>
    <s v="706"/>
    <x v="1"/>
    <x v="0"/>
    <s v="Slušovice"/>
    <s v="Slušovice, Padělky 554, PSČ 76315"/>
    <s v="93190"/>
    <s v="Ostatní sportovní činnosti"/>
    <s v="Výroba, obchod a služby neuvedené v přílohách 1 až 3 živnostenského zákona"/>
    <s v="Stravování v restauracích, u stánků a v mobilních zařízeních"/>
    <s v="Destilace, rektifikace a míchání lihovin"/>
    <m/>
    <m/>
    <m/>
    <m/>
    <m/>
    <m/>
    <m/>
    <m/>
    <m/>
    <m/>
    <m/>
    <m/>
    <m/>
    <m/>
  </r>
  <r>
    <s v="06604773"/>
    <s v="Parhůn z.s."/>
    <s v="706"/>
    <x v="1"/>
    <x v="1"/>
    <s v="Valašská Polanka"/>
    <s v="Valašská Polanka 103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234387"/>
    <s v="Park Rochus, o.p.s."/>
    <s v="141"/>
    <x v="2"/>
    <x v="2"/>
    <s v="Uherské Hradiště"/>
    <s v="Uherské Hradiště, Mařatice, Studentské náměstí 1531, PSČ 68601"/>
    <s v="9499"/>
    <s v="Činnosti ostatních organizací sdružujících osoby za účelem prosazování společných zájmů j. n."/>
    <s v="Výroba, obchod a služby neuvedené v přílohách 1 až 3 živnostenského zákona"/>
    <s v="Pronájem a správa vlastních nebo pronajatých nemovitostí"/>
    <s v="Destilace, rektifikace a míchání lihovin"/>
    <s v="Stravování v restauracích, u stánků a v mobilních zařízeních"/>
    <s v="Činnosti reklamních agentur"/>
    <s v="Pronájem a leasing ostatních výrobků pro osobní potřebu a převážně pro domácnost"/>
    <m/>
    <m/>
    <m/>
    <m/>
    <m/>
    <m/>
    <m/>
    <m/>
    <m/>
    <m/>
    <m/>
  </r>
  <r>
    <s v="22666745"/>
    <s v="Paroplavební společnost o.s."/>
    <s v="706"/>
    <x v="1"/>
    <x v="1"/>
    <s v="Huslenky"/>
    <s v="Huslenky 159, PSČ 756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67085"/>
    <s v="Partnerství a spolupráce, z.s."/>
    <s v="706"/>
    <x v="1"/>
    <x v="3"/>
    <s v="Holešov"/>
    <s v="Holešov, U Letiště 1150/3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182381"/>
    <s v="Partnerství pro Velehrad, z. s."/>
    <s v="706"/>
    <x v="1"/>
    <x v="2"/>
    <s v="Velehrad"/>
    <s v="Velehrad, Hradišťská 231, PSČ 68706"/>
    <s v="9499"/>
    <s v="Činnosti ostatních organizací sdružujících osoby za účelem prosazování společných zájmů j. n."/>
    <s v="Velkoobchod a maloobchod; opravy a údržba motorových vozidel"/>
    <s v="Výroba, obchod a služby neuvedené v přílohách 1 až 3 živnostenského zákona"/>
    <s v="Ostatní vzdělávání"/>
    <s v="Činnosti zpravodajských tiskových kanceláří a agentur"/>
    <s v="Činnosti reklamních agentur"/>
    <s v="Překladatelské a tlumočnické činnosti"/>
    <s v="Činnosti cestovních agentur"/>
    <s v="Podpůrné činnosti pro scénická umění"/>
    <m/>
    <m/>
    <m/>
    <m/>
    <m/>
    <m/>
    <m/>
    <m/>
    <m/>
  </r>
  <r>
    <s v="22853758"/>
    <s v="„Paseky”"/>
    <s v="706"/>
    <x v="1"/>
    <x v="3"/>
    <s v="Chvalčov"/>
    <s v="Chvalčov, Na Říce 1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704812"/>
    <s v="Pasení a výpasy Vlčnov, z.s."/>
    <s v="706"/>
    <x v="1"/>
    <x v="2"/>
    <s v="Vlčnov"/>
    <s v="Vlčnov 595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73061"/>
    <s v="Passmusic, z. s."/>
    <s v="706"/>
    <x v="1"/>
    <x v="0"/>
    <s v="Napajedla"/>
    <s v="Napajedla, Komenského 1529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3481"/>
    <s v="Pastýř"/>
    <s v="706"/>
    <x v="1"/>
    <x v="2"/>
    <s v="Strání"/>
    <s v="Strání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9714"/>
    <s v="Patchwork Zlínsko"/>
    <s v="706"/>
    <x v="1"/>
    <x v="0"/>
    <s v="Zlín"/>
    <s v="Zlín, Štípa, Na Výpustě 412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06911"/>
    <s v="Patriot Kroměříž, z.s."/>
    <s v="706"/>
    <x v="1"/>
    <x v="3"/>
    <s v="Kroměříž"/>
    <s v="Kroměříž, Bílanská 1644/4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7069"/>
    <s v="Paulivera, z.s."/>
    <s v="706"/>
    <x v="1"/>
    <x v="0"/>
    <s v="Velký Ořechov"/>
    <s v="Velký Ořechov 221, PSČ 763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91899"/>
    <s v="Pavilon 607 z.s."/>
    <s v="706"/>
    <x v="1"/>
    <x v="2"/>
    <s v="Uherské Hradiště"/>
    <s v="Uherské Hradiště, Mařatice, Na Stráni 538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73472"/>
    <s v="Pečovatelská služba Zlín, o.p.s."/>
    <s v="141"/>
    <x v="2"/>
    <x v="0"/>
    <s v="Zlín"/>
    <s v="Zlín, Příluky, Broučkova 292, PSČ 76001"/>
    <s v="86909"/>
    <s v="Ostatní činnosti související se zdravotní péčí j. n."/>
    <s v="Ambulantní nebo terénní sociální služby"/>
    <m/>
    <m/>
    <m/>
    <m/>
    <m/>
    <m/>
    <m/>
    <m/>
    <m/>
    <m/>
    <m/>
    <m/>
    <m/>
    <m/>
    <m/>
    <m/>
  </r>
  <r>
    <s v="05341841"/>
    <s v="Penguin foundation, z.s."/>
    <s v="706"/>
    <x v="1"/>
    <x v="2"/>
    <s v="Uherský Brod"/>
    <s v="Uherský Brod, Horní Valy 1319, PSČ 68801"/>
    <s v="94999"/>
    <s v="Činnosti ostatních organizací j. n."/>
    <m/>
    <m/>
    <m/>
    <m/>
    <m/>
    <m/>
    <m/>
    <m/>
    <m/>
    <m/>
    <m/>
    <m/>
    <m/>
    <m/>
    <m/>
    <m/>
    <m/>
  </r>
  <r>
    <s v="22857630"/>
    <s v="„Pennello, o.s.”"/>
    <s v="706"/>
    <x v="1"/>
    <x v="1"/>
    <s v="Vsetín"/>
    <s v="Vsetín, Trávníky 14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2751"/>
    <s v="PEQ BIKE TEAM"/>
    <s v="706"/>
    <x v="1"/>
    <x v="2"/>
    <s v="Staré Město"/>
    <s v="Staré Město, Hradišťská 1955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57041"/>
    <s v="PERBENE o.p.s."/>
    <s v="141"/>
    <x v="2"/>
    <x v="2"/>
    <s v="Kunovice"/>
    <s v="Kunovice, Cihlářská 1312, PSČ 68604"/>
    <s v="141"/>
    <s v="Výroba oděvů, kromě kožešinových výrobků"/>
    <s v="Výroba, obchod a služby neuvedené v přílohách 1 až 3 živnostenského zákona"/>
    <s v="Ostatní zpracovatelský průmysl"/>
    <s v="Činnosti v oblasti informačních technologií"/>
    <s v="Pronájem a správa vlastních nebo pronajatých nemovitostí"/>
    <m/>
    <m/>
    <m/>
    <m/>
    <m/>
    <m/>
    <m/>
    <m/>
    <m/>
    <m/>
    <m/>
    <m/>
    <m/>
  </r>
  <r>
    <s v="26559803"/>
    <s v="PermaNet z.s."/>
    <s v="706"/>
    <x v="1"/>
    <x v="1"/>
    <s v="Růžďka"/>
    <s v="Růžďka 328, PSČ 756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372088"/>
    <s v="Pernštejnové, zapsaný spolek"/>
    <s v="706"/>
    <x v="1"/>
    <x v="3"/>
    <s v="Břest"/>
    <s v="Břest 48, PSČ 768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5667"/>
    <s v="Petanque klub Stříbrné kule Buchlovice z.s."/>
    <s v="706"/>
    <x v="1"/>
    <x v="2"/>
    <s v="Buchlovice"/>
    <s v="Buchlovice, Řadová 566, PSČ 68708"/>
    <s v="93120"/>
    <s v="Činnosti sportovních klubů"/>
    <m/>
    <m/>
    <m/>
    <m/>
    <m/>
    <m/>
    <m/>
    <m/>
    <m/>
    <m/>
    <m/>
    <m/>
    <m/>
    <m/>
    <m/>
    <m/>
    <m/>
  </r>
  <r>
    <s v="26928060"/>
    <s v="PETRKLÍČ, o.p.s."/>
    <s v="141"/>
    <x v="2"/>
    <x v="2"/>
    <s v="Uherské Hradiště"/>
    <s v="Uherské Hradiště, Vésky, Na Krajině 44, PSČ 68601"/>
    <s v="879"/>
    <s v="Ostatní pobytové služby sociální péče"/>
    <s v="Ambulantní nebo terénní sociální služby"/>
    <m/>
    <m/>
    <m/>
    <m/>
    <m/>
    <m/>
    <m/>
    <m/>
    <m/>
    <m/>
    <m/>
    <m/>
    <m/>
    <m/>
    <m/>
    <m/>
  </r>
  <r>
    <s v="19371985"/>
    <s v="Pěvecká skupina Blaženky, z. s."/>
    <s v="706"/>
    <x v="1"/>
    <x v="1"/>
    <s v="Vsetín"/>
    <s v="Vsetín, Štěpánská 188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773841"/>
    <s v="Pěvecké sdružení valašských učitelek, z.s."/>
    <s v="706"/>
    <x v="1"/>
    <x v="1"/>
    <s v="Vsetín"/>
    <s v="Vsetín, Svárov 1055, Dům kultury"/>
    <s v="93290"/>
    <s v="Ostatní zábavní a rekreační činnosti j. n."/>
    <m/>
    <m/>
    <m/>
    <m/>
    <m/>
    <m/>
    <m/>
    <m/>
    <m/>
    <m/>
    <m/>
    <m/>
    <m/>
    <m/>
    <m/>
    <m/>
    <m/>
  </r>
  <r>
    <s v="70835292"/>
    <s v="Pěvecký sbor Buchlovice"/>
    <s v="706"/>
    <x v="1"/>
    <x v="2"/>
    <s v="Buchlovice"/>
    <s v="Buchlovice, Tyršova 735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7810"/>
    <s v="Pěvecký sbor CANTARE, z.s."/>
    <s v="706"/>
    <x v="1"/>
    <x v="0"/>
    <s v="Slavičín"/>
    <s v="Slavičín, náměstí Mezi Šenky 121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9594"/>
    <s v="Pěvecký sbor Cantica a dětská opera Zlín, z. s."/>
    <s v="706"/>
    <x v="1"/>
    <x v="0"/>
    <s v="Zlín"/>
    <s v="Zlín, Luční 4591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575361"/>
    <s v="Pěvecký sbor CANTUS Morkovice z.s."/>
    <s v="706"/>
    <x v="1"/>
    <x v="3"/>
    <s v="Morkovice-Slížany"/>
    <s v="Morkovice-Slížany, Morkovice, Nádražní 405, PSČ 76833"/>
    <s v="9499"/>
    <s v="Činnosti ostatních organizací sdružujících osoby za účelem prosazování společných zájmů j. n."/>
    <s v="Stravování v restauracích, u stánků a v mobilních zařízeních"/>
    <s v="Umělecká tvorba"/>
    <s v="Destilace, rektifikace a míchání lihovin"/>
    <m/>
    <m/>
    <m/>
    <m/>
    <m/>
    <m/>
    <m/>
    <m/>
    <m/>
    <m/>
    <m/>
    <m/>
    <m/>
    <m/>
  </r>
  <r>
    <s v="17351863"/>
    <s v="Pěvecký sbor Coro Valacco, z. s."/>
    <s v="706"/>
    <x v="1"/>
    <x v="1"/>
    <s v="Valašské Meziříčí"/>
    <s v="Valašské Meziříčí, Blahoslavova 430/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91390"/>
    <s v="Pěvecký sbor DVOŘÁK Uherský Brod, z.s."/>
    <s v="706"/>
    <x v="1"/>
    <x v="2"/>
    <s v="Uherský Brod"/>
    <s v="Uherský Brod, Mariánské nám. 218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4008"/>
    <s v="Pěvecký sbor Hedvika, z.s."/>
    <s v="706"/>
    <x v="1"/>
    <x v="1"/>
    <s v="Valašské Meziříčí"/>
    <s v="Valašské Meziříčí, Výletní 142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78169"/>
    <s v="&quot;Pěvecký sbor Laetitia - Zlín, z. s.&quot;"/>
    <s v="706"/>
    <x v="1"/>
    <x v="0"/>
    <s v="Zlín"/>
    <s v="Zlín, Luční 4591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8854"/>
    <s v="Pěvecký sbor Moravan Kroměříž, z.s."/>
    <s v="706"/>
    <x v="1"/>
    <x v="3"/>
    <s v="Kroměříž"/>
    <s v="Kroměříž, Talichova 3698/2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1893"/>
    <s v="Pěvecký sbor POLANKA, z. s."/>
    <s v="706"/>
    <x v="1"/>
    <x v="1"/>
    <s v="Seninka"/>
    <s v="Seninka 111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27928"/>
    <s v="Pěvecký sbor Radost, z.s."/>
    <s v="706"/>
    <x v="1"/>
    <x v="0"/>
    <s v="Zlín"/>
    <s v="Zlín, Kostelec, Okrajová 454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62702"/>
    <s v="Pěvecký sbor Smetana - Hulín, z.s."/>
    <s v="706"/>
    <x v="1"/>
    <x v="3"/>
    <s v="Hulín"/>
    <s v="Hulín, nám. Míru 123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97711"/>
    <s v="Pěvecký sbor SONET, z.s."/>
    <s v="706"/>
    <x v="1"/>
    <x v="1"/>
    <s v="Vsetín"/>
    <s v="Vsetín, Rokytnice, Pod Bečevnou 172, PSČ 75501"/>
    <s v="90010"/>
    <s v="Scénická umění"/>
    <m/>
    <m/>
    <m/>
    <m/>
    <m/>
    <m/>
    <m/>
    <m/>
    <m/>
    <m/>
    <m/>
    <m/>
    <m/>
    <m/>
    <m/>
    <m/>
    <m/>
  </r>
  <r>
    <s v="28555490"/>
    <s v="Pěvecký sbor TREGLER, spolek"/>
    <s v="706"/>
    <x v="1"/>
    <x v="3"/>
    <s v="Bystřice pod Hostýnem"/>
    <s v="Bystřice pod Hostýnem, Masarykovo nám. 133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17138"/>
    <s v="Pevnost Neposkvrněné, z.s."/>
    <s v="706"/>
    <x v="1"/>
    <x v="1"/>
    <s v="Růžďka"/>
    <s v="Růžďka 117, PSČ 756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234799"/>
    <s v="Pickleball Zlín z.s."/>
    <s v="706"/>
    <x v="1"/>
    <x v="0"/>
    <s v="Zlín"/>
    <s v="Zlín, Plesníkova 5559, PSČ 76005"/>
    <s v="93190"/>
    <s v="Ostatní sportovní činnosti"/>
    <m/>
    <m/>
    <m/>
    <m/>
    <m/>
    <m/>
    <m/>
    <m/>
    <m/>
    <m/>
    <m/>
    <m/>
    <m/>
    <m/>
    <m/>
    <m/>
    <m/>
  </r>
  <r>
    <s v="22714642"/>
    <s v="PIDILAND"/>
    <s v="706"/>
    <x v="1"/>
    <x v="2"/>
    <s v="Uherské Hradiště"/>
    <s v="Uherské Hradiště, náměstí Republiky 955, PSČ 68601"/>
    <s v="94991"/>
    <s v="Činnosti organizací dětí a mládeže"/>
    <m/>
    <m/>
    <m/>
    <m/>
    <m/>
    <m/>
    <m/>
    <m/>
    <m/>
    <m/>
    <m/>
    <m/>
    <m/>
    <m/>
    <m/>
    <m/>
    <m/>
  </r>
  <r>
    <s v="70435545"/>
    <s v="Pionýr, z. s. - Olomoucko-zlínská krajská organizace Pionýra"/>
    <s v="736"/>
    <x v="0"/>
    <x v="3"/>
    <s v="Kroměříž"/>
    <s v="Kroměříž, Riegrovo náměstí 149/33, PSČ 76701"/>
    <s v="94991"/>
    <s v="Činnosti organizací dětí a mládeže"/>
    <m/>
    <m/>
    <m/>
    <m/>
    <m/>
    <m/>
    <m/>
    <m/>
    <m/>
    <m/>
    <m/>
    <m/>
    <m/>
    <m/>
    <m/>
    <m/>
    <m/>
  </r>
  <r>
    <s v="67006531"/>
    <s v="Pionýr, z. s. - Pionýrská skupina Bystřice pod Hostýnem"/>
    <s v="736"/>
    <x v="0"/>
    <x v="3"/>
    <s v="Bystřice pod Hostýnem"/>
    <s v="Bystřice pod Hostýnem, 6. května"/>
    <s v="94991"/>
    <s v="Činnosti organizací dětí a mládeže"/>
    <m/>
    <m/>
    <m/>
    <m/>
    <m/>
    <m/>
    <m/>
    <m/>
    <m/>
    <m/>
    <m/>
    <m/>
    <m/>
    <m/>
    <m/>
    <m/>
    <m/>
  </r>
  <r>
    <s v="67029698"/>
    <s v="Pionýr, z. s. - Pionýrská skupina dr. Mirko Očadlíka"/>
    <s v="736"/>
    <x v="0"/>
    <x v="3"/>
    <s v="Holešov"/>
    <s v="Holešov, Všetuly, Sokolská 70, PSČ 76901"/>
    <s v="94991"/>
    <s v="Činnosti organizací dětí a mládeže"/>
    <m/>
    <m/>
    <m/>
    <m/>
    <m/>
    <m/>
    <m/>
    <m/>
    <m/>
    <m/>
    <m/>
    <m/>
    <m/>
    <m/>
    <m/>
    <m/>
    <m/>
  </r>
  <r>
    <s v="65792858"/>
    <s v="Pionýr, z. s. - Pionýrská skupina Klubovna Čtrnáctka"/>
    <s v="736"/>
    <x v="0"/>
    <x v="0"/>
    <s v="Zlín"/>
    <s v="Zlín, Podvesná XIV 5490, PSČ 76001"/>
    <s v="94991"/>
    <s v="Činnosti organizací dětí a mládeže"/>
    <m/>
    <m/>
    <m/>
    <m/>
    <m/>
    <m/>
    <m/>
    <m/>
    <m/>
    <m/>
    <m/>
    <m/>
    <m/>
    <m/>
    <m/>
    <m/>
    <m/>
  </r>
  <r>
    <s v="67006566"/>
    <s v="Pionýr, z. s. - Pionýrská skupina Obránců míru Chropyně"/>
    <s v="736"/>
    <x v="0"/>
    <x v="3"/>
    <s v="Chropyně"/>
    <s v="Chropyně, Hrad 466, PSČ 76811"/>
    <s v="94991"/>
    <s v="Činnosti organizací dětí a mládeže"/>
    <m/>
    <m/>
    <m/>
    <m/>
    <m/>
    <m/>
    <m/>
    <m/>
    <m/>
    <m/>
    <m/>
    <m/>
    <m/>
    <m/>
    <m/>
    <m/>
    <m/>
  </r>
  <r>
    <s v="68898738"/>
    <s v="Pionýr, z. s. - Pionýrská skupina Táborníci"/>
    <s v="736"/>
    <x v="0"/>
    <x v="1"/>
    <s v="Poličná"/>
    <s v="Poličná 551, PSČ 75701"/>
    <s v="94991"/>
    <s v="Činnosti organizací dětí a mládeže"/>
    <m/>
    <m/>
    <m/>
    <m/>
    <m/>
    <m/>
    <m/>
    <m/>
    <m/>
    <m/>
    <m/>
    <m/>
    <m/>
    <m/>
    <m/>
    <m/>
    <m/>
  </r>
  <r>
    <s v="67006540"/>
    <s v="Pionýr, z. s. - Pionýrská skupina Zborovice"/>
    <s v="736"/>
    <x v="0"/>
    <x v="3"/>
    <s v="Zborovice"/>
    <s v="Zborovice, Sokolská zahrada"/>
    <s v="94991"/>
    <s v="Činnosti organizací dětí a mládeže"/>
    <m/>
    <m/>
    <m/>
    <m/>
    <m/>
    <m/>
    <m/>
    <m/>
    <m/>
    <m/>
    <m/>
    <m/>
    <m/>
    <m/>
    <m/>
    <m/>
    <m/>
  </r>
  <r>
    <s v="09828656"/>
    <s v="Pionýr, z. s. - Pionýrská skupina Zlínská Radooost"/>
    <s v="736"/>
    <x v="0"/>
    <x v="3"/>
    <s v="Martinice"/>
    <s v="Martinice 273, PSČ 76901"/>
    <s v="94991"/>
    <s v="Činnosti organizací dětí a mládeže"/>
    <m/>
    <m/>
    <m/>
    <m/>
    <m/>
    <m/>
    <m/>
    <m/>
    <m/>
    <m/>
    <m/>
    <m/>
    <m/>
    <m/>
    <m/>
    <m/>
    <m/>
  </r>
  <r>
    <s v="00530930"/>
    <s v="Pionýr, z. s. - Pionýrské centrum Kroměříž"/>
    <s v="736"/>
    <x v="0"/>
    <x v="3"/>
    <s v="Kroměříž"/>
    <s v="Kroměříž, Riegrovo náměstí 149/33, PSČ 76701"/>
    <s v="94991"/>
    <s v="Činnosti organizací dětí a mládeže"/>
    <m/>
    <m/>
    <m/>
    <m/>
    <m/>
    <m/>
    <m/>
    <m/>
    <m/>
    <m/>
    <m/>
    <m/>
    <m/>
    <m/>
    <m/>
    <m/>
    <m/>
  </r>
  <r>
    <s v="68687583"/>
    <s v="Pionýr, z. s. - Pionýrské centrum Kunovice"/>
    <s v="736"/>
    <x v="0"/>
    <x v="2"/>
    <s v="Kunovice"/>
    <s v="Kunovice, Na Řádku 813, PSČ 68604"/>
    <s v="94991"/>
    <s v="Činnosti organizací dětí a mládeže"/>
    <m/>
    <m/>
    <m/>
    <m/>
    <m/>
    <m/>
    <m/>
    <m/>
    <m/>
    <m/>
    <m/>
    <m/>
    <m/>
    <m/>
    <m/>
    <m/>
    <m/>
  </r>
  <r>
    <s v="67006523"/>
    <s v="Pionýr, z. s. - 2.pionýrská skupina Julia Fučíka Kroměříž"/>
    <s v="736"/>
    <x v="0"/>
    <x v="3"/>
    <s v="Kroměříž"/>
    <s v="Kroměříž, Riegrovo náměstí 149/33, PSČ 76701"/>
    <s v="94991"/>
    <s v="Činnosti organizací dětí a mládeže"/>
    <m/>
    <m/>
    <m/>
    <m/>
    <m/>
    <m/>
    <m/>
    <m/>
    <m/>
    <m/>
    <m/>
    <m/>
    <m/>
    <m/>
    <m/>
    <m/>
    <m/>
  </r>
  <r>
    <s v="09132333"/>
    <s v="Pionýrem ze Slovácka do světa, z.s."/>
    <s v="706"/>
    <x v="1"/>
    <x v="2"/>
    <s v="Jalubí"/>
    <s v="Jalubí 372, PSČ 687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68024"/>
    <s v="Pírko"/>
    <s v="706"/>
    <x v="1"/>
    <x v="0"/>
    <s v="Zlín"/>
    <s v="Zlín, Kotěrova 439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02703"/>
    <s v="PITĚNSKÁ BESEDA, z.s."/>
    <s v="706"/>
    <x v="1"/>
    <x v="2"/>
    <s v="Pitín"/>
    <s v="Pitín 341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452589"/>
    <s v="PKM Bike Team, z.s."/>
    <s v="706"/>
    <x v="1"/>
    <x v="1"/>
    <s v="Police"/>
    <s v="Police 159, PSČ 756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695571"/>
    <s v="Plastic Whale Shark z.s."/>
    <s v="706"/>
    <x v="1"/>
    <x v="0"/>
    <s v="Mysločovice"/>
    <s v="Mysločovice 67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074141"/>
    <s v="Plastikářský klastr z.s."/>
    <s v="706"/>
    <x v="1"/>
    <x v="0"/>
    <s v="Zlín"/>
    <s v="Zlín, Vavrečkova 5262, PSČ 76001"/>
    <s v="94110"/>
    <s v="Činnosti podnikatelských a zaměstnavatelských organizací"/>
    <s v="Výroba pryžových a plastových výrobků"/>
    <s v="Maloobchod, kromě motorových vozidel"/>
    <s v="Zprostředkování velkoobchodu a velkoobchod v zastoupení"/>
    <s v="Výzkum a vývoj v oblasti přírodních a technických věd"/>
    <s v="Ostatní vzdělávání"/>
    <s v="Technické zkoušky a analýzy"/>
    <s v="Ostatní profesní, vědecké a technické činnosti j. n."/>
    <s v="Výroba plastových desek, fólií, hadic, trubek a profilů"/>
    <s v="Výroba plastových obalů"/>
    <s v="Výroba plastových výrobků pro stavebnictví"/>
    <s v="Výroba ostatních plastových výrobků"/>
    <s v="Úprava odpadů k dalšímu využití, kromě demontáže vraků, strojů a zařízení"/>
    <s v="Nespecializovaný velkoobchod"/>
    <s v="70220"/>
    <s v="Ostatní poradenství v oblasti podnikání a řízení"/>
    <s v="71209"/>
    <s v="Ostatní technické zkoušky a analýzy"/>
  </r>
  <r>
    <s v="04055403"/>
    <s v="Platforma pro podporu sociálního podnikání na Kroměřížsku z.s."/>
    <s v="706"/>
    <x v="1"/>
    <x v="3"/>
    <s v="Kroměříž"/>
    <s v="Kroměříž, Gen. Svobody 1214/20, PSČ 76701"/>
    <s v="94999"/>
    <s v="Činnosti ostatních organizací j. n."/>
    <m/>
    <m/>
    <m/>
    <m/>
    <m/>
    <m/>
    <m/>
    <m/>
    <m/>
    <m/>
    <m/>
    <m/>
    <m/>
    <m/>
    <m/>
    <m/>
    <m/>
  </r>
  <r>
    <s v="06119417"/>
    <s v="PLATINUM-ONE spolek"/>
    <s v="706"/>
    <x v="1"/>
    <x v="2"/>
    <s v="Uherské Hradiště"/>
    <s v="Uherské Hradiště, Sady, Trnková 477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89393"/>
    <s v="Plavecké sporty Kroměříž, z.s."/>
    <s v="706"/>
    <x v="1"/>
    <x v="3"/>
    <s v="Kroměříž"/>
    <s v="Kroměříž, Obvodová 3965/17, PSČ 76701"/>
    <s v="93110"/>
    <s v="Provozování sportovních zařízení"/>
    <m/>
    <m/>
    <m/>
    <m/>
    <m/>
    <m/>
    <m/>
    <m/>
    <m/>
    <m/>
    <m/>
    <m/>
    <m/>
    <m/>
    <m/>
    <m/>
    <m/>
  </r>
  <r>
    <s v="69211744"/>
    <s v="Plavecký klub Vsetín z.s."/>
    <s v="706"/>
    <x v="1"/>
    <x v="1"/>
    <s v="Vsetín"/>
    <s v="Vsetín, Záviše Kalandry 1095, PSČ 75501"/>
    <s v="931"/>
    <s v="Sportovní činnosti"/>
    <m/>
    <m/>
    <m/>
    <m/>
    <m/>
    <m/>
    <m/>
    <m/>
    <m/>
    <m/>
    <m/>
    <m/>
    <m/>
    <m/>
    <m/>
    <m/>
    <m/>
  </r>
  <r>
    <s v="49157540"/>
    <s v="PLAVECKÝ KLUB ZLÍN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22715622"/>
    <s v="„Plavecký oddíl Rožnov pod Radhoštěm”"/>
    <s v="706"/>
    <x v="1"/>
    <x v="1"/>
    <s v="Rožnov pod Radhoštěm"/>
    <s v="Rožnov pod Radhoštěm, Moravská 1787, PSČ 75661"/>
    <s v="93190"/>
    <s v="Ostatní sportovní činnosti"/>
    <m/>
    <m/>
    <m/>
    <m/>
    <m/>
    <m/>
    <m/>
    <m/>
    <m/>
    <m/>
    <m/>
    <m/>
    <m/>
    <m/>
    <m/>
    <m/>
    <m/>
  </r>
  <r>
    <s v="22846786"/>
    <s v="&quot;Ples KM&quot;"/>
    <s v="706"/>
    <x v="1"/>
    <x v="3"/>
    <s v="Kroměříž"/>
    <s v="Kroměříž, Karolíny Světlé 3366/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6311"/>
    <s v="&quot;P.N. HOCKEY o.s.&quot;"/>
    <s v="706"/>
    <x v="1"/>
    <x v="3"/>
    <s v="Kroměříž"/>
    <s v="Kroměříž, Havlíčkova 3932/118, PSČ 76701"/>
    <s v="93110"/>
    <s v="Provozování sportovních zařízení"/>
    <m/>
    <m/>
    <m/>
    <m/>
    <m/>
    <m/>
    <m/>
    <m/>
    <m/>
    <m/>
    <m/>
    <m/>
    <m/>
    <m/>
    <m/>
    <m/>
    <m/>
  </r>
  <r>
    <s v="22848703"/>
    <s v="P&amp;O Engineering racing team o.s."/>
    <s v="706"/>
    <x v="1"/>
    <x v="3"/>
    <s v="Chvalčov"/>
    <s v="Chvalčov, Na Kamenci 401, PSČ 7687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92867"/>
    <s v="Pobočka České silniční společnosti při Správa a údržba silnic Valašské Meziříčí"/>
    <s v="736"/>
    <x v="0"/>
    <x v="1"/>
    <s v="Valašské Meziříčí"/>
    <s v="Valašské Meziříčí, Krásno nad Bečvou, Jiráskova 35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09875"/>
    <s v="Pobočný spolek AVZO TSČ Hluk"/>
    <s v="736"/>
    <x v="0"/>
    <x v="2"/>
    <s v="Hluk"/>
    <s v="Hluk, Prostřední 794, PSČ 68725"/>
    <s v="931"/>
    <s v="Sportovní činnosti"/>
    <m/>
    <m/>
    <m/>
    <m/>
    <m/>
    <m/>
    <m/>
    <m/>
    <m/>
    <m/>
    <m/>
    <m/>
    <m/>
    <m/>
    <m/>
    <m/>
    <m/>
  </r>
  <r>
    <s v="03225828"/>
    <s v="pobočný spolek Občanská poradna Pod křídly"/>
    <s v="736"/>
    <x v="0"/>
    <x v="1"/>
    <s v="Valašské Meziříčí"/>
    <s v="Valašské Meziříčí, Nábřeží 26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63528"/>
    <s v="Pobřežní hlídka z.s."/>
    <s v="706"/>
    <x v="1"/>
    <x v="2"/>
    <s v="Tučapy"/>
    <s v="Tučapy 132, PSČ 68709"/>
    <s v="93190"/>
    <s v="Ostatní sportovní činnosti"/>
    <m/>
    <m/>
    <m/>
    <m/>
    <m/>
    <m/>
    <m/>
    <m/>
    <m/>
    <m/>
    <m/>
    <m/>
    <m/>
    <m/>
    <m/>
    <m/>
    <m/>
  </r>
  <r>
    <s v="17081220"/>
    <s v="Pobyty ve tmě a v přírodě z. s."/>
    <s v="706"/>
    <x v="1"/>
    <x v="3"/>
    <s v="Chvalčov"/>
    <s v="Chvalčov č. ev. 253, PSČ 7687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3029"/>
    <s v="POD HVĚZDAMI, o.s."/>
    <s v="706"/>
    <x v="1"/>
    <x v="0"/>
    <s v="Lukoveček"/>
    <s v="Lukoveček, Masarykova 31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0526"/>
    <s v="Pod Lány o.s."/>
    <s v="706"/>
    <x v="1"/>
    <x v="0"/>
    <s v="Brumov-Bylnice"/>
    <s v="Brumov-Bylnice, Brumov, 1. května 1108, PSČ 76331"/>
    <s v="93190"/>
    <s v="Ostatní sportovní činnosti"/>
    <m/>
    <m/>
    <m/>
    <m/>
    <m/>
    <m/>
    <m/>
    <m/>
    <m/>
    <m/>
    <m/>
    <m/>
    <m/>
    <m/>
    <m/>
    <m/>
    <m/>
  </r>
  <r>
    <s v="02445735"/>
    <s v="PODANÁ TLAPKA z.s."/>
    <s v="706"/>
    <x v="1"/>
    <x v="2"/>
    <s v="Modrá"/>
    <s v="Modrá 137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8998"/>
    <s v="PODHORAN SPORT TEAM"/>
    <s v="706"/>
    <x v="1"/>
    <x v="3"/>
    <s v="Bystřice pod Hostýnem"/>
    <s v="Bystřice pod Hostýnem, Masarykovo nám. 136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07577"/>
    <s v="Podhostýnská Hasičská Liga, z.s."/>
    <s v="706"/>
    <x v="1"/>
    <x v="3"/>
    <s v="Zdounky"/>
    <s v="Zdounky, Nětčice 70, PSČ 76802"/>
    <s v="93190"/>
    <s v="Ostatní sportovní činnosti"/>
    <m/>
    <m/>
    <m/>
    <m/>
    <m/>
    <m/>
    <m/>
    <m/>
    <m/>
    <m/>
    <m/>
    <m/>
    <m/>
    <m/>
    <m/>
    <m/>
    <m/>
  </r>
  <r>
    <s v="14309807"/>
    <s v="Podhostýnská KomuNitka, z. s."/>
    <s v="706"/>
    <x v="1"/>
    <x v="3"/>
    <s v="Jankovice"/>
    <s v="Jankovice 68, PSČ 76901"/>
    <s v="94991"/>
    <s v="Činnosti organizací dětí a mládeže"/>
    <m/>
    <m/>
    <m/>
    <m/>
    <m/>
    <m/>
    <m/>
    <m/>
    <m/>
    <m/>
    <m/>
    <m/>
    <m/>
    <m/>
    <m/>
    <m/>
    <m/>
  </r>
  <r>
    <s v="09390065"/>
    <s v="Podhostýnský spolek"/>
    <s v="706"/>
    <x v="1"/>
    <x v="3"/>
    <s v="Bystřice pod Hostýnem"/>
    <s v="Bystřice pod Hostýnem, Přerovská 1084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859"/>
    <s v="Podhostýnští zahradníci o.s."/>
    <s v="706"/>
    <x v="1"/>
    <x v="3"/>
    <s v="Bystřice pod Hostýnem"/>
    <s v="Bystřice pod Hostýnem, Za Drahou 1276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24592"/>
    <s v="PODKARPATSKÍ RUSÍNY, z.s."/>
    <s v="706"/>
    <x v="1"/>
    <x v="3"/>
    <s v="Zlobice"/>
    <s v="Zlobice 72, PSČ 768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83620"/>
    <s v="Podlesí"/>
    <s v="706"/>
    <x v="1"/>
    <x v="0"/>
    <s v="Zlín"/>
    <s v="Zlín, Podlesí II 493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8101"/>
    <s v="&quot;Podlesí Zlín o.s.&quot;"/>
    <s v="706"/>
    <x v="1"/>
    <x v="0"/>
    <s v="Zlín"/>
    <s v="Zlín, Podlesí 5407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1666725"/>
    <s v="Podnikatelský klub REGION 47, z. s."/>
    <s v="706"/>
    <x v="1"/>
    <x v="2"/>
    <s v="Uherské Hradiště"/>
    <s v="Uherské Hradiště, Mariánské náměstí 123, PSČ 68601"/>
    <s v="9499"/>
    <s v="Činnosti ostatních organizací sdružujících osoby za účelem prosazování společných zájmů j. n."/>
    <s v="Ostatní vzdělávání"/>
    <s v="Podpůrné činnosti pro scénická umění"/>
    <m/>
    <m/>
    <m/>
    <m/>
    <m/>
    <m/>
    <m/>
    <m/>
    <m/>
    <m/>
    <m/>
    <m/>
    <m/>
    <m/>
    <m/>
  </r>
  <r>
    <s v="22885579"/>
    <s v="„Podpora ovčáctví se psy o.s.”"/>
    <s v="706"/>
    <x v="1"/>
    <x v="1"/>
    <s v="Vsetín"/>
    <s v="Vsetín, Rokytnice 63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612173"/>
    <s v="Podpora regionů Čech, Moravy a Slezka o. s."/>
    <s v="706"/>
    <x v="1"/>
    <x v="1"/>
    <s v="Vsetín"/>
    <s v="Vsetín, Dolní Jasenka 74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57998"/>
    <s v="Podpora studentů, o.p.s."/>
    <s v="141"/>
    <x v="2"/>
    <x v="2"/>
    <s v="Staré Město"/>
    <s v="Staré Město, Velehradská 1527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69471"/>
    <s v="PODSKALIČÍ-Společnost pro podporu prázdninové činnosti dětí a mládeže"/>
    <s v="706"/>
    <x v="1"/>
    <x v="0"/>
    <s v="Valašské Klobouky"/>
    <s v="Valašské Klobouky"/>
    <s v="94991"/>
    <s v="Činnosti organizací dětí a mládeže"/>
    <m/>
    <m/>
    <m/>
    <m/>
    <m/>
    <m/>
    <m/>
    <m/>
    <m/>
    <m/>
    <m/>
    <m/>
    <m/>
    <m/>
    <m/>
    <m/>
    <m/>
  </r>
  <r>
    <s v="05663300"/>
    <s v="Pohádkové rodinné centrum z.s."/>
    <s v="706"/>
    <x v="1"/>
    <x v="1"/>
    <s v="Rožnov pod Radhoštěm"/>
    <s v="Rožnov pod Radhoštěm, Pivovarská 6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12297"/>
    <s v="POHEDA - zapsaný spolek"/>
    <s v="706"/>
    <x v="1"/>
    <x v="0"/>
    <s v="Tlumačov"/>
    <s v="Tlumačov, Machovská 444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7635"/>
    <s v="Pohnuté divadlo Loukov z. s."/>
    <s v="706"/>
    <x v="1"/>
    <x v="3"/>
    <s v="Loukov"/>
    <s v="Loukov 239, PSČ 76875"/>
    <s v="90010"/>
    <s v="Scénická umění"/>
    <m/>
    <m/>
    <m/>
    <m/>
    <m/>
    <m/>
    <m/>
    <m/>
    <m/>
    <m/>
    <m/>
    <m/>
    <m/>
    <m/>
    <m/>
    <m/>
    <m/>
  </r>
  <r>
    <s v="01588214"/>
    <s v="POHODA HOLEŠOV"/>
    <s v="706"/>
    <x v="1"/>
    <x v="3"/>
    <s v="Holešov"/>
    <s v="Holešov, Všetuly, Za Vodou 253, PSČ 76901"/>
    <s v="94999"/>
    <s v="Činnosti ostatních organizací j. n."/>
    <m/>
    <m/>
    <m/>
    <m/>
    <m/>
    <m/>
    <m/>
    <m/>
    <m/>
    <m/>
    <m/>
    <m/>
    <m/>
    <m/>
    <m/>
    <m/>
    <m/>
  </r>
  <r>
    <s v="26558700"/>
    <s v="Pohoda VSC o.s."/>
    <s v="706"/>
    <x v="1"/>
    <x v="1"/>
    <s v="Vsetín"/>
    <s v="Vsetín, Bratří Hlaviců 145, PSČ 75501"/>
    <s v="93190"/>
    <s v="Ostatní sportovní činnosti"/>
    <m/>
    <m/>
    <m/>
    <m/>
    <m/>
    <m/>
    <m/>
    <m/>
    <m/>
    <m/>
    <m/>
    <m/>
    <m/>
    <m/>
    <m/>
    <m/>
    <m/>
  </r>
  <r>
    <s v="09477659"/>
    <s v="Pohodový Ostroh, z.s."/>
    <s v="706"/>
    <x v="1"/>
    <x v="2"/>
    <s v="Uherský Ostroh"/>
    <s v="Uherský Ostroh, Ostrožské Předměstí, Blatnická 518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1351"/>
    <s v="Pohoršov Koryčany, o.s."/>
    <s v="706"/>
    <x v="1"/>
    <x v="3"/>
    <s v="Koryčany"/>
    <s v="Koryčany, Tovární čtvrť 695, PSČ 76805"/>
    <s v="93110"/>
    <s v="Provozování sportovních zařízení"/>
    <m/>
    <m/>
    <m/>
    <m/>
    <m/>
    <m/>
    <m/>
    <m/>
    <m/>
    <m/>
    <m/>
    <m/>
    <m/>
    <m/>
    <m/>
    <m/>
    <m/>
  </r>
  <r>
    <s v="19524838"/>
    <s v="Pohybová akademie Radko Linharta z.s."/>
    <s v="706"/>
    <x v="1"/>
    <x v="1"/>
    <s v="Dolní Bečva"/>
    <s v="Dolní Bečva 340, PSČ 75655"/>
    <s v="93190"/>
    <s v="Ostatní sportovní činnosti"/>
    <m/>
    <m/>
    <m/>
    <m/>
    <m/>
    <m/>
    <m/>
    <m/>
    <m/>
    <m/>
    <m/>
    <m/>
    <m/>
    <m/>
    <m/>
    <m/>
    <m/>
  </r>
  <r>
    <s v="19845880"/>
    <s v="Pohybové centrum Akademie Valašsko z.s."/>
    <s v="736"/>
    <x v="0"/>
    <x v="0"/>
    <s v="Valašské Klobouky"/>
    <s v="Valašské Klobouky, Masarykovo náměstí 103, PSČ 76601"/>
    <s v="93190"/>
    <s v="Ostatní sportovní činnosti"/>
    <m/>
    <m/>
    <m/>
    <m/>
    <m/>
    <m/>
    <m/>
    <m/>
    <m/>
    <m/>
    <m/>
    <m/>
    <m/>
    <m/>
    <m/>
    <m/>
    <m/>
  </r>
  <r>
    <s v="23090677"/>
    <s v="Pojďme si hrát z. s."/>
    <s v="706"/>
    <x v="1"/>
    <x v="3"/>
    <s v="Roštění"/>
    <s v="Roštění 179, PSČ 76843"/>
    <s v="94991"/>
    <s v="Činnosti organizací dětí a mládeže"/>
    <s v="Ostatní vzdělávání"/>
    <m/>
    <m/>
    <m/>
    <m/>
    <m/>
    <m/>
    <m/>
    <m/>
    <m/>
    <m/>
    <m/>
    <m/>
    <m/>
    <m/>
    <m/>
    <m/>
  </r>
  <r>
    <s v="26640554"/>
    <s v="„POJĎTE S NÁMI“"/>
    <s v="706"/>
    <x v="1"/>
    <x v="0"/>
    <s v="Otrokovice"/>
    <s v="Otrokovice, tř. Tomáše Bati 1266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3829"/>
    <s v="POKER CLUB CLASSICK o. s."/>
    <s v="706"/>
    <x v="1"/>
    <x v="0"/>
    <s v="Zlín"/>
    <s v="Zlín, Okružní 4724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3561"/>
    <s v="POKER CLUB OSMEK o.s."/>
    <s v="706"/>
    <x v="1"/>
    <x v="2"/>
    <s v="Uherský Ostroh"/>
    <s v="Uherský Ostroh, Ostrožské Předměstí, Hradišťská 162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9952"/>
    <s v="Pokerová asociace České republiky, o. s."/>
    <s v="706"/>
    <x v="1"/>
    <x v="0"/>
    <s v="Zlín"/>
    <s v="Zlín, Prštné, Kútíky 105, PSČ 7600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19430141"/>
    <s v="Policejní sportovní klub Zlín, z. s."/>
    <s v="706"/>
    <x v="1"/>
    <x v="0"/>
    <s v="Zlín"/>
    <s v="Zlín, J. A. Bati 5637, PSČ 76001"/>
    <s v="93120"/>
    <s v="Činnosti sportovních klubů"/>
    <m/>
    <m/>
    <m/>
    <m/>
    <m/>
    <m/>
    <m/>
    <m/>
    <m/>
    <m/>
    <m/>
    <m/>
    <m/>
    <m/>
    <m/>
    <m/>
    <m/>
  </r>
  <r>
    <s v="08724792"/>
    <s v="Polo Club Slušovice z.s."/>
    <s v="706"/>
    <x v="1"/>
    <x v="0"/>
    <s v="Zlín"/>
    <s v="Zlín, Velíková, Borovicová 194, PSČ 7631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7870523"/>
    <s v="POLYGON bezpečí z.s."/>
    <s v="706"/>
    <x v="1"/>
    <x v="3"/>
    <s v="Bystřice pod Hostýnem"/>
    <s v="Bystřice pod Hostýnem, Slobodova 1323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33168"/>
    <s v="Polygon, z. s."/>
    <s v="706"/>
    <x v="1"/>
    <x v="3"/>
    <s v="Věžky"/>
    <s v="Věžky 109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697772"/>
    <s v="Pomoc ježkům, z.s."/>
    <s v="706"/>
    <x v="1"/>
    <x v="0"/>
    <s v="Luhačovice"/>
    <s v="Luhačovice, Hrazanská 1107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3451"/>
    <s v="Pomoc na cestě z.s."/>
    <s v="706"/>
    <x v="1"/>
    <x v="0"/>
    <s v="Zlín"/>
    <s v="Zlín, náměstí Práce 2512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754113"/>
    <s v="Pomoc potřebným, z.s."/>
    <s v="706"/>
    <x v="1"/>
    <x v="2"/>
    <s v="Staré Město"/>
    <s v="Staré Město, Bratří Mrštíků 1582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017"/>
    <s v="Pomoc pro Angolu, o.s."/>
    <s v="706"/>
    <x v="1"/>
    <x v="0"/>
    <s v="Machová"/>
    <s v="Machová 188, PSČ 76301"/>
    <s v="93120"/>
    <s v="Činnosti sportovních klubů"/>
    <m/>
    <m/>
    <m/>
    <m/>
    <m/>
    <m/>
    <m/>
    <m/>
    <m/>
    <m/>
    <m/>
    <m/>
    <m/>
    <m/>
    <m/>
    <m/>
    <m/>
  </r>
  <r>
    <s v="22864920"/>
    <s v="&quot;POMOC PRO TEBE o.s.&quot;"/>
    <s v="706"/>
    <x v="1"/>
    <x v="0"/>
    <s v="Všemina"/>
    <s v="Všemina 288, PSČ 7631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2040361"/>
    <s v="Pomoc v problémových životních situacích"/>
    <s v="706"/>
    <x v="1"/>
    <x v="2"/>
    <s v="Hluk"/>
    <s v="Hluk, Sadová 480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831401"/>
    <s v="Pony Club Modrá, z.s."/>
    <s v="706"/>
    <x v="1"/>
    <x v="2"/>
    <s v="Staré Město"/>
    <s v="Staré Město, Velehradská 1558, PSČ 68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952957"/>
    <s v="Pony Ranč Kvasice, z.s."/>
    <s v="706"/>
    <x v="1"/>
    <x v="3"/>
    <s v="Kvasice"/>
    <s v="Kvasice, Horní 126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7115"/>
    <s v="&quot;POPINY, z.s. - Spolek poskytující pomoc potřebným&quot;"/>
    <s v="706"/>
    <x v="1"/>
    <x v="3"/>
    <s v="Kroměříž"/>
    <s v="Kroměříž, Vrchlického 682/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314747"/>
    <s v="Poradenské centrum pro sluchově postižené Kroměříž, o.p.s."/>
    <s v="141"/>
    <x v="2"/>
    <x v="3"/>
    <s v="Kroměříž"/>
    <s v="Kroměříž, Velehradská 625/4, PSČ 76701"/>
    <s v="88999"/>
    <s v="Jiné ambulantní nebo terénní sociální služby j. n."/>
    <s v="Ostatní vzdělávání"/>
    <s v="Sociální péče v domovech pro seniory a osoby se zdravotním postižením"/>
    <s v="Ostatní vydavatelské činnosti"/>
    <s v="Překladatelské a tlumočnické činnosti"/>
    <m/>
    <m/>
    <m/>
    <m/>
    <m/>
    <m/>
    <m/>
    <m/>
    <m/>
    <m/>
    <m/>
    <m/>
    <m/>
  </r>
  <r>
    <s v="22689346"/>
    <s v="&quot;Porta Futura z.s.&quot;"/>
    <s v="706"/>
    <x v="1"/>
    <x v="3"/>
    <s v="Kroměříž"/>
    <s v="Kroměříž, Velké náměstí 48/4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41739"/>
    <s v="Porta Ranger, z.ú."/>
    <s v="161"/>
    <x v="3"/>
    <x v="1"/>
    <s v="Valašská Bystřice"/>
    <s v="Valašská Bystřice 703, PSČ 75627"/>
    <s v="88"/>
    <s v="Ambulantní nebo terénní sociální služby"/>
    <m/>
    <m/>
    <m/>
    <m/>
    <m/>
    <m/>
    <m/>
    <m/>
    <m/>
    <m/>
    <m/>
    <m/>
    <m/>
    <m/>
    <m/>
    <m/>
    <m/>
  </r>
  <r>
    <s v="28559991"/>
    <s v="Porta Temporis z.s."/>
    <s v="706"/>
    <x v="1"/>
    <x v="0"/>
    <s v="Napajedla"/>
    <s v="Napajedla, Komenského 1081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62538"/>
    <s v="Portage z.s."/>
    <s v="706"/>
    <x v="1"/>
    <x v="0"/>
    <s v="Tečovice"/>
    <s v="Tečovice 294, PSČ 763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865926"/>
    <s v="Poskla"/>
    <s v="706"/>
    <x v="1"/>
    <x v="1"/>
    <s v="Hutisko-Solanec"/>
    <s v="Hutisko-Solanec, Hutisko 113, PSČ 75662"/>
    <s v="94995"/>
    <s v="Činnosti environmentálních a ekologických hnutí"/>
    <m/>
    <m/>
    <m/>
    <m/>
    <m/>
    <m/>
    <m/>
    <m/>
    <m/>
    <m/>
    <m/>
    <m/>
    <m/>
    <m/>
    <m/>
    <m/>
    <m/>
  </r>
  <r>
    <s v="26570793"/>
    <s v="Potápěči Divestar"/>
    <s v="706"/>
    <x v="1"/>
    <x v="0"/>
    <s v="Zlín"/>
    <s v="Zlín, náměstí Práce 2512, PSČ 76001"/>
    <s v="93190"/>
    <s v="Ostatní sportovní činnosti"/>
    <m/>
    <m/>
    <m/>
    <m/>
    <m/>
    <m/>
    <m/>
    <m/>
    <m/>
    <m/>
    <m/>
    <m/>
    <m/>
    <m/>
    <m/>
    <m/>
    <m/>
  </r>
  <r>
    <s v="05811660"/>
    <s v="Potápěči Oceanpadi Zlín, z.s."/>
    <s v="706"/>
    <x v="1"/>
    <x v="0"/>
    <s v="Zlín"/>
    <s v="Zlín, Smetanova 5225, PSČ 76001"/>
    <s v="93190"/>
    <s v="Ostatní sportovní činnosti"/>
    <m/>
    <m/>
    <m/>
    <m/>
    <m/>
    <m/>
    <m/>
    <m/>
    <m/>
    <m/>
    <m/>
    <m/>
    <m/>
    <m/>
    <m/>
    <m/>
    <m/>
  </r>
  <r>
    <s v="70953813"/>
    <s v="Potápěčský klub Oceán PRO, pobočný spolek SPMS"/>
    <s v="736"/>
    <x v="0"/>
    <x v="0"/>
    <s v="Zlín"/>
    <s v="Zlín, Hradská 888, PSČ 76001"/>
    <s v="931"/>
    <s v="Sportovní činnosti"/>
    <m/>
    <m/>
    <m/>
    <m/>
    <m/>
    <m/>
    <m/>
    <m/>
    <m/>
    <m/>
    <m/>
    <m/>
    <m/>
    <m/>
    <m/>
    <m/>
    <m/>
  </r>
  <r>
    <s v="04024915"/>
    <s v="Potravinová banka ve Zlínském kraji, z. s."/>
    <s v="706"/>
    <x v="1"/>
    <x v="1"/>
    <s v="Vsetín"/>
    <s v="Vsetín, Hrbová 1561, PSČ 75501"/>
    <s v="8899"/>
    <s v="Ostatní ambulantní nebo terénní sociální služby j. n."/>
    <m/>
    <m/>
    <m/>
    <m/>
    <m/>
    <m/>
    <m/>
    <m/>
    <m/>
    <m/>
    <m/>
    <m/>
    <m/>
    <m/>
    <m/>
    <m/>
    <m/>
  </r>
  <r>
    <s v="26990849"/>
    <s v="Pozemkový spolek Naše Příroda, z.s."/>
    <s v="706"/>
    <x v="1"/>
    <x v="2"/>
    <s v="Ostrožská Lhota"/>
    <s v="Ostrožská Lhota 104, PSČ 687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7121"/>
    <s v="Pozemkový spolek Pod Čupama"/>
    <s v="706"/>
    <x v="1"/>
    <x v="2"/>
    <s v="Nivnice"/>
    <s v="Nivnice, Pořádí 22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74777"/>
    <s v="Poznávej, o.s."/>
    <s v="706"/>
    <x v="1"/>
    <x v="0"/>
    <s v="Zlín"/>
    <s v="Zlín, Slovenská 365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249501"/>
    <s v="PPK Malenovice, z.s."/>
    <s v="706"/>
    <x v="1"/>
    <x v="0"/>
    <s v="Zlín"/>
    <s v="Zlín, Malenovice, Husova 797, PSČ 76302"/>
    <s v="93110"/>
    <s v="Provozování sportovních zařízení"/>
    <m/>
    <m/>
    <m/>
    <m/>
    <m/>
    <m/>
    <m/>
    <m/>
    <m/>
    <m/>
    <m/>
    <m/>
    <m/>
    <m/>
    <m/>
    <m/>
    <m/>
  </r>
  <r>
    <s v="22856391"/>
    <s v="PPP z.s."/>
    <s v="706"/>
    <x v="1"/>
    <x v="2"/>
    <s v="Kunovice"/>
    <s v="Kunovice, Panská 25, PSČ 6860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831223"/>
    <s v="PPZ o.s. (Pohybem pro zdraví)"/>
    <s v="706"/>
    <x v="1"/>
    <x v="0"/>
    <s v="Zlín"/>
    <s v="Zlín, Jílová 4577, PSČ 76005"/>
    <s v="94999"/>
    <s v="Činnosti ostatních organizací j. n."/>
    <m/>
    <m/>
    <m/>
    <m/>
    <m/>
    <m/>
    <m/>
    <m/>
    <m/>
    <m/>
    <m/>
    <m/>
    <m/>
    <m/>
    <m/>
    <m/>
    <m/>
  </r>
  <r>
    <s v="73635618"/>
    <s v="Prabhupád Bhavan"/>
    <s v="722"/>
    <x v="5"/>
    <x v="3"/>
    <s v="Morkovice-Slížany"/>
    <s v="Morkovice-Slížany, Morkovice, Skavsko 519, PSČ 76833"/>
    <s v="94910"/>
    <s v="Činnosti náboženských organizací"/>
    <m/>
    <m/>
    <m/>
    <m/>
    <m/>
    <m/>
    <m/>
    <m/>
    <m/>
    <m/>
    <m/>
    <m/>
    <m/>
    <m/>
    <m/>
    <m/>
    <m/>
  </r>
  <r>
    <s v="05129893"/>
    <s v="Práce nanečisto, z.ú."/>
    <s v="161"/>
    <x v="3"/>
    <x v="1"/>
    <s v="Rožnov pod Radhoštěm"/>
    <s v="Rožnov pod Radhoštěm, 5. května 1350, PSČ 75661"/>
    <s v="855"/>
    <s v="Ostatní vzdělávání"/>
    <m/>
    <m/>
    <m/>
    <m/>
    <m/>
    <m/>
    <m/>
    <m/>
    <m/>
    <m/>
    <m/>
    <m/>
    <m/>
    <m/>
    <m/>
    <m/>
    <m/>
  </r>
  <r>
    <s v="08860599"/>
    <s v="Prachem Svatební cesty z.s."/>
    <s v="706"/>
    <x v="1"/>
    <x v="3"/>
    <s v="Kostelany"/>
    <s v="Kostelany 14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9200"/>
    <s v="Pramen RUSAVY"/>
    <s v="706"/>
    <x v="1"/>
    <x v="3"/>
    <s v="Rusava"/>
    <s v="Rusava 248, PSČ 76841"/>
    <s v="93110"/>
    <s v="Provozování sportovních zařízení"/>
    <m/>
    <m/>
    <m/>
    <m/>
    <m/>
    <m/>
    <m/>
    <m/>
    <m/>
    <m/>
    <m/>
    <m/>
    <m/>
    <m/>
    <m/>
    <m/>
    <m/>
  </r>
  <r>
    <s v="01554344"/>
    <s v="Pravé Moravské, o.s."/>
    <s v="706"/>
    <x v="1"/>
    <x v="0"/>
    <s v="Zlín"/>
    <s v="Zlín, Březnická 556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8621"/>
    <s v="Pravoslavná církevní obec v Kroměříži"/>
    <s v="722"/>
    <x v="5"/>
    <x v="3"/>
    <s v="Kroměříž"/>
    <s v="Kroměříž, Slovanské náměstí 3920/1, PSČ 76701"/>
    <s v="94910"/>
    <s v="Činnosti náboženských organizací"/>
    <m/>
    <m/>
    <m/>
    <m/>
    <m/>
    <m/>
    <m/>
    <m/>
    <m/>
    <m/>
    <m/>
    <m/>
    <m/>
    <m/>
    <m/>
    <m/>
    <m/>
  </r>
  <r>
    <s v="25575899"/>
    <s v="&quot;PRENATAL Zlín, o.p.s.&quot;"/>
    <s v="141"/>
    <x v="2"/>
    <x v="0"/>
    <s v="Zlín"/>
    <s v="Zlín, Slunečná 4548, PSČ 76005"/>
    <s v="86909"/>
    <s v="Ostatní činnosti související se zdravotní péčí j. n."/>
    <m/>
    <m/>
    <m/>
    <m/>
    <m/>
    <m/>
    <m/>
    <m/>
    <m/>
    <m/>
    <m/>
    <m/>
    <m/>
    <m/>
    <m/>
    <m/>
    <m/>
  </r>
  <r>
    <s v="67024386"/>
    <s v="Prevence Zlín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497431"/>
    <s v="PRIVALAB - spolek privátních diagnostických laboratoří, z.s."/>
    <s v="706"/>
    <x v="1"/>
    <x v="0"/>
    <s v="Zlín"/>
    <s v="Zlín, U Lomu 638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1222295"/>
    <s v="Pro Beskydy, o.s."/>
    <s v="706"/>
    <x v="1"/>
    <x v="1"/>
    <s v="Rožnov pod Radhoštěm"/>
    <s v="Rožnov pod Radhoštěm, Čs. armády 1242, PSČ 75661"/>
    <s v="94995"/>
    <s v="Činnosti environmentálních a ekologických hnutí"/>
    <m/>
    <m/>
    <m/>
    <m/>
    <m/>
    <m/>
    <m/>
    <m/>
    <m/>
    <m/>
    <m/>
    <m/>
    <m/>
    <m/>
    <m/>
    <m/>
    <m/>
  </r>
  <r>
    <s v="02222639"/>
    <s v="Pro Golf, o. s."/>
    <s v="706"/>
    <x v="1"/>
    <x v="0"/>
    <s v="Zlín"/>
    <s v="Zlín, Podlesí IV 5349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30565"/>
    <s v="„Pro Mistřice“"/>
    <s v="706"/>
    <x v="1"/>
    <x v="2"/>
    <s v="Mistřice"/>
    <s v="Mistřice 40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84358"/>
    <s v="PRO RADOST HLUK, spolek"/>
    <s v="706"/>
    <x v="1"/>
    <x v="2"/>
    <s v="Hluk"/>
    <s v="Hluk, Na Přídělech 1271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842053"/>
    <s v="Pro šťastné psí oči, z.s."/>
    <s v="706"/>
    <x v="1"/>
    <x v="2"/>
    <s v="Polešovice"/>
    <s v="Polešovice 792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8181"/>
    <s v="Pro Vás, z.s."/>
    <s v="706"/>
    <x v="1"/>
    <x v="2"/>
    <s v="Buchlovice"/>
    <s v="Buchlovice, Kostelní 68, PSČ 68708"/>
    <s v="94991"/>
    <s v="Činnosti organizací dětí a mládeže"/>
    <m/>
    <m/>
    <m/>
    <m/>
    <m/>
    <m/>
    <m/>
    <m/>
    <m/>
    <m/>
    <m/>
    <m/>
    <m/>
    <m/>
    <m/>
    <m/>
    <m/>
  </r>
  <r>
    <s v="17799759"/>
    <s v="Pro život dětem, z. s."/>
    <s v="706"/>
    <x v="1"/>
    <x v="2"/>
    <s v="Mistřice"/>
    <s v="Mistřice 439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7501"/>
    <s v="PRO-BIO Svaz ekologických zemědělců, regionální centrum Bílé Karpaty"/>
    <s v="736"/>
    <x v="0"/>
    <x v="2"/>
    <s v="Starý Hrozenkov"/>
    <s v="Starý Hrozenkov 11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4828"/>
    <s v="PROCHISPORT o.s."/>
    <s v="706"/>
    <x v="1"/>
    <x v="3"/>
    <s v="Chropyně"/>
    <s v="Chropyně, J. Fučíka 668, PSČ 768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4260921"/>
    <s v="ProDřevo, z.s."/>
    <s v="706"/>
    <x v="1"/>
    <x v="0"/>
    <s v="Lukoveček"/>
    <s v="Lukoveček 183, PSČ 76316"/>
    <s v="94999"/>
    <s v="Činnosti ostatních organizací j. n."/>
    <m/>
    <m/>
    <m/>
    <m/>
    <m/>
    <m/>
    <m/>
    <m/>
    <m/>
    <m/>
    <m/>
    <m/>
    <m/>
    <m/>
    <m/>
    <m/>
    <m/>
  </r>
  <r>
    <s v="47930632"/>
    <s v="Profesní komora autodopravců okresu Kroměříž"/>
    <s v="706"/>
    <x v="1"/>
    <x v="3"/>
    <s v="Kostelec u Holešova"/>
    <s v="Kroměříž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07645856"/>
    <s v="Profesní sdružení přechodných pěstounů z.s."/>
    <s v="706"/>
    <x v="1"/>
    <x v="3"/>
    <s v="Zlobice"/>
    <s v="Zlobice 23, PSČ 768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2773"/>
    <s v="PRO-FI education, o.s."/>
    <s v="706"/>
    <x v="1"/>
    <x v="2"/>
    <s v="Ostrožská Nová Ves"/>
    <s v="Ostrožská Nová Ves, Chylice, Osvobození 164, PSČ 68722"/>
    <s v="94999"/>
    <s v="Činnosti ostatních organizací j. n."/>
    <m/>
    <m/>
    <m/>
    <m/>
    <m/>
    <m/>
    <m/>
    <m/>
    <m/>
    <m/>
    <m/>
    <m/>
    <m/>
    <m/>
    <m/>
    <m/>
    <m/>
  </r>
  <r>
    <s v="14096544"/>
    <s v="Profue První pomoc"/>
    <s v="736"/>
    <x v="0"/>
    <x v="0"/>
    <s v="Halenkovice"/>
    <s v="Halenkovice 547, PSČ 763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3967461"/>
    <s v="PROFUE z.s."/>
    <s v="706"/>
    <x v="1"/>
    <x v="0"/>
    <s v="Halenkovice"/>
    <s v="Halenkovice 547, PSČ 763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71481"/>
    <s v="PROHANDL z.s."/>
    <s v="706"/>
    <x v="1"/>
    <x v="3"/>
    <s v="Morkovice-Slížany"/>
    <s v="Morkovice-Slížany, Morkovice, Nádražní 11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54484"/>
    <s v="PRO-SENIOR o.p.s."/>
    <s v="141"/>
    <x v="2"/>
    <x v="3"/>
    <s v="Kroměříž"/>
    <s v="Kroměříž, Tovačovského 2784/24, PSČ 76701"/>
    <s v="8559"/>
    <s v="Ostatní vzdělávání j. n."/>
    <m/>
    <m/>
    <m/>
    <m/>
    <m/>
    <m/>
    <m/>
    <m/>
    <m/>
    <m/>
    <m/>
    <m/>
    <m/>
    <m/>
    <m/>
    <m/>
    <m/>
  </r>
  <r>
    <s v="22162577"/>
    <s v="ProSPojení, z.s."/>
    <s v="706"/>
    <x v="1"/>
    <x v="2"/>
    <s v="Traplice"/>
    <s v="Traplice 365, PSČ 68704"/>
    <s v="94991"/>
    <s v="Činnosti organizací dětí a mládeže"/>
    <m/>
    <m/>
    <m/>
    <m/>
    <m/>
    <m/>
    <m/>
    <m/>
    <m/>
    <m/>
    <m/>
    <m/>
    <m/>
    <m/>
    <m/>
    <m/>
    <m/>
  </r>
  <r>
    <s v="26641437"/>
    <s v="Prosport trade z.s."/>
    <s v="706"/>
    <x v="1"/>
    <x v="1"/>
    <s v="Vsetín"/>
    <s v="Vsetín, Ohrada 1878, PSČ 75501"/>
    <s v="93110"/>
    <s v="Provozování sportovních zařízení"/>
    <m/>
    <m/>
    <m/>
    <m/>
    <m/>
    <m/>
    <m/>
    <m/>
    <m/>
    <m/>
    <m/>
    <m/>
    <m/>
    <m/>
    <m/>
    <m/>
    <m/>
  </r>
  <r>
    <s v="14176068"/>
    <s v="Prostě Cirkus z.s."/>
    <s v="706"/>
    <x v="1"/>
    <x v="1"/>
    <s v="Branky"/>
    <s v="Branky 185, PSČ 756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3120"/>
    <s v="Prostodol"/>
    <s v="706"/>
    <x v="1"/>
    <x v="1"/>
    <s v="Pržno"/>
    <s v="Pržno 199, PSČ 756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70421"/>
    <s v="Prostor Lazy z. s."/>
    <s v="706"/>
    <x v="1"/>
    <x v="0"/>
    <s v="Zlín"/>
    <s v="Zlín, Lazy II 564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9135"/>
    <s v="Provodov, z.s."/>
    <s v="706"/>
    <x v="1"/>
    <x v="0"/>
    <s v="Provodov"/>
    <s v="Provodov 28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727964"/>
    <s v="Průmyslový areál Rožnov, z.s."/>
    <s v="706"/>
    <x v="1"/>
    <x v="1"/>
    <s v="Rožnov pod Radhoštěm"/>
    <s v="Rožnov pod Radhoštěm, 1. máje 2230, PSČ 75661"/>
    <s v="74"/>
    <s v="Ostatní profesní, vědecké a technické činnosti"/>
    <m/>
    <m/>
    <m/>
    <m/>
    <m/>
    <m/>
    <m/>
    <m/>
    <m/>
    <m/>
    <m/>
    <m/>
    <m/>
    <m/>
    <m/>
    <m/>
    <m/>
  </r>
  <r>
    <s v="22688161"/>
    <s v="První Golfový Klub Československý o.s."/>
    <s v="706"/>
    <x v="1"/>
    <x v="2"/>
    <s v="Uherské Hradiště"/>
    <s v="Uherské Hradiště, Jarošov, Pivovarská 302, PSČ 68601"/>
    <s v="93110"/>
    <s v="Provozování sportovních zařízení"/>
    <m/>
    <m/>
    <m/>
    <m/>
    <m/>
    <m/>
    <m/>
    <m/>
    <m/>
    <m/>
    <m/>
    <m/>
    <m/>
    <m/>
    <m/>
    <m/>
    <m/>
  </r>
  <r>
    <s v="22856188"/>
    <s v="První organizace pro kroměřížskou kulturu, z.s."/>
    <s v="706"/>
    <x v="1"/>
    <x v="3"/>
    <s v="Kostelany"/>
    <s v="Kostelany 161, PSČ 76701"/>
    <s v="900"/>
    <s v="Tvůrčí, umělecké a zábavní činnosti"/>
    <m/>
    <m/>
    <m/>
    <m/>
    <m/>
    <m/>
    <m/>
    <m/>
    <m/>
    <m/>
    <m/>
    <m/>
    <m/>
    <m/>
    <m/>
    <m/>
    <m/>
  </r>
  <r>
    <s v="22898581"/>
    <s v="PŘÁTELÉ A KAMARÁDI z.s."/>
    <s v="706"/>
    <x v="1"/>
    <x v="3"/>
    <s v="Hulín"/>
    <s v="Hulín, Boženy Němcové 983, PSČ 76824"/>
    <s v="56100"/>
    <s v="Stravování v restauracích, u stánků a v mobilních zařízeních"/>
    <s v="Činnosti ostatních organizací sdružujících osoby za účelem prosazování společných zájmů j. n."/>
    <s v="Destilace, rektifikace a míchání lihovin"/>
    <s v="Podpůrné činnosti pro scénická umění"/>
    <s v="Ostatní sportovní činnosti"/>
    <m/>
    <m/>
    <m/>
    <m/>
    <m/>
    <m/>
    <m/>
    <m/>
    <m/>
    <m/>
    <m/>
    <m/>
    <m/>
  </r>
  <r>
    <s v="22673687"/>
    <s v="Přátelé Drahlova, spolek"/>
    <s v="706"/>
    <x v="1"/>
    <x v="3"/>
    <s v="Kroměříž"/>
    <s v="Kroměříž, Drahlov 37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0106"/>
    <s v="Přátelé harmonické výchovy, z. s."/>
    <s v="706"/>
    <x v="1"/>
    <x v="0"/>
    <s v="Otrokovice"/>
    <s v="Otrokovice, J. Jabůrkové 1404, PSČ 765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710833"/>
    <s v="Přátelé houslí, z.s."/>
    <s v="706"/>
    <x v="1"/>
    <x v="0"/>
    <s v="Valašské Klobouky"/>
    <s v="Valašské Klobouky, Cyrilometodějská 885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6987"/>
    <s v="Přátelé koní a přírody"/>
    <s v="706"/>
    <x v="1"/>
    <x v="1"/>
    <s v="Branky"/>
    <s v="Branky 92, PSČ 756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07362"/>
    <s v="Přátelé koní Cimi"/>
    <s v="706"/>
    <x v="1"/>
    <x v="3"/>
    <s v="Hulín"/>
    <s v="Hulín, Sadová 934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003656"/>
    <s v="Přátelé Slovácké Pálenky, z.s."/>
    <s v="706"/>
    <x v="1"/>
    <x v="2"/>
    <s v="Nedakonice"/>
    <s v="Nedakonice 33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351321"/>
    <s v="Přátelé Slovácké Slivovice, z.s."/>
    <s v="706"/>
    <x v="1"/>
    <x v="2"/>
    <s v="Polešovice"/>
    <s v="Polešovice 242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857969"/>
    <s v="Přátelé společenství Cenacolo, z.s."/>
    <s v="706"/>
    <x v="1"/>
    <x v="0"/>
    <s v="Zlín"/>
    <s v="Zlín, Podvesná VII 309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6548"/>
    <s v="Přátelé školy vidění- malířská škola, z.s."/>
    <s v="706"/>
    <x v="1"/>
    <x v="2"/>
    <s v="Strání"/>
    <s v="Strání, Květná, Ořechová 561, PSČ 6876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3342"/>
    <s v="&quot;Přátelé tance, o.s.&quot;"/>
    <s v="706"/>
    <x v="1"/>
    <x v="3"/>
    <s v="Kroměříž"/>
    <s v="Kroměříž, Máchova 2476, Marek Dvorník"/>
    <s v="900"/>
    <s v="Tvůrčí, umělecké a zábavní činnosti"/>
    <m/>
    <m/>
    <m/>
    <m/>
    <m/>
    <m/>
    <m/>
    <m/>
    <m/>
    <m/>
    <m/>
    <m/>
    <m/>
    <m/>
    <m/>
    <m/>
    <m/>
  </r>
  <r>
    <s v="22608672"/>
    <s v="Přátelé tenisu Sušice"/>
    <s v="706"/>
    <x v="1"/>
    <x v="2"/>
    <s v="Sušice"/>
    <s v="Sušice 54, PSČ 68704"/>
    <s v="93120"/>
    <s v="Činnosti sportovních klubů"/>
    <m/>
    <m/>
    <m/>
    <m/>
    <m/>
    <m/>
    <m/>
    <m/>
    <m/>
    <m/>
    <m/>
    <m/>
    <m/>
    <m/>
    <m/>
    <m/>
    <m/>
  </r>
  <r>
    <s v="26569485"/>
    <s v="&quot;Přátelé vína Jalubí o.s.&quot;"/>
    <s v="706"/>
    <x v="1"/>
    <x v="2"/>
    <s v="Jalubí"/>
    <s v="Jalubí 442, PSČ 68705"/>
    <s v="94995"/>
    <s v="Činnosti environmentálních a ekologických hnutí"/>
    <m/>
    <m/>
    <m/>
    <m/>
    <m/>
    <m/>
    <m/>
    <m/>
    <m/>
    <m/>
    <m/>
    <m/>
    <m/>
    <m/>
    <m/>
    <m/>
    <m/>
  </r>
  <r>
    <s v="65792149"/>
    <s v="Přátelé z lásky, z.s."/>
    <s v="706"/>
    <x v="1"/>
    <x v="0"/>
    <s v="Slavičín"/>
    <s v="Slavičín, Osvobození 255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440511"/>
    <s v="Přátelé základní školy Ořechov, z. s."/>
    <s v="706"/>
    <x v="1"/>
    <x v="2"/>
    <s v="Ořechov"/>
    <s v="Ořechov 105, PSČ 68737"/>
    <s v="94991"/>
    <s v="Činnosti organizací dětí a mládeže"/>
    <m/>
    <m/>
    <m/>
    <m/>
    <m/>
    <m/>
    <m/>
    <m/>
    <m/>
    <m/>
    <m/>
    <m/>
    <m/>
    <m/>
    <m/>
    <m/>
    <m/>
  </r>
  <r>
    <s v="22739394"/>
    <s v="Přátelé zpětné vazby z. s."/>
    <s v="706"/>
    <x v="1"/>
    <x v="2"/>
    <s v="Uherské Hradiště"/>
    <s v="Uherské Hradiště, Míkovice, Na Příkopě 127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662572"/>
    <s v="Přátelé ZŠ Jana Bezděka, z. s."/>
    <s v="706"/>
    <x v="1"/>
    <x v="3"/>
    <s v="Martinice"/>
    <s v="Martinice 1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468"/>
    <s v="Přehradní"/>
    <s v="706"/>
    <x v="1"/>
    <x v="0"/>
    <s v="Fryšták"/>
    <s v="Fryšták, Přehradní 414, PSČ 76316"/>
    <s v="94995"/>
    <s v="Činnosti environmentálních a ekologických hnutí"/>
    <m/>
    <m/>
    <m/>
    <m/>
    <m/>
    <m/>
    <m/>
    <m/>
    <m/>
    <m/>
    <m/>
    <m/>
    <m/>
    <m/>
    <m/>
    <m/>
    <m/>
  </r>
  <r>
    <s v="07080514"/>
    <s v="Překonání Gravitace z.s."/>
    <s v="706"/>
    <x v="1"/>
    <x v="3"/>
    <s v="Kroměříž"/>
    <s v="Kroměříž, Těšnovice 49, PSČ 76701"/>
    <s v="93190"/>
    <s v="Ostatní sportovní činnosti"/>
    <m/>
    <m/>
    <m/>
    <m/>
    <m/>
    <m/>
    <m/>
    <m/>
    <m/>
    <m/>
    <m/>
    <m/>
    <m/>
    <m/>
    <m/>
    <m/>
    <m/>
  </r>
  <r>
    <s v="27030890"/>
    <s v="Přílepský kulturní spolek, z.s."/>
    <s v="706"/>
    <x v="1"/>
    <x v="3"/>
    <s v="Přílepy"/>
    <s v="Přílepy 152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3407"/>
    <s v="„PŘIROZENÍ”"/>
    <s v="706"/>
    <x v="1"/>
    <x v="3"/>
    <s v="Kroměříž"/>
    <s v="Kroměříž, Gorkého 1106/21, PSČ 76701"/>
    <s v="94995"/>
    <s v="Činnosti environmentálních a ekologických hnutí"/>
    <m/>
    <m/>
    <m/>
    <m/>
    <m/>
    <m/>
    <m/>
    <m/>
    <m/>
    <m/>
    <m/>
    <m/>
    <m/>
    <m/>
    <m/>
    <m/>
    <m/>
  </r>
  <r>
    <s v="17280001"/>
    <s v="PŘÍSTAV PLNÝ AKTIVIT, z. s."/>
    <s v="706"/>
    <x v="1"/>
    <x v="2"/>
    <s v="Strání"/>
    <s v="Strání, Rubanice 877, PSČ 6876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96512"/>
    <s v="Přístav ProCulture"/>
    <s v="706"/>
    <x v="1"/>
    <x v="1"/>
    <s v="Valašské Meziříčí"/>
    <s v="Valašské Meziříčí, Krásno nad Bečvou, Vrbenská 62/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314396"/>
    <s v="Přístav 316 z.s."/>
    <s v="706"/>
    <x v="1"/>
    <x v="1"/>
    <s v="Vsetín"/>
    <s v="Vsetín, Zahradní 1186, PSČ 75501"/>
    <s v="94910"/>
    <s v="Činnosti náboženských organizací"/>
    <m/>
    <m/>
    <m/>
    <m/>
    <m/>
    <m/>
    <m/>
    <m/>
    <m/>
    <m/>
    <m/>
    <m/>
    <m/>
    <m/>
    <m/>
    <m/>
    <m/>
  </r>
  <r>
    <s v="05870411"/>
    <s v="Psí domov u Lišky z.s."/>
    <s v="706"/>
    <x v="1"/>
    <x v="3"/>
    <s v="Střílky"/>
    <s v="Střílky, Hradská 38, PSČ 768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45757"/>
    <s v="Psí pohlazení z.s."/>
    <s v="706"/>
    <x v="1"/>
    <x v="0"/>
    <s v="Napajedla"/>
    <s v="Napajedla, Zámoraví 372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40681"/>
    <s v="Psí sporty Skaštice, z.s."/>
    <s v="706"/>
    <x v="1"/>
    <x v="3"/>
    <s v="Hulín"/>
    <s v="Hulín, Družba II 1272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102374"/>
    <s v="Psí sporty Valašsko, z. s."/>
    <s v="706"/>
    <x v="1"/>
    <x v="0"/>
    <s v="Brumov-Bylnice"/>
    <s v="Brumov-Bylnice, Brumov, Hrbáč 1135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0730"/>
    <s v="Psí školka Kroměříž"/>
    <s v="706"/>
    <x v="1"/>
    <x v="3"/>
    <s v="Kroměříž"/>
    <s v="Kroměříž, Chropyňská 2848/26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325575"/>
    <s v="PTERODACTYL´S AVIATORS - občanské sdružení letecké amatérské asociace ČR Uherský Brod"/>
    <s v="706"/>
    <x v="1"/>
    <x v="2"/>
    <s v="Uherský Brod"/>
    <s v="Uherský Brod, Neradice 753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2400"/>
    <s v="Pterodaktyl"/>
    <s v="706"/>
    <x v="1"/>
    <x v="2"/>
    <s v="Uherské Hradiště"/>
    <s v="Uherské Hradiště, Míkovice, Podboří 238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76129"/>
    <s v="Půjčovna lodí St.Město z.s."/>
    <s v="706"/>
    <x v="1"/>
    <x v="2"/>
    <s v="Staré Město"/>
    <s v="Staré Město, Michalská 1752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686784"/>
    <s v="Q prostor Zlín z. s."/>
    <s v="706"/>
    <x v="1"/>
    <x v="2"/>
    <s v="Kunovice"/>
    <s v="Kunovice, V Humnech 1582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0342"/>
    <s v="Quietus-Day Lanpárty"/>
    <s v="706"/>
    <x v="1"/>
    <x v="2"/>
    <s v="Uherské Hradiště"/>
    <s v="Uherské Hradiště, Míkovice, Hlavní 258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20867"/>
    <s v="RACING HUB, z. s."/>
    <s v="706"/>
    <x v="1"/>
    <x v="0"/>
    <s v="Hvozdná"/>
    <s v="Hvozdná, Strmá 106, PSČ 76310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03200"/>
    <s v="Racing MouldPro Klub v AČR"/>
    <s v="736"/>
    <x v="0"/>
    <x v="0"/>
    <s v="Zlín"/>
    <s v="Zlín, Prštné, B. Němcové 48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8238"/>
    <s v="Rackleton klub Vsetín, o.s."/>
    <s v="706"/>
    <x v="1"/>
    <x v="1"/>
    <s v="Vsetín"/>
    <s v="Vsetín, Na Příkopě 797, PSČ 75501"/>
    <s v="93120"/>
    <s v="Činnosti sportovních klubů"/>
    <m/>
    <m/>
    <m/>
    <m/>
    <m/>
    <m/>
    <m/>
    <m/>
    <m/>
    <m/>
    <m/>
    <m/>
    <m/>
    <m/>
    <m/>
    <m/>
    <m/>
  </r>
  <r>
    <s v="63414741"/>
    <s v="Rada rodičů při AGKM, z.s."/>
    <s v="706"/>
    <x v="1"/>
    <x v="3"/>
    <s v="Kroměříž"/>
    <s v="Kroměříž, Pilařova 3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10908"/>
    <s v="Rada rodičů při ZŠ Slovenská 3076, Zlín, zapsaný spolek"/>
    <s v="706"/>
    <x v="1"/>
    <x v="0"/>
    <s v="Zlín"/>
    <s v="Zlín, Slovenská 3076, PSČ 76001"/>
    <s v="94999"/>
    <s v="Činnosti ostatních organizací j. n."/>
    <m/>
    <m/>
    <m/>
    <m/>
    <m/>
    <m/>
    <m/>
    <m/>
    <m/>
    <m/>
    <m/>
    <m/>
    <m/>
    <m/>
    <m/>
    <m/>
    <m/>
  </r>
  <r>
    <s v="26984474"/>
    <s v="Rada rodičů ZŠ a MŠ Poličná, z.s."/>
    <s v="706"/>
    <x v="1"/>
    <x v="1"/>
    <s v="Poličná"/>
    <s v="č.p. 276, 757 01 Poličn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2522"/>
    <s v="Rada školy při SPŠ chemické a gymnáziu Zlín"/>
    <s v="706"/>
    <x v="1"/>
    <x v="0"/>
    <s v="Zlín"/>
    <s v="Zlín, nám. T. G. Masaryka 2734, PSČ 76001"/>
    <s v="94999"/>
    <s v="Činnosti ostatních organizací j. n."/>
    <m/>
    <m/>
    <m/>
    <m/>
    <m/>
    <m/>
    <m/>
    <m/>
    <m/>
    <m/>
    <m/>
    <m/>
    <m/>
    <m/>
    <m/>
    <m/>
    <m/>
  </r>
  <r>
    <s v="21696667"/>
    <s v="Radioamatérský a střelecký klub Liptál z.s."/>
    <s v="706"/>
    <x v="1"/>
    <x v="1"/>
    <s v="Liptál"/>
    <s v="Liptál 81, PSČ 75631"/>
    <s v="93190"/>
    <s v="Ostatní sportovní činnosti"/>
    <m/>
    <m/>
    <m/>
    <m/>
    <m/>
    <m/>
    <m/>
    <m/>
    <m/>
    <m/>
    <m/>
    <m/>
    <m/>
    <m/>
    <m/>
    <m/>
    <m/>
  </r>
  <r>
    <s v="46956867"/>
    <s v="Radioklub Kunovice, z.s."/>
    <s v="706"/>
    <x v="1"/>
    <x v="2"/>
    <s v="Kunovice"/>
    <s v="Kunovice, Panská 9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9123"/>
    <s v="Radioklub Moravia Garant"/>
    <s v="706"/>
    <x v="1"/>
    <x v="1"/>
    <s v="Vsetín"/>
    <s v="Vsetín, Rokytnice, Pod Žamboškou 103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5211302"/>
    <s v="Radioklub OK2KJT Vsetín, z.s."/>
    <s v="706"/>
    <x v="1"/>
    <x v="1"/>
    <s v="Vsetín"/>
    <s v="Vsetín, MUDr. Františka Sovy 62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62255"/>
    <s v="Radioklub OK2KOG v Zubří, z.s."/>
    <s v="706"/>
    <x v="1"/>
    <x v="1"/>
    <s v="Zubří"/>
    <s v="Zubří, Nad Fojstvím 1204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2671"/>
    <s v="Radioklub Otrokovice OK2KGE, z. s."/>
    <s v="706"/>
    <x v="1"/>
    <x v="0"/>
    <s v="Otrokovice"/>
    <s v="Otrokovice, Nádražní 161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598591"/>
    <s v="Radioklub Zlín"/>
    <s v="706"/>
    <x v="1"/>
    <x v="0"/>
    <s v="Zlín"/>
    <s v="Zlín, Kudlov, Švambovce 47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9659"/>
    <s v="RADIOODÍL CBA o.s."/>
    <s v="736"/>
    <x v="0"/>
    <x v="2"/>
    <s v="Bojkovice"/>
    <s v="Bojkovice, Krhov 14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4433"/>
    <s v="RADOST 2011, o.s. (Rackovský Dobrovolný Ochotnický Spolek Tradic - 2011)"/>
    <s v="706"/>
    <x v="1"/>
    <x v="0"/>
    <s v="Racková"/>
    <s v="Racková 22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2855"/>
    <s v="&quot;RAJNOCHOVSKÉ KULTURNÍ LÉTO&quot;"/>
    <s v="706"/>
    <x v="1"/>
    <x v="3"/>
    <s v="Rajnochovice"/>
    <s v="Rajnochovice 249, PSČ 768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9115"/>
    <s v="Rally klub Paseky z.s."/>
    <s v="706"/>
    <x v="1"/>
    <x v="0"/>
    <s v="Želechovice nad Dřevnicí"/>
    <s v="Želechovice nad Dřevnicí, Paseky 522, PSČ 763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35491"/>
    <s v="&quot;Rally Klub Traplice o.s.&quot;"/>
    <s v="706"/>
    <x v="1"/>
    <x v="2"/>
    <s v="Traplice"/>
    <s v="Traplice 428, PSČ 687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42359"/>
    <s v="Rally team Luhačovice klub v AČR"/>
    <s v="736"/>
    <x v="0"/>
    <x v="0"/>
    <s v="Luhačovice"/>
    <s v="Luhačovice, Družstevní 86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6748"/>
    <s v="RALLYE AUTO KLUB V AČR"/>
    <s v="736"/>
    <x v="0"/>
    <x v="0"/>
    <s v="Zlín"/>
    <s v="Zlín, Hornomlýnská 3715/7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9157451"/>
    <s v="RALLYE TEAM ZLÍN"/>
    <s v="736"/>
    <x v="0"/>
    <x v="0"/>
    <s v="Zlín"/>
    <s v="Zlín, Díly I 4041, PSČ 76001"/>
    <s v="931"/>
    <s v="Sportovní činnosti"/>
    <m/>
    <m/>
    <m/>
    <m/>
    <m/>
    <m/>
    <m/>
    <m/>
    <m/>
    <m/>
    <m/>
    <m/>
    <m/>
    <m/>
    <m/>
    <m/>
    <m/>
  </r>
  <r>
    <s v="72075406"/>
    <s v="RALLYFAN.CZ KLUB v AČR"/>
    <s v="736"/>
    <x v="0"/>
    <x v="0"/>
    <s v="Podkopná Lhota"/>
    <s v="Podkopná Lhota 113, PSČ 7631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7377650"/>
    <s v="Rallyklub východní Morava v AČR"/>
    <s v="736"/>
    <x v="0"/>
    <x v="0"/>
    <s v="Otrokovice"/>
    <s v="Otrokovice, Napajedelská 1552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40557"/>
    <s v="RALLYSPRINT KLUB v AČR"/>
    <s v="736"/>
    <x v="0"/>
    <x v="0"/>
    <s v="Podkopná Lhota"/>
    <s v="Podkopná Lhota 136, PSČ 7631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48218"/>
    <s v="Ranch Lucky Valley"/>
    <s v="736"/>
    <x v="0"/>
    <x v="0"/>
    <s v="Zádveřice-Raková"/>
    <s v="Zádveřice-Raková, 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3296"/>
    <s v="Ranch Lucky Valley, z.s."/>
    <s v="706"/>
    <x v="1"/>
    <x v="0"/>
    <s v="Zádveřice-Raková"/>
    <s v="Zádveřice-Raková, Zádveřice 8, PSČ 76312"/>
    <s v="93110"/>
    <s v="Provozování sportovních zařízení"/>
    <m/>
    <m/>
    <m/>
    <m/>
    <m/>
    <m/>
    <m/>
    <m/>
    <m/>
    <m/>
    <m/>
    <m/>
    <m/>
    <m/>
    <m/>
    <m/>
    <m/>
  </r>
  <r>
    <s v="06989764"/>
    <s v="Ranč u Hromnice, z. s."/>
    <s v="706"/>
    <x v="1"/>
    <x v="1"/>
    <s v="Police"/>
    <s v="Police 167, PSČ 7564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16291"/>
    <s v="Ranč u Tuffa z.s."/>
    <s v="706"/>
    <x v="1"/>
    <x v="3"/>
    <s v="Holešov"/>
    <s v="Holešov, Dobrotice 150, PSČ 76901"/>
    <s v="93120"/>
    <s v="Činnosti sportovních klubů"/>
    <m/>
    <m/>
    <m/>
    <m/>
    <m/>
    <m/>
    <m/>
    <m/>
    <m/>
    <m/>
    <m/>
    <m/>
    <m/>
    <m/>
    <m/>
    <m/>
    <m/>
  </r>
  <r>
    <s v="19115881"/>
    <s v="RANDOM DATA ACCESS z.s."/>
    <s v="706"/>
    <x v="1"/>
    <x v="2"/>
    <s v="Suchá Loz"/>
    <s v="Suchá Loz 421, PSČ 687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697019"/>
    <s v="Rare Places, z. s."/>
    <s v="706"/>
    <x v="1"/>
    <x v="0"/>
    <s v="Valašské Příkazy"/>
    <s v="Valašské Příkazy 52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40125"/>
    <s v="RAVA speed racing, z.s."/>
    <s v="706"/>
    <x v="1"/>
    <x v="0"/>
    <s v="Vizovice"/>
    <s v="Vizovice, 3. května 1274, PSČ 76312"/>
    <s v="94993"/>
    <s v="Činnosti organizací na podporu rekreační a zájmové činnosti"/>
    <s v="Činnosti reklamních agentur"/>
    <m/>
    <m/>
    <m/>
    <m/>
    <m/>
    <m/>
    <m/>
    <m/>
    <m/>
    <m/>
    <m/>
    <m/>
    <m/>
    <m/>
    <m/>
    <m/>
  </r>
  <r>
    <s v="61715921"/>
    <s v="RAVOS MOTOR SPORT Zlín - Prštné"/>
    <s v="736"/>
    <x v="0"/>
    <x v="0"/>
    <s v="Zlín"/>
    <s v="Zlín, Vodní 105, PSČ 76001"/>
    <s v="931"/>
    <s v="Sportovní činnosti"/>
    <m/>
    <m/>
    <m/>
    <m/>
    <m/>
    <m/>
    <m/>
    <m/>
    <m/>
    <m/>
    <m/>
    <m/>
    <m/>
    <m/>
    <m/>
    <m/>
    <m/>
  </r>
  <r>
    <s v="09526030"/>
    <s v="RB:BOYS, z.s."/>
    <s v="706"/>
    <x v="1"/>
    <x v="2"/>
    <s v="Uherské Hradiště"/>
    <s v="Uherské Hradiště, Sady, Větrná 434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8785"/>
    <s v="RC auta Vizovice, z.s."/>
    <s v="706"/>
    <x v="1"/>
    <x v="0"/>
    <s v="Vizovice"/>
    <s v="Vizovice, Říčanská 731, PSČ 76312"/>
    <s v="93110"/>
    <s v="Provozování sportovních zařízení"/>
    <m/>
    <m/>
    <m/>
    <m/>
    <m/>
    <m/>
    <m/>
    <m/>
    <m/>
    <m/>
    <m/>
    <m/>
    <m/>
    <m/>
    <m/>
    <m/>
    <m/>
  </r>
  <r>
    <s v="09029257"/>
    <s v="RC Cvrček z. s."/>
    <s v="706"/>
    <x v="1"/>
    <x v="2"/>
    <s v="Vyškovec"/>
    <s v="Vyškovec 1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7821"/>
    <s v="RC MODEL Boršice"/>
    <s v="706"/>
    <x v="1"/>
    <x v="2"/>
    <s v="Boršice"/>
    <s v="Boršice 395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80248"/>
    <s v="RC OFFROAD TEAM FRYŠTÁK, z.s."/>
    <s v="706"/>
    <x v="1"/>
    <x v="0"/>
    <s v="Fryšták"/>
    <s v="Fryšták, Horní Ves, Ke Skalce 295, PSČ 7631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02407"/>
    <s v="RC RALLYE KLUB SLAVIČÍN"/>
    <s v="706"/>
    <x v="1"/>
    <x v="0"/>
    <s v="Slavičín"/>
    <s v="Slavičín, Družstevní 664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3460"/>
    <s v="Realitní Asociace RAA"/>
    <s v="706"/>
    <x v="1"/>
    <x v="2"/>
    <s v="Uherské Hradiště"/>
    <s v="Uherské Hradiště, Nádražní 3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681758"/>
    <s v="Rebellius, z.s."/>
    <s v="706"/>
    <x v="1"/>
    <x v="1"/>
    <s v="Vsetín"/>
    <s v="Vsetín, Smetanova 1365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7842"/>
    <s v="REDNECKS BOWL z.s."/>
    <s v="706"/>
    <x v="1"/>
    <x v="0"/>
    <s v="Zlín"/>
    <s v="Zlín, nám. T. G. Masaryka 1281, PSČ 76001"/>
    <s v="93110"/>
    <s v="Provozování sportovních zařízení"/>
    <m/>
    <m/>
    <m/>
    <m/>
    <m/>
    <m/>
    <m/>
    <m/>
    <m/>
    <m/>
    <m/>
    <m/>
    <m/>
    <m/>
    <m/>
    <m/>
    <m/>
  </r>
  <r>
    <s v="04875184"/>
    <s v="REDNECKS GYM z.s."/>
    <s v="706"/>
    <x v="1"/>
    <x v="3"/>
    <s v="Holešov"/>
    <s v="Holešov, Masarykova 65/3, PSČ 76901"/>
    <s v="93190"/>
    <s v="Ostatní sportovní činnosti"/>
    <m/>
    <m/>
    <m/>
    <m/>
    <m/>
    <m/>
    <m/>
    <m/>
    <m/>
    <m/>
    <m/>
    <m/>
    <m/>
    <m/>
    <m/>
    <m/>
    <m/>
  </r>
  <r>
    <s v="26646498"/>
    <s v="Reduvia, občanské sdružení"/>
    <s v="706"/>
    <x v="1"/>
    <x v="1"/>
    <s v="Rožnov pod Radhoštěm"/>
    <s v="Láz 2282, Rožnov pod Radhoštěm"/>
    <s v="94991"/>
    <s v="Činnosti organizací dětí a mládeže"/>
    <m/>
    <m/>
    <m/>
    <m/>
    <m/>
    <m/>
    <m/>
    <m/>
    <m/>
    <m/>
    <m/>
    <m/>
    <m/>
    <m/>
    <m/>
    <m/>
    <m/>
  </r>
  <r>
    <s v="27015815"/>
    <s v="Region Radhošť"/>
    <s v="706"/>
    <x v="1"/>
    <x v="1"/>
    <s v="Rožnov pod Radhoštěm"/>
    <s v="Rožnov pod Radhoštěm - Tylovice 1805, PSČ 756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270064"/>
    <s v="REGION 2000 plus, obecně prospěšná společnost"/>
    <s v="141"/>
    <x v="2"/>
    <x v="0"/>
    <s v="Luhačovice"/>
    <s v="Luhačovice, Masarykova 175, PSČ 76326"/>
    <s v="702"/>
    <s v="Poradenství v oblasti řízení"/>
    <s v="Ostatní vzdělávání j. n."/>
    <m/>
    <m/>
    <m/>
    <m/>
    <m/>
    <m/>
    <m/>
    <m/>
    <m/>
    <m/>
    <m/>
    <m/>
    <m/>
    <m/>
    <m/>
    <m/>
  </r>
  <r>
    <s v="26559005"/>
    <s v="Regionální cech Společenstva kominíků ČR Zlínského kraje"/>
    <s v="706"/>
    <x v="1"/>
    <x v="2"/>
    <s v="Uherské Hradiště"/>
    <s v="Uherské Hradiště, Mařatice, 28. října 1381, PSČ 68601"/>
    <s v="94120"/>
    <s v="Činnosti profesních organizací"/>
    <m/>
    <m/>
    <m/>
    <m/>
    <m/>
    <m/>
    <m/>
    <m/>
    <m/>
    <m/>
    <m/>
    <m/>
    <m/>
    <m/>
    <m/>
    <m/>
    <m/>
  </r>
  <r>
    <s v="17541671"/>
    <s v="Regionální centrum řemesel, z. s."/>
    <s v="706"/>
    <x v="1"/>
    <x v="2"/>
    <s v="Uherské Hradiště"/>
    <s v="Uherské Hradiště, Jarošov, Pivovarská 27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262381"/>
    <s v="Regionální filmový fond z. s."/>
    <s v="706"/>
    <x v="1"/>
    <x v="0"/>
    <s v="Zlín"/>
    <s v="Zlín, Kudlov, Filmová 17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787"/>
    <s v="Regionální pěvecké centrum Vsetín, z. s."/>
    <s v="706"/>
    <x v="1"/>
    <x v="1"/>
    <s v="Vsetín"/>
    <s v="Vsetín, Tyršova 106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06765"/>
    <s v="Regionální rozvojová agentura Bílé Karpaty - Moravské Kopanice o.p.s."/>
    <s v="141"/>
    <x v="2"/>
    <x v="2"/>
    <s v="Starý Hrozenkov"/>
    <s v="Starý Hrozenkov, Žítková 51, okres Uherské Hradiště, PSČ 687 74"/>
    <s v="74"/>
    <s v="Ostatní profesní, vědecké a technické činnosti"/>
    <s v="Poradenství v oblasti řízení"/>
    <s v="Překladatelské a tlumočnické činnosti"/>
    <m/>
    <m/>
    <m/>
    <m/>
    <m/>
    <m/>
    <m/>
    <m/>
    <m/>
    <m/>
    <m/>
    <m/>
    <m/>
    <m/>
    <m/>
  </r>
  <r>
    <s v="26927985"/>
    <s v="Regionální rozvojová agentura Bílé Karpaty, o.p.s."/>
    <s v="141"/>
    <x v="2"/>
    <x v="2"/>
    <s v="Bojkovice"/>
    <s v="Bojkovice, Sušilova 952, PSČ 68771"/>
    <s v="74300"/>
    <s v="Překladatelské a tlumočnické činnosti"/>
    <s v="Poradenství v oblasti řízení"/>
    <m/>
    <m/>
    <m/>
    <m/>
    <m/>
    <m/>
    <m/>
    <m/>
    <m/>
    <m/>
    <m/>
    <m/>
    <m/>
    <m/>
    <m/>
    <m/>
  </r>
  <r>
    <s v="08758123"/>
    <s v="Regionální vzdělávací institut, z.s."/>
    <s v="706"/>
    <x v="1"/>
    <x v="2"/>
    <s v="Uherské Hradiště"/>
    <s v="Uherské Hradiště, Mařatice, Sadová 987, PSČ 68605"/>
    <s v="855"/>
    <s v="Ostatní vzdělávání"/>
    <s v="Činnosti ostatních organizací sdružujících osoby za účelem prosazování společných zájmů j. n."/>
    <s v="Univerzální administrativní činnosti"/>
    <m/>
    <m/>
    <m/>
    <m/>
    <m/>
    <m/>
    <m/>
    <m/>
    <m/>
    <m/>
    <m/>
    <m/>
    <m/>
    <m/>
    <m/>
  </r>
  <r>
    <s v="69744327"/>
    <s v="Regionsport"/>
    <s v="706"/>
    <x v="1"/>
    <x v="0"/>
    <s v="Zlín"/>
    <s v="Zlín, třída Tomáše Bati 329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657231"/>
    <s v="Regioprotokol - vzdělávací institut, z.s."/>
    <s v="706"/>
    <x v="1"/>
    <x v="0"/>
    <s v="Zlín"/>
    <s v="Zlín, Bartošova 434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85605"/>
    <s v="R-Ego, z.s."/>
    <s v="706"/>
    <x v="1"/>
    <x v="0"/>
    <s v="Slavičín"/>
    <s v="Slavičín, náměstí Mezi Šenky 19, PSČ 76321"/>
    <s v="94991"/>
    <s v="Činnosti organizací dětí a mládeže"/>
    <m/>
    <m/>
    <m/>
    <m/>
    <m/>
    <m/>
    <m/>
    <m/>
    <m/>
    <m/>
    <m/>
    <m/>
    <m/>
    <m/>
    <m/>
    <m/>
    <m/>
  </r>
  <r>
    <s v="70881901"/>
    <s v="Reiningová asociace České republiky"/>
    <s v="706"/>
    <x v="1"/>
    <x v="3"/>
    <s v="Kroměříž"/>
    <s v="Kroměříž, Vejvanovského 384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140"/>
    <s v="Rekreační sporty Kroměříž z.s."/>
    <s v="706"/>
    <x v="1"/>
    <x v="3"/>
    <s v="Kroměříž"/>
    <s v="Kroměříž, Vrchlického 2899/31, PSČ 76701"/>
    <s v="93110"/>
    <s v="Provozování sportovních zařízení"/>
    <m/>
    <m/>
    <m/>
    <m/>
    <m/>
    <m/>
    <m/>
    <m/>
    <m/>
    <m/>
    <m/>
    <m/>
    <m/>
    <m/>
    <m/>
    <m/>
    <m/>
  </r>
  <r>
    <s v="27025721"/>
    <s v="Relax Club Uherské Hradiště"/>
    <s v="706"/>
    <x v="1"/>
    <x v="2"/>
    <s v="Uherské Hradiště"/>
    <s v="Uherské Hradiště, Jarošov, Drahy 406, PSČ 68601"/>
    <s v="93110"/>
    <s v="Provozování sportovních zařízení"/>
    <m/>
    <m/>
    <m/>
    <m/>
    <m/>
    <m/>
    <m/>
    <m/>
    <m/>
    <m/>
    <m/>
    <m/>
    <m/>
    <m/>
    <m/>
    <m/>
    <m/>
  </r>
  <r>
    <s v="26600692"/>
    <s v="Remazury"/>
    <s v="706"/>
    <x v="1"/>
    <x v="0"/>
    <s v="Zlín"/>
    <s v="Zlín, Santražiny 162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343547"/>
    <s v="Remizujeme, z. s."/>
    <s v="706"/>
    <x v="1"/>
    <x v="2"/>
    <s v="Uherské Hradiště"/>
    <s v="Uherské Hradiště, Jarošov, Za Humny 21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48710"/>
    <s v="”REPELENT21”"/>
    <s v="706"/>
    <x v="1"/>
    <x v="0"/>
    <s v="Napajedla"/>
    <s v="Napajedla, Kvítkovická 1528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819874"/>
    <s v="Rescue SAR Morava, z. s."/>
    <s v="706"/>
    <x v="1"/>
    <x v="0"/>
    <s v="Neubuz"/>
    <s v="Neubuz 80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6612"/>
    <s v="Rescue team Hostýnské vrchy z.s."/>
    <s v="706"/>
    <x v="1"/>
    <x v="3"/>
    <s v="Bystřice pod Hostýnem"/>
    <s v="Bystřice pod Hostýnem, A. Kašpara 1476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1871"/>
    <s v="Restart enduro team o.s."/>
    <s v="706"/>
    <x v="1"/>
    <x v="1"/>
    <s v="Rožnov pod Radhoštěm"/>
    <s v="Rožnov pod Radhoštěm, Lipová 411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9203080"/>
    <s v="ReŠaNa z. s."/>
    <s v="706"/>
    <x v="1"/>
    <x v="3"/>
    <s v="Kroměříž"/>
    <s v="Kroměříž, Raisova 2212/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72716"/>
    <s v="Retro Expres, z.s."/>
    <s v="706"/>
    <x v="1"/>
    <x v="2"/>
    <s v="Uherské Hradiště"/>
    <s v="Uherské Hradiště, Sady, Tř. Maršála Malinovského 88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5734"/>
    <s v="Ride2sCool, z.s."/>
    <s v="706"/>
    <x v="1"/>
    <x v="3"/>
    <s v="Záříčí"/>
    <s v="Záříčí 168, PSČ 76811"/>
    <s v="94999"/>
    <s v="Činnosti ostatních organizací j. n."/>
    <m/>
    <m/>
    <m/>
    <m/>
    <m/>
    <m/>
    <m/>
    <m/>
    <m/>
    <m/>
    <m/>
    <m/>
    <m/>
    <m/>
    <m/>
    <m/>
    <m/>
  </r>
  <r>
    <s v="08186898"/>
    <s v="Robert a Petr šachy, z. s."/>
    <s v="706"/>
    <x v="1"/>
    <x v="0"/>
    <s v="Zlín"/>
    <s v="Zlín, náměstí Práce 251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22131"/>
    <s v="Robinsonky, z.s."/>
    <s v="706"/>
    <x v="1"/>
    <x v="0"/>
    <s v="Zlín"/>
    <s v="Zlín, Středová 4786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7530"/>
    <s v="Rock group Neutral, z.s."/>
    <s v="706"/>
    <x v="1"/>
    <x v="2"/>
    <s v="Topolná"/>
    <s v="Topolná 204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882980"/>
    <s v="RODESO, z. ú."/>
    <s v="161"/>
    <x v="3"/>
    <x v="3"/>
    <s v="Bystřice pod Hostýnem"/>
    <s v="Bystřice pod Hostýnem, Havlíčkova 102, PSČ 76861"/>
    <s v="94994"/>
    <s v="Činnosti spotřebitelských organizací"/>
    <m/>
    <m/>
    <m/>
    <m/>
    <m/>
    <m/>
    <m/>
    <m/>
    <m/>
    <m/>
    <m/>
    <m/>
    <m/>
    <m/>
    <m/>
    <m/>
    <m/>
  </r>
  <r>
    <s v="60382872"/>
    <s v="Rodičovská Akademie při Základní škole Morkovice, z.s."/>
    <s v="706"/>
    <x v="1"/>
    <x v="3"/>
    <s v="Morkovice-Slížany"/>
    <s v="Morkovice-Slížany, Morkovice, 17. listopadu 416, PSČ 76833"/>
    <s v="94999"/>
    <s v="Činnosti ostatních organizací j. n."/>
    <m/>
    <m/>
    <m/>
    <m/>
    <m/>
    <m/>
    <m/>
    <m/>
    <m/>
    <m/>
    <m/>
    <m/>
    <m/>
    <m/>
    <m/>
    <m/>
    <m/>
  </r>
  <r>
    <s v="26643367"/>
    <s v="Rodičovské sdružení při ZŠ v Hluku, z.s."/>
    <s v="706"/>
    <x v="1"/>
    <x v="2"/>
    <s v="Hluk"/>
    <s v="Hluk, nám. Komenského 950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740476"/>
    <s v="Rodičovské sdružení při ZŠ Vsetín, Trávníky, z.s."/>
    <s v="706"/>
    <x v="1"/>
    <x v="1"/>
    <s v="Vsetín"/>
    <s v="Vsetín, Matouše Václavka 1217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50861"/>
    <s v="Rodičovské sdružení při ZŠ Vsetín-Ohrada"/>
    <s v="706"/>
    <x v="1"/>
    <x v="1"/>
    <s v="Vsetín"/>
    <s v="Vsetín-Ohrada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469623"/>
    <s v="Rodina sv. Zdislavy, z. s."/>
    <s v="706"/>
    <x v="1"/>
    <x v="1"/>
    <s v="Hutisko-Solanec"/>
    <s v="Hutisko-Solanec, Solanec pod Soláněm 395, PSČ 75662"/>
    <s v="88"/>
    <s v="Ambulantní nebo terénní sociální služby"/>
    <m/>
    <m/>
    <m/>
    <m/>
    <m/>
    <m/>
    <m/>
    <m/>
    <m/>
    <m/>
    <m/>
    <m/>
    <m/>
    <m/>
    <m/>
    <m/>
    <m/>
  </r>
  <r>
    <s v="17448212"/>
    <s v="Rodina svatého Josefa, z. s."/>
    <s v="706"/>
    <x v="1"/>
    <x v="2"/>
    <s v="Nedakonice"/>
    <s v="Nedakonice 296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19780"/>
    <s v="Rodina u nás, z.s."/>
    <s v="706"/>
    <x v="1"/>
    <x v="1"/>
    <s v="Poličná"/>
    <s v="Poličná 21, PSČ 75701"/>
    <s v="94999"/>
    <s v="Činnosti ostatních organizací j. n."/>
    <m/>
    <m/>
    <m/>
    <m/>
    <m/>
    <m/>
    <m/>
    <m/>
    <m/>
    <m/>
    <m/>
    <m/>
    <m/>
    <m/>
    <m/>
    <m/>
    <m/>
  </r>
  <r>
    <s v="05297311"/>
    <s v="Rodina ve Zlíně z. s."/>
    <s v="706"/>
    <x v="1"/>
    <x v="0"/>
    <s v="Zlín"/>
    <s v="Zlín, Pod Babou 562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718890"/>
    <s v="Rodinná harmonie z.s."/>
    <s v="706"/>
    <x v="1"/>
    <x v="0"/>
    <s v="Luhačovice"/>
    <s v="Luhačovice, Lužné 1011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5091"/>
    <s v="Rodinné a mateřské centrum Slavičín, z.s."/>
    <s v="706"/>
    <x v="1"/>
    <x v="0"/>
    <s v="Slavičín"/>
    <s v="Slavičín, Komenského 883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4703"/>
    <s v="Rodinné a mateřské centrum Vsetín, z.s."/>
    <s v="706"/>
    <x v="1"/>
    <x v="1"/>
    <s v="Vsetín"/>
    <s v="Vsetín, Jasenice 943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1195"/>
    <s v="Rodinné centrum Bonifác"/>
    <s v="706"/>
    <x v="1"/>
    <x v="2"/>
    <s v="Uherské Hradiště"/>
    <s v="Uherské Hradiště, Husova 838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07247"/>
    <s v="Rodinné centrum Brouček, z.s."/>
    <s v="706"/>
    <x v="1"/>
    <x v="0"/>
    <s v="Vizovice"/>
    <s v="Vizovice, Zahradní 1053, PSČ 7631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828630"/>
    <s v="Rodinné centrum Břestek, z. s."/>
    <s v="706"/>
    <x v="1"/>
    <x v="2"/>
    <s v="Břestek"/>
    <s v="Buchlovice, Břestek 102, M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148244"/>
    <s v="Rodinné centrum Dráček Břest z. s."/>
    <s v="706"/>
    <x v="1"/>
    <x v="3"/>
    <s v="Břest"/>
    <s v="Břest 355, PSČ 76823"/>
    <s v="94991"/>
    <s v="Činnosti organizací dětí a mládeže"/>
    <m/>
    <m/>
    <m/>
    <m/>
    <m/>
    <m/>
    <m/>
    <m/>
    <m/>
    <m/>
    <m/>
    <m/>
    <m/>
    <m/>
    <m/>
    <m/>
    <m/>
  </r>
  <r>
    <s v="03825671"/>
    <s v="Rodinné centrum Kačenka, z. s."/>
    <s v="706"/>
    <x v="1"/>
    <x v="1"/>
    <s v="Kateřinice"/>
    <s v="Kateřinice 242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8823"/>
    <s v="&quot;Rodinné centrum Kalíšek&quot; z.s."/>
    <s v="706"/>
    <x v="1"/>
    <x v="3"/>
    <s v="Kvasice"/>
    <s v="Kvasice, Husova 400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919974"/>
    <s v="Rodinné centrum Knoflík, z.s."/>
    <s v="706"/>
    <x v="1"/>
    <x v="3"/>
    <s v="Bystřice pod Hostýnem"/>
    <s v="Bystřice pod Hostýnem, Pod Zábřehem 1100, PSČ 76861"/>
    <s v="9499"/>
    <s v="Činnosti ostatních organizací sdružujících osoby za účelem prosazování společných zájmů j. n."/>
    <s v="Ostatní vzdělávání"/>
    <s v="Podpůrné činnosti pro scénická umění"/>
    <m/>
    <m/>
    <m/>
    <m/>
    <m/>
    <m/>
    <m/>
    <m/>
    <m/>
    <m/>
    <m/>
    <m/>
    <m/>
    <m/>
    <m/>
  </r>
  <r>
    <s v="04412672"/>
    <s v="Rodinné centrum Kroměříž, z.s. a Středisko výchovné péče"/>
    <s v="706"/>
    <x v="1"/>
    <x v="3"/>
    <s v="Kroměříž"/>
    <s v="Kroměříž, Kollárova 658/13, PSČ 76701"/>
    <s v="88999"/>
    <s v="Jiné ambulantní nebo terénní sociální služby j. n."/>
    <m/>
    <m/>
    <m/>
    <m/>
    <m/>
    <m/>
    <m/>
    <m/>
    <m/>
    <m/>
    <m/>
    <m/>
    <m/>
    <m/>
    <m/>
    <m/>
    <m/>
  </r>
  <r>
    <s v="06556728"/>
    <s v="Rodinné centrum Náruč z. s."/>
    <s v="706"/>
    <x v="1"/>
    <x v="2"/>
    <s v="Uherský Brod"/>
    <s v="Uherský Brod, U Školky 2148, PSČ 68801"/>
    <s v="94991"/>
    <s v="Činnosti organizací dětí a mládeže"/>
    <m/>
    <m/>
    <m/>
    <m/>
    <m/>
    <m/>
    <m/>
    <m/>
    <m/>
    <m/>
    <m/>
    <m/>
    <m/>
    <m/>
    <m/>
    <m/>
    <m/>
  </r>
  <r>
    <s v="22870211"/>
    <s v="Rodinné centrum NEBOJSA z.s."/>
    <s v="706"/>
    <x v="1"/>
    <x v="2"/>
    <s v="Bojkovice"/>
    <s v="Bojkovice, Palackého 17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18609"/>
    <s v="Rodinné centrum Sedmikráska, z. s."/>
    <s v="706"/>
    <x v="1"/>
    <x v="3"/>
    <s v="Chropyně"/>
    <s v="Chropyně, Podlesí 865, PSČ 7681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822097"/>
    <s v="Rodinné centrum Slůně Kelč z. s."/>
    <s v="706"/>
    <x v="1"/>
    <x v="1"/>
    <s v="Kelč"/>
    <s v="Kelč 241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3821"/>
    <s v="Rodinné centrum Valašské Klobouky, z.s."/>
    <s v="706"/>
    <x v="1"/>
    <x v="0"/>
    <s v="Valašské Klobouky"/>
    <s v="Valašské Klobouky, Kramolišova 12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8724"/>
    <s v="Rodinné centrum ZK, o.s."/>
    <s v="706"/>
    <x v="1"/>
    <x v="0"/>
    <s v="Fryšták"/>
    <s v="Fryšták, Horní Ves, Hornoveská 111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17844"/>
    <s v="Rodinné centrum Žofinka Uherské Hradiště, z.s."/>
    <s v="706"/>
    <x v="1"/>
    <x v="2"/>
    <s v="Uherské Hradiště"/>
    <s v="Uherské Hradiště, Mařatice, Sadová 833, PSČ 68605"/>
    <s v="94991"/>
    <s v="Činnosti organizací dětí a mládeže"/>
    <m/>
    <m/>
    <m/>
    <m/>
    <m/>
    <m/>
    <m/>
    <m/>
    <m/>
    <m/>
    <m/>
    <m/>
    <m/>
    <m/>
    <m/>
    <m/>
    <m/>
  </r>
  <r>
    <s v="22753940"/>
    <s v="Rodinné domy Kudlov, občanské sdružení"/>
    <s v="706"/>
    <x v="1"/>
    <x v="0"/>
    <s v="Zlín"/>
    <s v="Zlín, Kudlov, Výšina 62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38952"/>
    <s v="Rodinné, komunitní a vzdělávací centrum Emcéčko, z.s."/>
    <s v="706"/>
    <x v="1"/>
    <x v="1"/>
    <s v="Valašské Meziříčí"/>
    <s v="Valašské Meziříčí, J. K. Tyla 41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15061"/>
    <s v="Rodinné muzeum zemědělství Stodůlka Ořechov z.s."/>
    <s v="706"/>
    <x v="1"/>
    <x v="2"/>
    <s v="Ořechov"/>
    <s v="Ořechov 88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180975"/>
    <s v="rodinný klub Lesní domeček, z. s."/>
    <s v="706"/>
    <x v="1"/>
    <x v="0"/>
    <s v="Zlín"/>
    <s v="Zlín, Štefánikova 6757, PSČ 76001"/>
    <s v="94991"/>
    <s v="Činnosti organizací dětí a mládeže"/>
    <m/>
    <m/>
    <m/>
    <m/>
    <m/>
    <m/>
    <m/>
    <m/>
    <m/>
    <m/>
    <m/>
    <m/>
    <m/>
    <m/>
    <m/>
    <m/>
    <m/>
  </r>
  <r>
    <s v="22331255"/>
    <s v="Rodinný nadační fond Boris"/>
    <s v="118"/>
    <x v="6"/>
    <x v="3"/>
    <s v="Holešov"/>
    <s v="Holešov, nám. Dr. E. Beneše 25/27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963834"/>
    <s v="Rodostrom z. s."/>
    <s v="706"/>
    <x v="1"/>
    <x v="2"/>
    <s v="Kunovice"/>
    <s v="Kunovice, Panská 25, PSČ 68604"/>
    <s v="9499"/>
    <s v="Činnosti ostatních organizací sdružujících osoby za účelem prosazování společných zájmů j. n."/>
    <s v="Ostatní vzdělávání j. n."/>
    <m/>
    <m/>
    <m/>
    <m/>
    <m/>
    <m/>
    <m/>
    <m/>
    <m/>
    <m/>
    <m/>
    <m/>
    <m/>
    <m/>
    <m/>
    <m/>
  </r>
  <r>
    <s v="27046702"/>
    <s v="Rodová osada, o.s."/>
    <s v="706"/>
    <x v="1"/>
    <x v="0"/>
    <s v="Zlín"/>
    <s v="Zlín, Malenovice, Chelčického 831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875721"/>
    <s v="ROGA TRANS z.s."/>
    <s v="706"/>
    <x v="1"/>
    <x v="0"/>
    <s v="Doubravy"/>
    <s v="Doubravy 3, PSČ 76345"/>
    <s v="9499"/>
    <s v="Činnosti ostatních organizací sdružujících osoby za účelem prosazování společných zájmů j. n."/>
    <s v="Vydavatelské činnosti"/>
    <s v="Zprostředkování velkoobchodu a velkoobchod v zastoupení"/>
    <s v="Ostatní vzdělávání"/>
    <m/>
    <m/>
    <m/>
    <m/>
    <m/>
    <m/>
    <m/>
    <m/>
    <m/>
    <m/>
    <m/>
    <m/>
    <m/>
    <m/>
  </r>
  <r>
    <s v="07712375"/>
    <s v="Rohálov Bike Team, z.s."/>
    <s v="706"/>
    <x v="1"/>
    <x v="3"/>
    <s v="Prusinovice"/>
    <s v="Prusinovice, Zámčisko 105, PSČ 76842"/>
    <s v="93190"/>
    <s v="Ostatní sportovní činnosti"/>
    <m/>
    <m/>
    <m/>
    <m/>
    <m/>
    <m/>
    <m/>
    <m/>
    <m/>
    <m/>
    <m/>
    <m/>
    <m/>
    <m/>
    <m/>
    <m/>
    <m/>
  </r>
  <r>
    <s v="46308067"/>
    <s v="Rokec Zlín, z.s."/>
    <s v="706"/>
    <x v="1"/>
    <x v="0"/>
    <s v="Zlín"/>
    <s v="Zlín, Prštné, K. Světlé 488, PSČ 76001"/>
    <s v="90030"/>
    <s v="Umělecká tvorba"/>
    <m/>
    <m/>
    <m/>
    <m/>
    <m/>
    <m/>
    <m/>
    <m/>
    <m/>
    <m/>
    <m/>
    <m/>
    <m/>
    <m/>
    <m/>
    <m/>
    <m/>
  </r>
  <r>
    <s v="27033180"/>
    <s v="Romské sdružení Zlínského kraje pro právo, spravedlnost a vzdělání"/>
    <s v="706"/>
    <x v="1"/>
    <x v="0"/>
    <s v="Zlín"/>
    <s v="Zlín, Na Honech III 4926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9132"/>
    <s v="Romský rozum"/>
    <s v="706"/>
    <x v="1"/>
    <x v="2"/>
    <s v="Uherský Brod"/>
    <s v="Uherský Brod, Větrná 2060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644275"/>
    <s v="Rosa multiflora, z.s."/>
    <s v="706"/>
    <x v="1"/>
    <x v="1"/>
    <s v="Valašské Meziříčí"/>
    <s v="Valašské Meziříčí, Zdeňka Fibicha 1203, PSČ 75701"/>
    <s v="88910"/>
    <s v="Sociální služby poskytované dětem"/>
    <m/>
    <m/>
    <m/>
    <m/>
    <m/>
    <m/>
    <m/>
    <m/>
    <m/>
    <m/>
    <m/>
    <m/>
    <m/>
    <m/>
    <m/>
    <m/>
    <m/>
  </r>
  <r>
    <s v="01438158"/>
    <s v="Rosička z. s."/>
    <s v="706"/>
    <x v="1"/>
    <x v="1"/>
    <s v="Jarcová"/>
    <s v="Jarcová 102, PSČ 75701"/>
    <s v="94995"/>
    <s v="Činnosti environmentálních a ekologických hnutí"/>
    <m/>
    <m/>
    <m/>
    <m/>
    <m/>
    <m/>
    <m/>
    <m/>
    <m/>
    <m/>
    <m/>
    <m/>
    <m/>
    <m/>
    <m/>
    <m/>
    <m/>
  </r>
  <r>
    <s v="65766571"/>
    <s v="ROSNIČKA, spolek"/>
    <s v="706"/>
    <x v="1"/>
    <x v="2"/>
    <s v="Staré Město"/>
    <s v="Staré Město, Kostelanská 2158, PSČ 68603"/>
    <s v="94991"/>
    <s v="Činnosti organizací dětí a mládeže"/>
    <m/>
    <m/>
    <m/>
    <m/>
    <m/>
    <m/>
    <m/>
    <m/>
    <m/>
    <m/>
    <m/>
    <m/>
    <m/>
    <m/>
    <m/>
    <m/>
    <m/>
  </r>
  <r>
    <s v="21194823"/>
    <s v="ROSOS z.s."/>
    <s v="706"/>
    <x v="1"/>
    <x v="1"/>
    <s v="Valašské Meziříčí"/>
    <s v="Valašské Meziříčí, Krásno nad Bečvou, Hřbitovní 286/2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942823"/>
    <s v="ROSTEME každičkým okamžikem, z. s."/>
    <s v="706"/>
    <x v="1"/>
    <x v="2"/>
    <s v="Staré Město"/>
    <s v="Staré Město, Hradišťská 472, PSČ 68603"/>
    <s v="94991"/>
    <s v="Činnosti organizací dětí a mládeže"/>
    <m/>
    <m/>
    <m/>
    <m/>
    <m/>
    <m/>
    <m/>
    <m/>
    <m/>
    <m/>
    <m/>
    <m/>
    <m/>
    <m/>
    <m/>
    <m/>
    <m/>
  </r>
  <r>
    <s v="01257544"/>
    <s v="ROSTOU!"/>
    <s v="706"/>
    <x v="1"/>
    <x v="0"/>
    <s v="Zlín"/>
    <s v="Zlín, Kudlov, Vrchy 547, PSČ 76001"/>
    <s v="94991"/>
    <s v="Činnosti organizací dětí a mládeže"/>
    <m/>
    <m/>
    <m/>
    <m/>
    <m/>
    <m/>
    <m/>
    <m/>
    <m/>
    <m/>
    <m/>
    <m/>
    <m/>
    <m/>
    <m/>
    <m/>
    <m/>
  </r>
  <r>
    <s v="08326592"/>
    <s v="Rotaract klub Zlín, z. s."/>
    <s v="706"/>
    <x v="1"/>
    <x v="0"/>
    <s v="Zlín"/>
    <s v="Zlín, Gahurova 292, PSČ 76001"/>
    <s v="9499"/>
    <s v="Činnosti ostatních organizací sdružujících osoby za účelem prosazování společných zájmů j. n."/>
    <s v="Výroba, obchod a služby neuvedené v přílohách 1 až 3 živnostenského zákona"/>
    <m/>
    <m/>
    <m/>
    <m/>
    <m/>
    <m/>
    <m/>
    <m/>
    <m/>
    <m/>
    <m/>
    <m/>
    <m/>
    <m/>
    <m/>
    <m/>
  </r>
  <r>
    <s v="66545480"/>
    <s v="Rotary klub Kroměříž, zapsaný spolek"/>
    <s v="706"/>
    <x v="1"/>
    <x v="3"/>
    <s v="Kroměříž"/>
    <s v="Kroměříž, Jánská 25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6093"/>
    <s v="Rotary klub Uherský Brod, z.s."/>
    <s v="706"/>
    <x v="1"/>
    <x v="2"/>
    <s v="Uherský Brod"/>
    <s v="Uherský Brod, Nivnická 1763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3707"/>
    <s v="Rotary klub Zlín, z.s."/>
    <s v="706"/>
    <x v="1"/>
    <x v="0"/>
    <s v="Zlín"/>
    <s v="Zlín, Lešetín II 38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9946"/>
    <s v="Rottal klub Holešov, z. s."/>
    <s v="706"/>
    <x v="1"/>
    <x v="3"/>
    <s v="Holešov"/>
    <s v="Holešov, Masarykova 628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156661"/>
    <s v="Rottweiler club Zlín"/>
    <s v="706"/>
    <x v="1"/>
    <x v="0"/>
    <s v="Zlín"/>
    <s v="Zlín, Na Honech III 4928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44171"/>
    <s v="Rovné šance dětem, z.s."/>
    <s v="706"/>
    <x v="1"/>
    <x v="2"/>
    <s v="Uherské Hradiště"/>
    <s v="Uherské Hradiště, Rybárny, Šaňákova 51, PSČ 686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4122433"/>
    <s v="Royal Rangers v ČR z.s."/>
    <s v="706"/>
    <x v="1"/>
    <x v="1"/>
    <s v="Vsetín"/>
    <s v="Vsetín, Generála Klapálka 620, PSČ 75501"/>
    <s v="94991"/>
    <s v="Činnosti organizací dětí a mládeže"/>
    <m/>
    <m/>
    <m/>
    <m/>
    <m/>
    <m/>
    <m/>
    <m/>
    <m/>
    <m/>
    <m/>
    <m/>
    <m/>
    <m/>
    <m/>
    <m/>
    <m/>
  </r>
  <r>
    <s v="04585551"/>
    <s v="Royal Rangers Zlínský kraj"/>
    <s v="736"/>
    <x v="0"/>
    <x v="0"/>
    <s v="Žlutava"/>
    <s v="Žlutava 296, PSČ 76361"/>
    <s v="94991"/>
    <s v="Činnosti organizací dětí a mládeže"/>
    <m/>
    <m/>
    <m/>
    <m/>
    <m/>
    <m/>
    <m/>
    <m/>
    <m/>
    <m/>
    <m/>
    <m/>
    <m/>
    <m/>
    <m/>
    <m/>
    <m/>
  </r>
  <r>
    <s v="06692737"/>
    <s v="ROYAL SNOOKER z.s."/>
    <s v="706"/>
    <x v="1"/>
    <x v="3"/>
    <s v="Holešov"/>
    <s v="Holešov, Žopy 17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64551"/>
    <s v="Rozárka - Rodiče za rozvoj kompetencí o.s."/>
    <s v="706"/>
    <x v="1"/>
    <x v="3"/>
    <s v="Kroměříž"/>
    <s v="Kroměříž, Kollárova 976/39, PSČ 76701"/>
    <s v="94991"/>
    <s v="Činnosti organizací dětí a mládeže"/>
    <m/>
    <m/>
    <m/>
    <m/>
    <m/>
    <m/>
    <m/>
    <m/>
    <m/>
    <m/>
    <m/>
    <m/>
    <m/>
    <m/>
    <m/>
    <m/>
    <m/>
  </r>
  <r>
    <s v="02358221"/>
    <s v="&quot;Rozhledna Zlín o.s.&quot;"/>
    <s v="706"/>
    <x v="1"/>
    <x v="0"/>
    <s v="Zlín"/>
    <s v="Zlín, nám. T. G. Masaryka 514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4516"/>
    <s v="ROZÍNA DĚTEM z. s."/>
    <s v="706"/>
    <x v="1"/>
    <x v="1"/>
    <s v="Nový Hrozenkov"/>
    <s v="Nový Hrozenkov 437, Základní škola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4149"/>
    <s v="Rozínek o.s."/>
    <s v="706"/>
    <x v="1"/>
    <x v="1"/>
    <s v="Nový Hrozenkov"/>
    <s v="Nový Hrozenkov 707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6689"/>
    <s v="„ROZKVĚT OSOBNOSTI”"/>
    <s v="706"/>
    <x v="1"/>
    <x v="1"/>
    <s v="Vsetín"/>
    <s v="Vsetín, U Hřiště 1231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5325621"/>
    <s v="ROZKVĚT sdružení občanů z.s."/>
    <s v="706"/>
    <x v="1"/>
    <x v="2"/>
    <s v="Bojkovice"/>
    <s v="Bojkovice, Bezručova čtvrť 766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488815"/>
    <s v="Rozruch Fryšták z.s."/>
    <s v="706"/>
    <x v="1"/>
    <x v="0"/>
    <s v="Fryšták"/>
    <s v="Fryšták, Horní Ves, Ke Skalce 346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9824"/>
    <s v="ROZRUCH o.s."/>
    <s v="706"/>
    <x v="1"/>
    <x v="0"/>
    <s v="Fryšták"/>
    <s v="Fryšták, Horní Ves, Hornoveská 123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2868"/>
    <s v="Rozumění z.s."/>
    <s v="706"/>
    <x v="1"/>
    <x v="0"/>
    <s v="Otrokovice"/>
    <s v="Otrokovice, Wolkerova 896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0671"/>
    <s v="Rozvojová agentura zlínského kraje, z.s."/>
    <s v="706"/>
    <x v="1"/>
    <x v="0"/>
    <s v="Zlín"/>
    <s v="Zlín, třída Tomáše Bati 5146, PSČ 76001"/>
    <s v="94999"/>
    <s v="Činnosti ostatních organizací j. n."/>
    <m/>
    <m/>
    <m/>
    <m/>
    <m/>
    <m/>
    <m/>
    <m/>
    <m/>
    <m/>
    <m/>
    <m/>
    <m/>
    <m/>
    <m/>
    <m/>
    <m/>
  </r>
  <r>
    <s v="10853022"/>
    <s v="Rozvojový HR klastr z. s."/>
    <s v="706"/>
    <x v="1"/>
    <x v="0"/>
    <s v="Želechovice nad Dřevnicí"/>
    <s v="Želechovice nad Dřevnicí, Paseky 616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734414"/>
    <s v="Rožnov město tradic, z. s."/>
    <s v="706"/>
    <x v="1"/>
    <x v="1"/>
    <s v="Rožnov pod Radhoštěm"/>
    <s v="Rožnov pod Radhoštěm, Masarykovo náměstí 182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55088"/>
    <s v="Rožnovská lesní mateřská škola z.s."/>
    <s v="706"/>
    <x v="1"/>
    <x v="1"/>
    <s v="Rožnov pod Radhoštěm"/>
    <s v="Rožnov pod Radhoštěm, Horní Dráhy 2761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22311"/>
    <s v="Rožnovské občanské sdružení pro ochranu krajiny"/>
    <s v="706"/>
    <x v="1"/>
    <x v="1"/>
    <s v="Rožnov pod Radhoštěm"/>
    <s v="Rožnov pod Radhoštěm, Dolní Paseky 26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4007"/>
    <s v="Rožnovský tenisový klub, z.s."/>
    <s v="706"/>
    <x v="1"/>
    <x v="1"/>
    <s v="Rožnov pod Radhoštěm"/>
    <s v="Rožnov pod Radhoštěm, Příčná 583, PSČ 75661"/>
    <s v="93110"/>
    <s v="Provozování sportovních zařízení"/>
    <m/>
    <m/>
    <m/>
    <m/>
    <m/>
    <m/>
    <m/>
    <m/>
    <m/>
    <m/>
    <m/>
    <m/>
    <m/>
    <m/>
    <m/>
    <m/>
    <m/>
  </r>
  <r>
    <s v="26566371"/>
    <s v="RR49, z.s."/>
    <s v="706"/>
    <x v="1"/>
    <x v="0"/>
    <s v="Zlín"/>
    <s v="Zlín, Sadová 14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1426"/>
    <s v="R.S. Progress z.s."/>
    <s v="706"/>
    <x v="1"/>
    <x v="0"/>
    <s v="Napajedla"/>
    <s v="Napajedla, Lány 1031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3545750"/>
    <s v="Rsport.Extreme, z.s."/>
    <s v="706"/>
    <x v="1"/>
    <x v="1"/>
    <s v="Valašské Meziříčí"/>
    <s v="Valašské Meziříčí, Fügnerova 479/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6591"/>
    <s v="RUBIC, z.s."/>
    <s v="706"/>
    <x v="1"/>
    <x v="0"/>
    <s v="Otrokovice"/>
    <s v="Otrokovice, Kvítkovice, SNP 1182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77038"/>
    <s v="RUDDY TRUCK TEAM"/>
    <s v="706"/>
    <x v="1"/>
    <x v="2"/>
    <s v="Tupesy"/>
    <s v="Tupesy 278, PSČ 6870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20856"/>
    <s v="RUGBY CLUB UHERSKÉ HRADIŠTĚ"/>
    <s v="706"/>
    <x v="1"/>
    <x v="2"/>
    <s v="Uherské Hradiště"/>
    <s v="Uherské Hradiště, Za Alejí 1072, PSČ 68606"/>
    <s v="93120"/>
    <s v="Činnosti sportovních klubů"/>
    <m/>
    <m/>
    <m/>
    <m/>
    <m/>
    <m/>
    <m/>
    <m/>
    <m/>
    <m/>
    <m/>
    <m/>
    <m/>
    <m/>
    <m/>
    <m/>
    <m/>
  </r>
  <r>
    <s v="61715883"/>
    <s v="Rugby Club Zlín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08494240"/>
    <s v="Rumpál, spolek"/>
    <s v="706"/>
    <x v="1"/>
    <x v="0"/>
    <s v="Luhačovice"/>
    <s v="Luhačovice, Lužné 1032, PSČ 76326"/>
    <s v="93190"/>
    <s v="Ostatní sportovní činnosti"/>
    <m/>
    <m/>
    <m/>
    <m/>
    <m/>
    <m/>
    <m/>
    <m/>
    <m/>
    <m/>
    <m/>
    <m/>
    <m/>
    <m/>
    <m/>
    <m/>
    <m/>
  </r>
  <r>
    <s v="28636945"/>
    <s v="RUN, o.p.s."/>
    <s v="141"/>
    <x v="2"/>
    <x v="1"/>
    <s v="Vsetín"/>
    <s v="Vsetín, Sychrov 51, PSČ 75501"/>
    <s v="855"/>
    <s v="Ostatní vzdělávání"/>
    <s v="Informační činnosti"/>
    <m/>
    <m/>
    <m/>
    <m/>
    <m/>
    <m/>
    <m/>
    <m/>
    <m/>
    <m/>
    <m/>
    <m/>
    <m/>
    <m/>
    <m/>
    <m/>
  </r>
  <r>
    <s v="22760407"/>
    <s v="Runners club Kroměříž, z.s."/>
    <s v="706"/>
    <x v="1"/>
    <x v="3"/>
    <s v="Kroměříž"/>
    <s v="Kroměříž, Vrchlického 2899/31, PSČ 76701"/>
    <s v="93190"/>
    <s v="Ostatní sportovní činnosti"/>
    <m/>
    <m/>
    <m/>
    <m/>
    <m/>
    <m/>
    <m/>
    <m/>
    <m/>
    <m/>
    <m/>
    <m/>
    <m/>
    <m/>
    <m/>
    <m/>
    <m/>
  </r>
  <r>
    <s v="22726039"/>
    <s v="RUSAVA IN o.s."/>
    <s v="706"/>
    <x v="1"/>
    <x v="3"/>
    <s v="Rusava"/>
    <s v="Rusava č. ev. 334, PSČ 768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3222"/>
    <s v="RUSKÁ SYSTEMA o.s."/>
    <s v="706"/>
    <x v="1"/>
    <x v="1"/>
    <s v="Vsetín"/>
    <s v="Vsetín, Družstevní 1171, PSČ 75501"/>
    <s v="93190"/>
    <s v="Ostatní sportovní činnosti"/>
    <m/>
    <m/>
    <m/>
    <m/>
    <m/>
    <m/>
    <m/>
    <m/>
    <m/>
    <m/>
    <m/>
    <m/>
    <m/>
    <m/>
    <m/>
    <m/>
    <m/>
  </r>
  <r>
    <s v="07297696"/>
    <s v="Růžová veverka z.s."/>
    <s v="706"/>
    <x v="1"/>
    <x v="3"/>
    <s v="Holešov"/>
    <s v="Holešov, Pivovarská 1404, PSČ 76901"/>
    <s v="9499"/>
    <s v="Činnosti ostatních organizací sdružujících osoby za účelem prosazování společných zájmů j. n."/>
    <s v="Stravování v restauracích, u stánků a v mobilních zařízeních"/>
    <s v="Podpůrné činnosti pro scénická umění"/>
    <s v="Ostatní sportovní činnosti"/>
    <s v="Destilace, rektifikace a míchání lihovin"/>
    <m/>
    <m/>
    <m/>
    <m/>
    <m/>
    <m/>
    <m/>
    <m/>
    <m/>
    <m/>
    <m/>
    <m/>
    <m/>
  </r>
  <r>
    <s v="14042690"/>
    <s v="Rybáři Horní Němčí z.s."/>
    <s v="706"/>
    <x v="1"/>
    <x v="2"/>
    <s v="Horní Němčí"/>
    <s v="Horní Němčí 407, PSČ 687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68468"/>
    <s v="Rybáři Kopanice, z.s."/>
    <s v="706"/>
    <x v="1"/>
    <x v="2"/>
    <s v="Starý Hrozenkov"/>
    <s v="Starý Hrozenkov 200, PSČ 68774"/>
    <s v="9499"/>
    <s v="Činnosti ostatních organizací sdružujících osoby za účelem prosazování společných zájmů j. n.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22878114"/>
    <s v="Rybáři u Kovárny z.s."/>
    <s v="706"/>
    <x v="1"/>
    <x v="3"/>
    <s v="Kroměříž"/>
    <s v="Kroměříž, Drahlov 50, PSČ 76701"/>
    <s v="94995"/>
    <s v="Činnosti environmentálních a ekologických hnutí"/>
    <m/>
    <m/>
    <m/>
    <m/>
    <m/>
    <m/>
    <m/>
    <m/>
    <m/>
    <m/>
    <m/>
    <m/>
    <m/>
    <m/>
    <m/>
    <m/>
    <m/>
  </r>
  <r>
    <s v="65270037"/>
    <s v="Rybářské sdružení Brusné"/>
    <s v="706"/>
    <x v="1"/>
    <x v="3"/>
    <s v="Brusné"/>
    <s v="Brusné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10849"/>
    <s v="Rybářské sdružení Roštění z. s."/>
    <s v="706"/>
    <x v="1"/>
    <x v="3"/>
    <s v="Roštění"/>
    <s v="Roštění 144, PSČ 768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8775"/>
    <s v="Rybářský klub Grádo Hulín"/>
    <s v="706"/>
    <x v="1"/>
    <x v="3"/>
    <s v="Hulín"/>
    <s v="Hulín, nám. Míru 112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5851"/>
    <s v="Rybářský spolek - Hluk"/>
    <s v="706"/>
    <x v="1"/>
    <x v="2"/>
    <s v="Hluk"/>
    <s v="Hluk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85250"/>
    <s v="Rybářský spolek Janová"/>
    <s v="706"/>
    <x v="1"/>
    <x v="1"/>
    <s v="Janová"/>
    <s v="Janová 200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17598"/>
    <s v="Rybářský spolek Jestřabice z.s."/>
    <s v="706"/>
    <x v="1"/>
    <x v="3"/>
    <s v="Koryčany"/>
    <s v="Koryčany, Jestřabice 52, PSČ 768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293321"/>
    <s v="Rybářský spolek Kateřinice z.s."/>
    <s v="706"/>
    <x v="1"/>
    <x v="1"/>
    <s v="Kateřinice"/>
    <s v="Kateřinice 242, PSČ 75621"/>
    <s v="93190"/>
    <s v="Ostatní sportovní činnosti"/>
    <s v="Činnosti ostatních organizací sdružujících osoby za účelem prosazování společných zájmů j. n."/>
    <s v="Sladkovodní akvakultura"/>
    <m/>
    <m/>
    <m/>
    <m/>
    <m/>
    <m/>
    <m/>
    <m/>
    <m/>
    <m/>
    <m/>
    <m/>
    <m/>
    <m/>
    <m/>
  </r>
  <r>
    <s v="19390921"/>
    <s v="Rybářský spolek Lechotice"/>
    <s v="706"/>
    <x v="1"/>
    <x v="3"/>
    <s v="Lechotice"/>
    <s v="Lechotice 87, PSČ 76852"/>
    <s v="93190"/>
    <s v="Ostatní sportovní činnosti"/>
    <m/>
    <m/>
    <m/>
    <m/>
    <m/>
    <m/>
    <m/>
    <m/>
    <m/>
    <m/>
    <m/>
    <m/>
    <m/>
    <m/>
    <m/>
    <m/>
    <m/>
  </r>
  <r>
    <s v="26638169"/>
    <s v="Rybářský spolek Luh Napajedla z.s."/>
    <s v="706"/>
    <x v="1"/>
    <x v="0"/>
    <s v="Napajedla"/>
    <s v="Napajedla, Masarykovo náměstí 207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8333"/>
    <s v="Rybářský spolek Napajedla - Spytihněv"/>
    <s v="706"/>
    <x v="1"/>
    <x v="0"/>
    <s v="Spytihněv"/>
    <s v="Spytihněv 419, PSČ 763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52212"/>
    <s v="Rybářský spolek Ořechov"/>
    <s v="706"/>
    <x v="1"/>
    <x v="2"/>
    <s v="Ořechov"/>
    <s v="Ořechov 111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241275"/>
    <s v="Rybářský spolek Pohořelice, z.s."/>
    <s v="706"/>
    <x v="1"/>
    <x v="0"/>
    <s v="Pohořelice"/>
    <s v="Pohořelice, Školní 35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7153"/>
    <s v="Rybářský spolek Zahnašovice"/>
    <s v="706"/>
    <x v="1"/>
    <x v="3"/>
    <s v="Zahnašovice"/>
    <s v="Zahnašovice 105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2069"/>
    <s v="Rybářský spolek-Buchlovice"/>
    <s v="706"/>
    <x v="1"/>
    <x v="2"/>
    <s v="Buchlovice"/>
    <s v="Buchlov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1810"/>
    <s v="Rybářský svaz Luhačovického Zálesí z.s."/>
    <s v="706"/>
    <x v="1"/>
    <x v="0"/>
    <s v="Pozlovice"/>
    <s v="Pozlovice č. ev. 30, PSČ 76326"/>
    <s v="9499"/>
    <s v="Činnosti ostatních organizací sdružujících osoby za účelem prosazování společných zájmů j. n."/>
    <s v="Rekreační a ostatní krátkodobé ubytování"/>
    <m/>
    <m/>
    <m/>
    <m/>
    <m/>
    <m/>
    <m/>
    <m/>
    <m/>
    <m/>
    <m/>
    <m/>
    <m/>
    <m/>
    <m/>
    <m/>
  </r>
  <r>
    <s v="02707365"/>
    <s v="Rybníkářství &quot;ŠTĚRKÁČ&quot; Topolná, z.s."/>
    <s v="706"/>
    <x v="1"/>
    <x v="2"/>
    <s v="Topolná"/>
    <s v="Topolná 420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411371"/>
    <s v="Rymická strašidla z.s."/>
    <s v="706"/>
    <x v="1"/>
    <x v="3"/>
    <s v="Rymice"/>
    <s v="Rymice 4, PSČ 76901"/>
    <s v="94991"/>
    <s v="Činnosti organizací dětí a mládeže"/>
    <s v="Destilace, rektifikace a míchání lihovin"/>
    <s v="Stravování v restauracích, u stánků a v mobilních zařízeních"/>
    <m/>
    <m/>
    <m/>
    <m/>
    <m/>
    <m/>
    <m/>
    <m/>
    <m/>
    <m/>
    <m/>
    <m/>
    <m/>
    <m/>
    <m/>
  </r>
  <r>
    <s v="22847383"/>
    <s v="&quot;Rytmus pro život&quot;,z.s."/>
    <s v="706"/>
    <x v="1"/>
    <x v="0"/>
    <s v="Zlín"/>
    <s v="Zlín, Mladcová, Vinohrádek 56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2331"/>
    <s v="RZM Racing, z.s."/>
    <s v="706"/>
    <x v="1"/>
    <x v="0"/>
    <s v="Luhačovice"/>
    <s v="Luhačovice, Nádražní 298, PSČ 7632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64623"/>
    <s v="Ředitelé mateřských škol Zlínského kraje z.s."/>
    <s v="706"/>
    <x v="1"/>
    <x v="0"/>
    <s v="Zlín"/>
    <s v="Zlín, Prštné, Svat. Čecha 51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0011"/>
    <s v="Řeholní dům Kongregace kněží Mariánů v Brumově - Bylnici"/>
    <s v="722"/>
    <x v="5"/>
    <x v="0"/>
    <s v="Brumov-Bylnice"/>
    <s v="Brumov-Bylnice, Brumov, 1. května 1018, PSČ 76331"/>
    <s v="94910"/>
    <s v="Činnosti náboženských organizací"/>
    <m/>
    <m/>
    <m/>
    <m/>
    <m/>
    <m/>
    <m/>
    <m/>
    <m/>
    <m/>
    <m/>
    <m/>
    <m/>
    <m/>
    <m/>
    <m/>
    <m/>
  </r>
  <r>
    <s v="73633402"/>
    <s v="Římskokatolická duchovní správa Stojanov"/>
    <s v="722"/>
    <x v="5"/>
    <x v="2"/>
    <s v="Velehrad"/>
    <s v="Velehrad, Salašská 62, PSČ 68706"/>
    <s v="94910"/>
    <s v="Činnosti náboženských organizací"/>
    <m/>
    <m/>
    <m/>
    <m/>
    <m/>
    <m/>
    <m/>
    <m/>
    <m/>
    <m/>
    <m/>
    <m/>
    <m/>
    <m/>
    <m/>
    <m/>
    <m/>
  </r>
  <r>
    <s v="46998497"/>
    <s v="Římskokatolická duchovní správa Svatý Hostýn"/>
    <s v="722"/>
    <x v="5"/>
    <x v="3"/>
    <s v="Chvalčov"/>
    <s v="Chvalčov, Svatý Hostýn 107, PSČ 76872"/>
    <s v="94910"/>
    <s v="Činnosti náboženských organizací"/>
    <m/>
    <m/>
    <m/>
    <m/>
    <m/>
    <m/>
    <m/>
    <m/>
    <m/>
    <m/>
    <m/>
    <m/>
    <m/>
    <m/>
    <m/>
    <m/>
    <m/>
  </r>
  <r>
    <s v="46254978"/>
    <s v="Římskokatolická farnost Babice u Uherského Hradiště"/>
    <s v="722"/>
    <x v="5"/>
    <x v="2"/>
    <s v="Babice"/>
    <s v="Babice 3, PSČ 68703"/>
    <s v="94910"/>
    <s v="Činnosti náboženských organizací"/>
    <m/>
    <m/>
    <m/>
    <m/>
    <m/>
    <m/>
    <m/>
    <m/>
    <m/>
    <m/>
    <m/>
    <m/>
    <m/>
    <m/>
    <m/>
    <m/>
    <m/>
  </r>
  <r>
    <s v="46256423"/>
    <s v="Římskokatolická farnost Bánov"/>
    <s v="722"/>
    <x v="5"/>
    <x v="2"/>
    <s v="Bánov"/>
    <s v="Bánov 10, PSČ 68754"/>
    <s v="94910"/>
    <s v="Činnosti náboženských organizací"/>
    <m/>
    <m/>
    <m/>
    <m/>
    <m/>
    <m/>
    <m/>
    <m/>
    <m/>
    <m/>
    <m/>
    <m/>
    <m/>
    <m/>
    <m/>
    <m/>
    <m/>
  </r>
  <r>
    <s v="47930471"/>
    <s v="Římskokatolická farnost Bílavsko"/>
    <s v="722"/>
    <x v="5"/>
    <x v="3"/>
    <s v="Bystřice pod Hostýnem"/>
    <s v="Bystřice pod Hostýnem, Bílavsko 5, PSČ 76861"/>
    <s v="94910"/>
    <s v="Činnosti náboženských organizací"/>
    <m/>
    <m/>
    <m/>
    <m/>
    <m/>
    <m/>
    <m/>
    <m/>
    <m/>
    <m/>
    <m/>
    <m/>
    <m/>
    <m/>
    <m/>
    <m/>
    <m/>
  </r>
  <r>
    <s v="46257969"/>
    <s v="Římskokatolická farnost Bílovice"/>
    <s v="722"/>
    <x v="5"/>
    <x v="2"/>
    <s v="Bílovice"/>
    <s v="Bílovice 42, PSČ 68712"/>
    <s v="94910"/>
    <s v="Činnosti náboženských organizací"/>
    <m/>
    <m/>
    <m/>
    <m/>
    <m/>
    <m/>
    <m/>
    <m/>
    <m/>
    <m/>
    <m/>
    <m/>
    <m/>
    <m/>
    <m/>
    <m/>
    <m/>
  </r>
  <r>
    <s v="47930462"/>
    <s v="Římskokatolická farnost Blazice"/>
    <s v="722"/>
    <x v="5"/>
    <x v="3"/>
    <s v="Blazice"/>
    <s v="Blazice 36, PSČ 76861"/>
    <s v="94910"/>
    <s v="Činnosti náboženských organizací"/>
    <m/>
    <m/>
    <m/>
    <m/>
    <m/>
    <m/>
    <m/>
    <m/>
    <m/>
    <m/>
    <m/>
    <m/>
    <m/>
    <m/>
    <m/>
    <m/>
    <m/>
  </r>
  <r>
    <s v="46256431"/>
    <s v="Římskokatolická farnost Bojkovice"/>
    <s v="722"/>
    <x v="5"/>
    <x v="2"/>
    <s v="Bojkovice"/>
    <s v="Bojkovice, Husova 62, PSČ 68771"/>
    <s v="94910"/>
    <s v="Činnosti náboženských organizací"/>
    <m/>
    <m/>
    <m/>
    <m/>
    <m/>
    <m/>
    <m/>
    <m/>
    <m/>
    <m/>
    <m/>
    <m/>
    <m/>
    <m/>
    <m/>
    <m/>
    <m/>
  </r>
  <r>
    <s v="46257926"/>
    <s v="Římskokatolická farnost Boršice u Blatnice"/>
    <s v="722"/>
    <x v="5"/>
    <x v="2"/>
    <s v="Boršice u Blatnice"/>
    <s v="Boršice u Blatnice 31, PSČ 68763"/>
    <s v="94910"/>
    <s v="Činnosti náboženských organizací"/>
    <m/>
    <m/>
    <m/>
    <m/>
    <m/>
    <m/>
    <m/>
    <m/>
    <m/>
    <m/>
    <m/>
    <m/>
    <m/>
    <m/>
    <m/>
    <m/>
    <m/>
  </r>
  <r>
    <s v="46257888"/>
    <s v="Římskokatolická farnost Boršice u Buchlovic"/>
    <s v="722"/>
    <x v="5"/>
    <x v="2"/>
    <s v="Boršice"/>
    <s v="Boršice 191, PSČ 68709"/>
    <s v="94910"/>
    <s v="Činnosti náboženských organizací"/>
    <m/>
    <m/>
    <m/>
    <m/>
    <m/>
    <m/>
    <m/>
    <m/>
    <m/>
    <m/>
    <m/>
    <m/>
    <m/>
    <m/>
    <m/>
    <m/>
    <m/>
  </r>
  <r>
    <s v="48739685"/>
    <s v="Římskokatolická farnost Branky"/>
    <s v="722"/>
    <x v="5"/>
    <x v="1"/>
    <s v="Branky"/>
    <s v="Branky 98, PSČ 75645"/>
    <s v="94910"/>
    <s v="Činnosti náboženských organizací"/>
    <m/>
    <m/>
    <m/>
    <m/>
    <m/>
    <m/>
    <m/>
    <m/>
    <m/>
    <m/>
    <m/>
    <m/>
    <m/>
    <m/>
    <m/>
    <m/>
    <m/>
  </r>
  <r>
    <s v="48471658"/>
    <s v="Římskokatolická farnost Bratřejov"/>
    <s v="722"/>
    <x v="5"/>
    <x v="0"/>
    <s v="Bratřejov"/>
    <s v="Bratřejov 117, PSČ 76312"/>
    <s v="94910"/>
    <s v="Činnosti náboženských organizací"/>
    <m/>
    <m/>
    <m/>
    <m/>
    <m/>
    <m/>
    <m/>
    <m/>
    <m/>
    <m/>
    <m/>
    <m/>
    <m/>
    <m/>
    <m/>
    <m/>
    <m/>
  </r>
  <r>
    <s v="65823095"/>
    <s v="Římskokatolická farnost Brumov"/>
    <s v="722"/>
    <x v="5"/>
    <x v="0"/>
    <s v="Brumov-Bylnice"/>
    <s v="Brumov-Bylnice, Brumov, 1. května 1018, PSČ 76331"/>
    <s v="94910"/>
    <s v="Činnosti náboženských organizací"/>
    <m/>
    <m/>
    <m/>
    <m/>
    <m/>
    <m/>
    <m/>
    <m/>
    <m/>
    <m/>
    <m/>
    <m/>
    <m/>
    <m/>
    <m/>
    <m/>
    <m/>
  </r>
  <r>
    <s v="46998250"/>
    <s v="Římskokatolická farnost Břest"/>
    <s v="722"/>
    <x v="5"/>
    <x v="3"/>
    <s v="Břest"/>
    <s v="Břest 18, PSČ 76823"/>
    <s v="94910"/>
    <s v="Činnosti náboženských organizací"/>
    <m/>
    <m/>
    <m/>
    <m/>
    <m/>
    <m/>
    <m/>
    <m/>
    <m/>
    <m/>
    <m/>
    <m/>
    <m/>
    <m/>
    <m/>
    <m/>
    <m/>
  </r>
  <r>
    <s v="48471097"/>
    <s v="Římskokatolická farnost Březnice u Zlína"/>
    <s v="722"/>
    <x v="5"/>
    <x v="0"/>
    <s v="Březnice"/>
    <s v="Březnice 14, PSČ 76001"/>
    <s v="94910"/>
    <s v="Činnosti náboženských organizací"/>
    <m/>
    <m/>
    <m/>
    <m/>
    <m/>
    <m/>
    <m/>
    <m/>
    <m/>
    <m/>
    <m/>
    <m/>
    <m/>
    <m/>
    <m/>
    <m/>
    <m/>
  </r>
  <r>
    <s v="48489026"/>
    <s v="Římskokatolická farnost Březolupy"/>
    <s v="722"/>
    <x v="5"/>
    <x v="2"/>
    <s v="Březolupy"/>
    <s v="Březolupy 139, PSČ 68713"/>
    <s v="94910"/>
    <s v="Činnosti náboženských organizací"/>
    <m/>
    <m/>
    <m/>
    <m/>
    <m/>
    <m/>
    <m/>
    <m/>
    <m/>
    <m/>
    <m/>
    <m/>
    <m/>
    <m/>
    <m/>
    <m/>
    <m/>
  </r>
  <r>
    <s v="46256440"/>
    <s v="Římskokatolická farnost Březová u Uherského Brodu"/>
    <s v="722"/>
    <x v="5"/>
    <x v="2"/>
    <s v="Březová"/>
    <s v="Březová 11, PSČ 68767"/>
    <s v="94910"/>
    <s v="Činnosti náboženských organizací"/>
    <m/>
    <m/>
    <m/>
    <m/>
    <m/>
    <m/>
    <m/>
    <m/>
    <m/>
    <m/>
    <m/>
    <m/>
    <m/>
    <m/>
    <m/>
    <m/>
    <m/>
  </r>
  <r>
    <s v="46257845"/>
    <s v="Římskokatolická farnost Buchlovice"/>
    <s v="722"/>
    <x v="5"/>
    <x v="2"/>
    <s v="Buchlovice"/>
    <s v="Buchlovice, Kostelní 279, PSČ 68708"/>
    <s v="94910"/>
    <s v="Činnosti náboženských organizací"/>
    <m/>
    <m/>
    <m/>
    <m/>
    <m/>
    <m/>
    <m/>
    <m/>
    <m/>
    <m/>
    <m/>
    <m/>
    <m/>
    <m/>
    <m/>
    <m/>
    <m/>
  </r>
  <r>
    <s v="47930241"/>
    <s v="Římskokatolická farnost Bystřice pod Hostýnem"/>
    <s v="722"/>
    <x v="5"/>
    <x v="3"/>
    <s v="Bystřice pod Hostýnem"/>
    <s v="Bystřice pod Hostýnem, Čs. brigády 81, PSČ 76861"/>
    <s v="94910"/>
    <s v="Činnosti náboženských organizací"/>
    <m/>
    <m/>
    <m/>
    <m/>
    <m/>
    <m/>
    <m/>
    <m/>
    <m/>
    <m/>
    <m/>
    <m/>
    <m/>
    <m/>
    <m/>
    <m/>
    <m/>
  </r>
  <r>
    <s v="46998209"/>
    <s v="Římskokatolická farnost Cetechovice"/>
    <s v="722"/>
    <x v="5"/>
    <x v="3"/>
    <s v="Cetechovice"/>
    <s v="Cetechovice 9, PSČ 76802"/>
    <s v="94910"/>
    <s v="Činnosti náboženských organizací"/>
    <m/>
    <m/>
    <m/>
    <m/>
    <m/>
    <m/>
    <m/>
    <m/>
    <m/>
    <m/>
    <m/>
    <m/>
    <m/>
    <m/>
    <m/>
    <m/>
    <m/>
  </r>
  <r>
    <s v="45211647"/>
    <s v="Římskokatolická farnost Choryně"/>
    <s v="722"/>
    <x v="5"/>
    <x v="1"/>
    <s v="Choryně"/>
    <s v="Choryně 55, PSČ 75642"/>
    <s v="94910"/>
    <s v="Činnosti náboženských organizací"/>
    <m/>
    <m/>
    <m/>
    <m/>
    <m/>
    <m/>
    <m/>
    <m/>
    <m/>
    <m/>
    <m/>
    <m/>
    <m/>
    <m/>
    <m/>
    <m/>
    <m/>
  </r>
  <r>
    <s v="18189415"/>
    <s v="Římskokatolická farnost Chropyně"/>
    <s v="722"/>
    <x v="5"/>
    <x v="3"/>
    <s v="Chropyně"/>
    <s v="Chropyně, Komenského 31, PSČ 76811"/>
    <s v="94910"/>
    <s v="Činnosti náboženských organizací"/>
    <m/>
    <m/>
    <m/>
    <m/>
    <m/>
    <m/>
    <m/>
    <m/>
    <m/>
    <m/>
    <m/>
    <m/>
    <m/>
    <m/>
    <m/>
    <m/>
    <m/>
  </r>
  <r>
    <s v="46998403"/>
    <s v="Římskokatolická farnost Chvalnov"/>
    <s v="722"/>
    <x v="5"/>
    <x v="3"/>
    <s v="Chvalnov-Lísky"/>
    <s v="Chvalnov-Lísky, Chvalnov 50, PSČ 76805"/>
    <s v="94910"/>
    <s v="Činnosti náboženských organizací"/>
    <m/>
    <m/>
    <m/>
    <m/>
    <m/>
    <m/>
    <m/>
    <m/>
    <m/>
    <m/>
    <m/>
    <m/>
    <m/>
    <m/>
    <m/>
    <m/>
    <m/>
  </r>
  <r>
    <s v="47997974"/>
    <s v="Římskokatolická farnost Dolní Bečva"/>
    <s v="722"/>
    <x v="5"/>
    <x v="1"/>
    <s v="Dolní Bečva"/>
    <s v="Dolní Bečva 245, PSČ 75655"/>
    <s v="94910"/>
    <s v="Činnosti náboženských organizací"/>
    <m/>
    <m/>
    <m/>
    <m/>
    <m/>
    <m/>
    <m/>
    <m/>
    <m/>
    <m/>
    <m/>
    <m/>
    <m/>
    <m/>
    <m/>
    <m/>
    <m/>
  </r>
  <r>
    <s v="46256458"/>
    <s v="Římskokatolická farnost Dolní Němčí"/>
    <s v="722"/>
    <x v="5"/>
    <x v="2"/>
    <s v="Dolní Němčí"/>
    <s v="Dolní Němčí, Kostelní 34, PSČ 68762"/>
    <s v="94910"/>
    <s v="Činnosti náboženských organizací"/>
    <m/>
    <m/>
    <m/>
    <m/>
    <m/>
    <m/>
    <m/>
    <m/>
    <m/>
    <m/>
    <m/>
    <m/>
    <m/>
    <m/>
    <m/>
    <m/>
    <m/>
  </r>
  <r>
    <s v="48739499"/>
    <s v="Římskokatolická farnost Francova Lhota"/>
    <s v="722"/>
    <x v="5"/>
    <x v="1"/>
    <s v="Francova Lhota"/>
    <s v="Francova Lhota 149, PSČ 75614"/>
    <s v="94910"/>
    <s v="Činnosti náboženských organizací"/>
    <m/>
    <m/>
    <m/>
    <m/>
    <m/>
    <m/>
    <m/>
    <m/>
    <m/>
    <m/>
    <m/>
    <m/>
    <m/>
    <m/>
    <m/>
    <m/>
    <m/>
  </r>
  <r>
    <s v="48471208"/>
    <s v="Římskokatolická farnost Fryšták"/>
    <s v="722"/>
    <x v="5"/>
    <x v="0"/>
    <s v="Fryšták"/>
    <s v="Fryšták, P. I. Stuchlého 25, PSČ 76316"/>
    <s v="94910"/>
    <s v="Činnosti náboženských organizací"/>
    <m/>
    <m/>
    <m/>
    <m/>
    <m/>
    <m/>
    <m/>
    <m/>
    <m/>
    <m/>
    <m/>
    <m/>
    <m/>
    <m/>
    <m/>
    <m/>
    <m/>
  </r>
  <r>
    <s v="48739430"/>
    <s v="Římskokatolická farnost Halenkov"/>
    <s v="722"/>
    <x v="5"/>
    <x v="1"/>
    <s v="Halenkov"/>
    <s v="Halenkov 66, PSČ 75603"/>
    <s v="94910"/>
    <s v="Činnosti náboženských organizací"/>
    <m/>
    <m/>
    <m/>
    <m/>
    <m/>
    <m/>
    <m/>
    <m/>
    <m/>
    <m/>
    <m/>
    <m/>
    <m/>
    <m/>
    <m/>
    <m/>
    <m/>
  </r>
  <r>
    <s v="48471623"/>
    <s v="Římskokatolická farnost Halenkovice"/>
    <s v="722"/>
    <x v="5"/>
    <x v="0"/>
    <s v="Halenkovice"/>
    <s v="Halenkovice 236, PSČ 76363"/>
    <s v="94910"/>
    <s v="Činnosti náboženských organizací"/>
    <m/>
    <m/>
    <m/>
    <m/>
    <m/>
    <m/>
    <m/>
    <m/>
    <m/>
    <m/>
    <m/>
    <m/>
    <m/>
    <m/>
    <m/>
    <m/>
    <m/>
  </r>
  <r>
    <s v="48489000"/>
    <s v="Římskokatolická farnost Hluk"/>
    <s v="722"/>
    <x v="5"/>
    <x v="2"/>
    <s v="Hluk"/>
    <s v="Hluk, nám. Komenského 59, PSČ 68725"/>
    <s v="94910"/>
    <s v="Činnosti náboženských organizací"/>
    <m/>
    <m/>
    <m/>
    <m/>
    <m/>
    <m/>
    <m/>
    <m/>
    <m/>
    <m/>
    <m/>
    <m/>
    <m/>
    <m/>
    <m/>
    <m/>
    <m/>
  </r>
  <r>
    <s v="47930217"/>
    <s v="Římskokatolická farnost Holešov"/>
    <s v="722"/>
    <x v="5"/>
    <x v="3"/>
    <s v="Holešov"/>
    <s v="Holešov, nám. Dr. E. Beneše 40/13, PSČ 76901"/>
    <s v="94910"/>
    <s v="Činnosti náboženských organizací"/>
    <m/>
    <m/>
    <m/>
    <m/>
    <m/>
    <m/>
    <m/>
    <m/>
    <m/>
    <m/>
    <m/>
    <m/>
    <m/>
    <m/>
    <m/>
    <m/>
    <m/>
  </r>
  <r>
    <s v="47997966"/>
    <s v="Římskokatolická farnost Horní Bečva"/>
    <s v="722"/>
    <x v="5"/>
    <x v="1"/>
    <s v="Horní Bečva"/>
    <s v="Horní Bečva 1031, PSČ 75657"/>
    <s v="94910"/>
    <s v="Činnosti náboženských organizací"/>
    <m/>
    <m/>
    <m/>
    <m/>
    <m/>
    <m/>
    <m/>
    <m/>
    <m/>
    <m/>
    <m/>
    <m/>
    <m/>
    <m/>
    <m/>
    <m/>
    <m/>
  </r>
  <r>
    <s v="46307869"/>
    <s v="Římskokatolická farnost Horní Lhota"/>
    <s v="722"/>
    <x v="5"/>
    <x v="0"/>
    <s v="Horní Lhota"/>
    <s v="Horní Lhota 26, PSČ 76323"/>
    <s v="94910"/>
    <s v="Činnosti náboženských organizací"/>
    <m/>
    <m/>
    <m/>
    <m/>
    <m/>
    <m/>
    <m/>
    <m/>
    <m/>
    <m/>
    <m/>
    <m/>
    <m/>
    <m/>
    <m/>
    <m/>
    <m/>
  </r>
  <r>
    <s v="46256466"/>
    <s v="Římskokatolická farnost Horní Němčí"/>
    <s v="722"/>
    <x v="5"/>
    <x v="2"/>
    <s v="Horní Němčí"/>
    <s v="Horní Němčí 90, PSČ 68764"/>
    <s v="94910"/>
    <s v="Činnosti náboženských organizací"/>
    <m/>
    <m/>
    <m/>
    <m/>
    <m/>
    <m/>
    <m/>
    <m/>
    <m/>
    <m/>
    <m/>
    <m/>
    <m/>
    <m/>
    <m/>
    <m/>
    <m/>
  </r>
  <r>
    <s v="48739481"/>
    <s v="Římskokatolická farnost Hošťálková"/>
    <s v="722"/>
    <x v="5"/>
    <x v="1"/>
    <s v="Hošťálková"/>
    <s v="Hošťálková 155, PSČ 75622"/>
    <s v="94910"/>
    <s v="Činnosti náboženských organizací"/>
    <m/>
    <m/>
    <m/>
    <m/>
    <m/>
    <m/>
    <m/>
    <m/>
    <m/>
    <m/>
    <m/>
    <m/>
    <m/>
    <m/>
    <m/>
    <m/>
    <m/>
  </r>
  <r>
    <s v="46998314"/>
    <s v="Římskokatolická farnost Hoštice u Zdounek"/>
    <s v="722"/>
    <x v="5"/>
    <x v="3"/>
    <s v="Hoštice"/>
    <s v="Hoštice 132, PSČ 76813"/>
    <s v="94910"/>
    <s v="Činnosti náboženských organizací"/>
    <m/>
    <m/>
    <m/>
    <m/>
    <m/>
    <m/>
    <m/>
    <m/>
    <m/>
    <m/>
    <m/>
    <m/>
    <m/>
    <m/>
    <m/>
    <m/>
    <m/>
  </r>
  <r>
    <s v="48739502"/>
    <s v="Římskokatolická farnost Hovězí"/>
    <s v="722"/>
    <x v="5"/>
    <x v="1"/>
    <s v="Hovězí"/>
    <s v="Hovězí 5, PSČ 75601"/>
    <s v="94910"/>
    <s v="Činnosti náboženských organizací"/>
    <m/>
    <m/>
    <m/>
    <m/>
    <m/>
    <m/>
    <m/>
    <m/>
    <m/>
    <m/>
    <m/>
    <m/>
    <m/>
    <m/>
    <m/>
    <m/>
    <m/>
  </r>
  <r>
    <s v="46256474"/>
    <s v="Římskokatolická farnost Hradčovice"/>
    <s v="722"/>
    <x v="5"/>
    <x v="2"/>
    <s v="Hradčovice"/>
    <s v="Hradčovice 1, PSČ 68733"/>
    <s v="94910"/>
    <s v="Činnosti náboženských organizací"/>
    <m/>
    <m/>
    <m/>
    <m/>
    <m/>
    <m/>
    <m/>
    <m/>
    <m/>
    <m/>
    <m/>
    <m/>
    <m/>
    <m/>
    <m/>
    <m/>
    <m/>
  </r>
  <r>
    <s v="18189857"/>
    <s v="Římskokatolická farnost Hradisko u Kroměříže"/>
    <s v="722"/>
    <x v="5"/>
    <x v="3"/>
    <s v="Kroměříž"/>
    <s v="Kroměříž, Hradisko 26, PSČ 76701"/>
    <s v="94910"/>
    <s v="Činnosti náboženských organizací"/>
    <m/>
    <m/>
    <m/>
    <m/>
    <m/>
    <m/>
    <m/>
    <m/>
    <m/>
    <m/>
    <m/>
    <m/>
    <m/>
    <m/>
    <m/>
    <m/>
    <m/>
  </r>
  <r>
    <s v="46998357"/>
    <s v="Římskokatolická farnost Hulín"/>
    <s v="722"/>
    <x v="5"/>
    <x v="3"/>
    <s v="Hulín"/>
    <s v="Hulín, Kostelní 132, PSČ 76824"/>
    <s v="94910"/>
    <s v="Činnosti náboženských organizací"/>
    <m/>
    <m/>
    <m/>
    <m/>
    <m/>
    <m/>
    <m/>
    <m/>
    <m/>
    <m/>
    <m/>
    <m/>
    <m/>
    <m/>
    <m/>
    <m/>
    <m/>
  </r>
  <r>
    <s v="46254960"/>
    <s v="Římskokatolická farnost Huštěnovice"/>
    <s v="722"/>
    <x v="5"/>
    <x v="2"/>
    <s v="Huštěnovice"/>
    <s v="Huštěnovice 175, PSČ 68703"/>
    <s v="94910"/>
    <s v="Činnosti náboženských organizací"/>
    <m/>
    <m/>
    <m/>
    <m/>
    <m/>
    <m/>
    <m/>
    <m/>
    <m/>
    <m/>
    <m/>
    <m/>
    <m/>
    <m/>
    <m/>
    <m/>
    <m/>
  </r>
  <r>
    <s v="48739715"/>
    <s v="Římskokatolická farnost Hutisko"/>
    <s v="722"/>
    <x v="5"/>
    <x v="1"/>
    <s v="Hutisko-Solanec"/>
    <s v="Hutisko-Solanec, Solanec pod Soláněm 443, PSČ 75662"/>
    <s v="94910"/>
    <s v="Činnosti náboženských organizací"/>
    <m/>
    <m/>
    <m/>
    <m/>
    <m/>
    <m/>
    <m/>
    <m/>
    <m/>
    <m/>
    <m/>
    <m/>
    <m/>
    <m/>
    <m/>
    <m/>
    <m/>
  </r>
  <r>
    <s v="48471666"/>
    <s v="Římskokatolická farnost Hvozdná"/>
    <s v="722"/>
    <x v="5"/>
    <x v="0"/>
    <s v="Hvozdná"/>
    <s v="Hvozdná, Hlavní 58, PSČ 76310"/>
    <s v="94910"/>
    <s v="Činnosti náboženských organizací"/>
    <m/>
    <m/>
    <m/>
    <m/>
    <m/>
    <m/>
    <m/>
    <m/>
    <m/>
    <m/>
    <m/>
    <m/>
    <m/>
    <m/>
    <m/>
    <m/>
    <m/>
  </r>
  <r>
    <s v="46257951"/>
    <s v="Římskokatolická farnost Jalubí"/>
    <s v="722"/>
    <x v="5"/>
    <x v="2"/>
    <s v="Jalubí"/>
    <s v="Jalubí 140, PSČ 68705"/>
    <s v="94910"/>
    <s v="Činnosti náboženských organizací"/>
    <m/>
    <m/>
    <m/>
    <m/>
    <m/>
    <m/>
    <m/>
    <m/>
    <m/>
    <m/>
    <m/>
    <m/>
    <m/>
    <m/>
    <m/>
    <m/>
    <m/>
  </r>
  <r>
    <s v="46254986"/>
    <s v="Římskokatolická farnost Jankovice"/>
    <s v="722"/>
    <x v="5"/>
    <x v="2"/>
    <s v="Jalubí"/>
    <s v="Jalubí 140, PSČ 68705"/>
    <s v="94910"/>
    <s v="Činnosti náboženských organizací"/>
    <m/>
    <m/>
    <m/>
    <m/>
    <m/>
    <m/>
    <m/>
    <m/>
    <m/>
    <m/>
    <m/>
    <m/>
    <m/>
    <m/>
    <m/>
    <m/>
    <m/>
  </r>
  <r>
    <s v="48471674"/>
    <s v="Římskokatolická farnost Jasenná u Vizovic"/>
    <s v="722"/>
    <x v="5"/>
    <x v="0"/>
    <s v="Jasenná"/>
    <s v="Jasenná 61, PSČ 76313"/>
    <s v="94910"/>
    <s v="Činnosti náboženských organizací"/>
    <m/>
    <m/>
    <m/>
    <m/>
    <m/>
    <m/>
    <m/>
    <m/>
    <m/>
    <m/>
    <m/>
    <m/>
    <m/>
    <m/>
    <m/>
    <m/>
    <m/>
  </r>
  <r>
    <s v="48471682"/>
    <s v="Římskokatolická farnost Kašava"/>
    <s v="722"/>
    <x v="5"/>
    <x v="0"/>
    <s v="Kašava"/>
    <s v="Kašava 1, PSČ 76319"/>
    <s v="94910"/>
    <s v="Činnosti náboženských organizací"/>
    <m/>
    <m/>
    <m/>
    <m/>
    <m/>
    <m/>
    <m/>
    <m/>
    <m/>
    <m/>
    <m/>
    <m/>
    <m/>
    <m/>
    <m/>
    <m/>
    <m/>
  </r>
  <r>
    <s v="47658363"/>
    <s v="Římskokatolická farnost Kelč"/>
    <s v="722"/>
    <x v="5"/>
    <x v="1"/>
    <s v="Kelč"/>
    <s v="Kelč 107, PSČ 75643"/>
    <s v="94910"/>
    <s v="Činnosti náboženských organizací"/>
    <m/>
    <m/>
    <m/>
    <m/>
    <m/>
    <m/>
    <m/>
    <m/>
    <m/>
    <m/>
    <m/>
    <m/>
    <m/>
    <m/>
    <m/>
    <m/>
    <m/>
  </r>
  <r>
    <s v="46256482"/>
    <s v="Římskokatolická farnost Komňa"/>
    <s v="722"/>
    <x v="5"/>
    <x v="2"/>
    <s v="Komňa"/>
    <s v="Komňa 4, PSČ 68771"/>
    <s v="94910"/>
    <s v="Činnosti náboženských organizací"/>
    <m/>
    <m/>
    <m/>
    <m/>
    <m/>
    <m/>
    <m/>
    <m/>
    <m/>
    <m/>
    <m/>
    <m/>
    <m/>
    <m/>
    <m/>
    <m/>
    <m/>
  </r>
  <r>
    <s v="46998098"/>
    <s v="Římskokatolická farnost Koryčany"/>
    <s v="722"/>
    <x v="5"/>
    <x v="3"/>
    <s v="Koryčany"/>
    <s v="Koryčany, Náměstí 62, PSČ 76805"/>
    <s v="94910"/>
    <s v="Činnosti náboženských organizací"/>
    <m/>
    <m/>
    <m/>
    <m/>
    <m/>
    <m/>
    <m/>
    <m/>
    <m/>
    <m/>
    <m/>
    <m/>
    <m/>
    <m/>
    <m/>
    <m/>
    <m/>
  </r>
  <r>
    <s v="46256491"/>
    <s v="Římskokatolická farnost Korytná"/>
    <s v="722"/>
    <x v="5"/>
    <x v="2"/>
    <s v="Korytná"/>
    <s v="Korytná 139, PSČ 68752"/>
    <s v="94910"/>
    <s v="Činnosti náboženských organizací"/>
    <m/>
    <m/>
    <m/>
    <m/>
    <m/>
    <m/>
    <m/>
    <m/>
    <m/>
    <m/>
    <m/>
    <m/>
    <m/>
    <m/>
    <m/>
    <m/>
    <m/>
  </r>
  <r>
    <s v="46257896"/>
    <s v="Římskokatolická farnost Kostelany nad Moravou"/>
    <s v="722"/>
    <x v="5"/>
    <x v="2"/>
    <s v="Kostelany nad Moravou"/>
    <s v="Kostelany nad Moravou 354, PSČ 68601"/>
    <s v="94910"/>
    <s v="Činnosti náboženských organizací"/>
    <m/>
    <m/>
    <m/>
    <m/>
    <m/>
    <m/>
    <m/>
    <m/>
    <m/>
    <m/>
    <m/>
    <m/>
    <m/>
    <m/>
    <m/>
    <m/>
    <m/>
  </r>
  <r>
    <s v="46998438"/>
    <s v="Římskokatolická farnost Kostelec u Holešova"/>
    <s v="722"/>
    <x v="5"/>
    <x v="3"/>
    <s v="Kostelec u Holešova"/>
    <s v="Kostelec u Holešova 38, PSČ 76843"/>
    <s v="94910"/>
    <s v="Činnosti náboženských organizací"/>
    <m/>
    <m/>
    <m/>
    <m/>
    <m/>
    <m/>
    <m/>
    <m/>
    <m/>
    <m/>
    <m/>
    <m/>
    <m/>
    <m/>
    <m/>
    <m/>
    <m/>
  </r>
  <r>
    <s v="48489042"/>
    <s v="Římskokatolická farnost Kunovice"/>
    <s v="722"/>
    <x v="5"/>
    <x v="2"/>
    <s v="Kunovice"/>
    <s v="Kunovice, Farská 1340, PSČ 68604"/>
    <s v="94910"/>
    <s v="Činnosti náboženských organizací"/>
    <m/>
    <m/>
    <m/>
    <m/>
    <m/>
    <m/>
    <m/>
    <m/>
    <m/>
    <m/>
    <m/>
    <m/>
    <m/>
    <m/>
    <m/>
    <m/>
    <m/>
  </r>
  <r>
    <s v="60382856"/>
    <s v="Římskokatolická farnost Kurovice"/>
    <s v="722"/>
    <x v="5"/>
    <x v="3"/>
    <s v="Kurovice"/>
    <s v="Kurovice 50, PSČ 76852"/>
    <s v="94910"/>
    <s v="Činnosti náboženských organizací"/>
    <m/>
    <m/>
    <m/>
    <m/>
    <m/>
    <m/>
    <m/>
    <m/>
    <m/>
    <m/>
    <m/>
    <m/>
    <m/>
    <m/>
    <m/>
    <m/>
    <m/>
  </r>
  <r>
    <s v="46998331"/>
    <s v="Římskokatolická farnost Kvasice"/>
    <s v="722"/>
    <x v="5"/>
    <x v="3"/>
    <s v="Kvasice"/>
    <s v="Kvasice, A. Dohnala 17, PSČ 76821"/>
    <s v="94910"/>
    <s v="Činnosti náboženských organizací"/>
    <m/>
    <m/>
    <m/>
    <m/>
    <m/>
    <m/>
    <m/>
    <m/>
    <m/>
    <m/>
    <m/>
    <m/>
    <m/>
    <m/>
    <m/>
    <m/>
    <m/>
  </r>
  <r>
    <s v="46998381"/>
    <s v="Římskokatolická farnost Kyselovice"/>
    <s v="722"/>
    <x v="5"/>
    <x v="3"/>
    <s v="Kyselovice"/>
    <s v="Kyselovice 61, PSČ 76811"/>
    <s v="94910"/>
    <s v="Činnosti náboženských organizací"/>
    <m/>
    <m/>
    <m/>
    <m/>
    <m/>
    <m/>
    <m/>
    <m/>
    <m/>
    <m/>
    <m/>
    <m/>
    <m/>
    <m/>
    <m/>
    <m/>
    <m/>
  </r>
  <r>
    <s v="48739723"/>
    <s v="Římskokatolická farnost Lešná"/>
    <s v="722"/>
    <x v="5"/>
    <x v="1"/>
    <s v="Lešná"/>
    <s v="Lešná 37, PSČ 75641"/>
    <s v="94910"/>
    <s v="Činnosti náboženských organizací"/>
    <m/>
    <m/>
    <m/>
    <m/>
    <m/>
    <m/>
    <m/>
    <m/>
    <m/>
    <m/>
    <m/>
    <m/>
    <m/>
    <m/>
    <m/>
    <m/>
    <m/>
  </r>
  <r>
    <s v="46277307"/>
    <s v="Římskokatolická farnost Lhota u Malenovic"/>
    <s v="722"/>
    <x v="5"/>
    <x v="0"/>
    <s v="Lhota"/>
    <s v="Lhota 36, PSČ 76302"/>
    <s v="94910"/>
    <s v="Činnosti náboženských organizací"/>
    <m/>
    <m/>
    <m/>
    <m/>
    <m/>
    <m/>
    <m/>
    <m/>
    <m/>
    <m/>
    <m/>
    <m/>
    <m/>
    <m/>
    <m/>
    <m/>
    <m/>
  </r>
  <r>
    <s v="48739448"/>
    <s v="Římskokatolická farnost Lidečko"/>
    <s v="722"/>
    <x v="5"/>
    <x v="1"/>
    <s v="Lidečko"/>
    <s v="Lidečko 37, PSČ 75612"/>
    <s v="94910"/>
    <s v="Činnosti náboženských organizací"/>
    <m/>
    <m/>
    <m/>
    <m/>
    <m/>
    <m/>
    <m/>
    <m/>
    <m/>
    <m/>
    <m/>
    <m/>
    <m/>
    <m/>
    <m/>
    <m/>
    <m/>
  </r>
  <r>
    <s v="48739464"/>
    <s v="Římskokatolická farnost Liptál"/>
    <s v="722"/>
    <x v="5"/>
    <x v="1"/>
    <s v="Liptál"/>
    <s v="Liptál 170, PSČ 75631"/>
    <s v="94910"/>
    <s v="Činnosti náboženských organizací"/>
    <m/>
    <m/>
    <m/>
    <m/>
    <m/>
    <m/>
    <m/>
    <m/>
    <m/>
    <m/>
    <m/>
    <m/>
    <m/>
    <m/>
    <m/>
    <m/>
    <m/>
  </r>
  <r>
    <s v="46998322"/>
    <s v="Římskokatolická farnost Litenčice"/>
    <s v="722"/>
    <x v="5"/>
    <x v="3"/>
    <s v="Litenčice"/>
    <s v="Litenčice 71, PSČ 76813"/>
    <s v="94910"/>
    <s v="Činnosti náboženských organizací"/>
    <m/>
    <m/>
    <m/>
    <m/>
    <m/>
    <m/>
    <m/>
    <m/>
    <m/>
    <m/>
    <m/>
    <m/>
    <m/>
    <m/>
    <m/>
    <m/>
    <m/>
  </r>
  <r>
    <s v="48739707"/>
    <s v="Římskokatolická farnost Loučka u Valašského Meziříčí"/>
    <s v="722"/>
    <x v="5"/>
    <x v="1"/>
    <s v="Loučka"/>
    <s v="Loučka 39, PSČ 75644"/>
    <s v="94910"/>
    <s v="Činnosti náboženských organizací"/>
    <m/>
    <m/>
    <m/>
    <m/>
    <m/>
    <m/>
    <m/>
    <m/>
    <m/>
    <m/>
    <m/>
    <m/>
    <m/>
    <m/>
    <m/>
    <m/>
    <m/>
  </r>
  <r>
    <s v="47930357"/>
    <s v="Římskokatolická farnost Loukov"/>
    <s v="722"/>
    <x v="5"/>
    <x v="3"/>
    <s v="Loukov"/>
    <s v="Loukov 41, PSČ 76875"/>
    <s v="94910"/>
    <s v="Činnosti náboženských organizací"/>
    <m/>
    <m/>
    <m/>
    <m/>
    <m/>
    <m/>
    <m/>
    <m/>
    <m/>
    <m/>
    <m/>
    <m/>
    <m/>
    <m/>
    <m/>
    <m/>
    <m/>
  </r>
  <r>
    <s v="46998420"/>
    <s v="Římskokatolická farnost Ludslavice"/>
    <s v="722"/>
    <x v="5"/>
    <x v="3"/>
    <s v="Ludslavice"/>
    <s v="Ludslavice 157, PSČ 76852"/>
    <s v="94910"/>
    <s v="Činnosti náboženských organizací"/>
    <m/>
    <m/>
    <m/>
    <m/>
    <m/>
    <m/>
    <m/>
    <m/>
    <m/>
    <m/>
    <m/>
    <m/>
    <m/>
    <m/>
    <m/>
    <m/>
    <m/>
  </r>
  <r>
    <s v="00543080"/>
    <s v="Římskokatolická farnost Luhačovice"/>
    <s v="722"/>
    <x v="5"/>
    <x v="0"/>
    <s v="Luhačovice"/>
    <s v="Luhačovice, Pod Kamennou 1000, PSČ 76326"/>
    <s v="94910"/>
    <s v="Činnosti náboženských organizací"/>
    <m/>
    <m/>
    <m/>
    <m/>
    <m/>
    <m/>
    <m/>
    <m/>
    <m/>
    <m/>
    <m/>
    <m/>
    <m/>
    <m/>
    <m/>
    <m/>
    <m/>
  </r>
  <r>
    <s v="48471691"/>
    <s v="Římskokatolická farnost Lukov"/>
    <s v="722"/>
    <x v="5"/>
    <x v="0"/>
    <s v="Lukov"/>
    <s v="Lukov, Pod Kaštany 79, PSČ 76317"/>
    <s v="94910"/>
    <s v="Činnosti náboženských organizací"/>
    <m/>
    <m/>
    <m/>
    <m/>
    <m/>
    <m/>
    <m/>
    <m/>
    <m/>
    <m/>
    <m/>
    <m/>
    <m/>
    <m/>
    <m/>
    <m/>
    <m/>
  </r>
  <r>
    <s v="18190341"/>
    <s v="Římskokatolická farnost Morkovice"/>
    <s v="722"/>
    <x v="5"/>
    <x v="3"/>
    <s v="Morkovice-Slížany"/>
    <s v="Morkovice-Slížany, Morkovice, Nádražní 17, PSČ 76833"/>
    <s v="94910"/>
    <s v="Činnosti náboženských organizací"/>
    <m/>
    <m/>
    <m/>
    <m/>
    <m/>
    <m/>
    <m/>
    <m/>
    <m/>
    <m/>
    <m/>
    <m/>
    <m/>
    <m/>
    <m/>
    <m/>
    <m/>
  </r>
  <r>
    <s v="48471780"/>
    <s v="Římskokatolická farnost Mysločovice"/>
    <s v="722"/>
    <x v="5"/>
    <x v="0"/>
    <s v="Mysločovice"/>
    <s v="Mysločovice 10, PSČ 76301"/>
    <s v="94910"/>
    <s v="Činnosti náboženských organizací"/>
    <m/>
    <m/>
    <m/>
    <m/>
    <m/>
    <m/>
    <m/>
    <m/>
    <m/>
    <m/>
    <m/>
    <m/>
    <m/>
    <m/>
    <m/>
    <m/>
    <m/>
  </r>
  <r>
    <s v="48471755"/>
    <s v="Římskokatolická farnost Napajedla"/>
    <s v="722"/>
    <x v="5"/>
    <x v="0"/>
    <s v="Napajedla"/>
    <s v="Napajedla, Masarykovo náměstí 213, PSČ 76361"/>
    <s v="94910"/>
    <s v="Činnosti náboženských organizací"/>
    <m/>
    <m/>
    <m/>
    <m/>
    <m/>
    <m/>
    <m/>
    <m/>
    <m/>
    <m/>
    <m/>
    <m/>
    <m/>
    <m/>
    <m/>
    <m/>
    <m/>
  </r>
  <r>
    <s v="46257900"/>
    <s v="Římskokatolická farnost Nedakonice"/>
    <s v="722"/>
    <x v="5"/>
    <x v="2"/>
    <s v="Nedakonice"/>
    <s v="Nedakonice 307, PSČ 68738"/>
    <s v="94910"/>
    <s v="Činnosti náboženských organizací"/>
    <m/>
    <m/>
    <m/>
    <m/>
    <m/>
    <m/>
    <m/>
    <m/>
    <m/>
    <m/>
    <m/>
    <m/>
    <m/>
    <m/>
    <m/>
    <m/>
    <m/>
  </r>
  <r>
    <s v="66599229"/>
    <s v="Římskokatolická farnost Nedašov"/>
    <s v="722"/>
    <x v="5"/>
    <x v="0"/>
    <s v="Nedašov"/>
    <s v="Nedašov 72, PSČ 76332"/>
    <s v="94910"/>
    <s v="Činnosti náboženských organizací"/>
    <m/>
    <m/>
    <m/>
    <m/>
    <m/>
    <m/>
    <m/>
    <m/>
    <m/>
    <m/>
    <m/>
    <m/>
    <m/>
    <m/>
    <m/>
    <m/>
    <m/>
  </r>
  <r>
    <s v="46256504"/>
    <s v="Římskokatolická farnost Nezdenice"/>
    <s v="722"/>
    <x v="5"/>
    <x v="2"/>
    <s v="Nezdenice"/>
    <s v="Nezdenice 1, PSČ 68732"/>
    <s v="94910"/>
    <s v="Činnosti náboženských organizací"/>
    <m/>
    <m/>
    <m/>
    <m/>
    <m/>
    <m/>
    <m/>
    <m/>
    <m/>
    <m/>
    <m/>
    <m/>
    <m/>
    <m/>
    <m/>
    <m/>
    <m/>
  </r>
  <r>
    <s v="46256512"/>
    <s v="Římskokatolická farnost Nivnice"/>
    <s v="722"/>
    <x v="5"/>
    <x v="2"/>
    <s v="Nivnice"/>
    <s v="Nivnice, náměstí Míru 178, PSČ 68751"/>
    <s v="94910"/>
    <s v="Činnosti náboženských organizací"/>
    <m/>
    <m/>
    <m/>
    <m/>
    <m/>
    <m/>
    <m/>
    <m/>
    <m/>
    <m/>
    <m/>
    <m/>
    <m/>
    <m/>
    <m/>
    <m/>
    <m/>
  </r>
  <r>
    <s v="47997940"/>
    <s v="Římskokatolická farnost Nový Hrozenkov"/>
    <s v="722"/>
    <x v="5"/>
    <x v="1"/>
    <s v="Nový Hrozenkov"/>
    <s v="Nový Hrozenkov 460, PSČ 75604"/>
    <s v="94910"/>
    <s v="Činnosti náboženských organizací"/>
    <m/>
    <m/>
    <m/>
    <m/>
    <m/>
    <m/>
    <m/>
    <m/>
    <m/>
    <m/>
    <m/>
    <m/>
    <m/>
    <m/>
    <m/>
    <m/>
    <m/>
  </r>
  <r>
    <s v="46257985"/>
    <s v="Římskokatolická farnost Ostrožská Lhota"/>
    <s v="722"/>
    <x v="5"/>
    <x v="2"/>
    <s v="Ostrožská Lhota"/>
    <s v="Ostrožská Lhota 64, PSČ 68723"/>
    <s v="94910"/>
    <s v="Činnosti náboženských organizací"/>
    <m/>
    <m/>
    <m/>
    <m/>
    <m/>
    <m/>
    <m/>
    <m/>
    <m/>
    <m/>
    <m/>
    <m/>
    <m/>
    <m/>
    <m/>
    <m/>
    <m/>
  </r>
  <r>
    <s v="46257977"/>
    <s v="Římskokatolická farnost Ostrožská Nová Ves"/>
    <s v="722"/>
    <x v="5"/>
    <x v="2"/>
    <s v="Ostrožská Nová Ves"/>
    <s v="Ostrožská Nová Ves, Dědina 152, PSČ 68722"/>
    <s v="94910"/>
    <s v="Činnosti náboženských organizací"/>
    <m/>
    <m/>
    <m/>
    <m/>
    <m/>
    <m/>
    <m/>
    <m/>
    <m/>
    <m/>
    <m/>
    <m/>
    <m/>
    <m/>
    <m/>
    <m/>
    <m/>
  </r>
  <r>
    <s v="46257861"/>
    <s v="Římskokatolická farnost Osvětimany"/>
    <s v="722"/>
    <x v="5"/>
    <x v="2"/>
    <s v="Osvětimany"/>
    <s v="Osvětimany 54, PSČ 68742"/>
    <s v="94910"/>
    <s v="Činnosti náboženských organizací"/>
    <m/>
    <m/>
    <m/>
    <m/>
    <m/>
    <m/>
    <m/>
    <m/>
    <m/>
    <m/>
    <m/>
    <m/>
    <m/>
    <m/>
    <m/>
    <m/>
    <m/>
  </r>
  <r>
    <s v="44125909"/>
    <s v="Římskokatolická farnost Otrokovice"/>
    <s v="722"/>
    <x v="5"/>
    <x v="0"/>
    <s v="Otrokovice"/>
    <s v="Otrokovice, nám. 3. května 166, PSČ 76502"/>
    <s v="94910"/>
    <s v="Činnosti náboženských organizací"/>
    <m/>
    <m/>
    <m/>
    <m/>
    <m/>
    <m/>
    <m/>
    <m/>
    <m/>
    <m/>
    <m/>
    <m/>
    <m/>
    <m/>
    <m/>
    <m/>
    <m/>
  </r>
  <r>
    <s v="18190359"/>
    <s v="Římskokatolická farnost Pačlavice"/>
    <s v="722"/>
    <x v="5"/>
    <x v="3"/>
    <s v="Pačlavice"/>
    <s v="Pačlavice 21, PSČ 76834"/>
    <s v="94910"/>
    <s v="Činnosti náboženských organizací"/>
    <m/>
    <m/>
    <m/>
    <m/>
    <m/>
    <m/>
    <m/>
    <m/>
    <m/>
    <m/>
    <m/>
    <m/>
    <m/>
    <m/>
    <m/>
    <m/>
    <m/>
  </r>
  <r>
    <s v="46998110"/>
    <s v="Římskokatolická farnost Panny Marie Kroměříž"/>
    <s v="722"/>
    <x v="5"/>
    <x v="3"/>
    <s v="Kroměříž"/>
    <s v="Kroměříž, Riegrovo náměstí 165/3, PSČ 76701"/>
    <s v="94910"/>
    <s v="Činnosti náboženských organizací"/>
    <m/>
    <m/>
    <m/>
    <m/>
    <m/>
    <m/>
    <m/>
    <m/>
    <m/>
    <m/>
    <m/>
    <m/>
    <m/>
    <m/>
    <m/>
    <m/>
    <m/>
  </r>
  <r>
    <s v="73633747"/>
    <s v="Římskokatolická farnost Panny Marie Pomocnice křesťanů Zlín"/>
    <s v="722"/>
    <x v="5"/>
    <x v="0"/>
    <s v="Zlín"/>
    <s v="Zlín, Okružní 5430, PSČ 76005"/>
    <s v="94910"/>
    <s v="Činnosti náboženských organizací"/>
    <m/>
    <m/>
    <m/>
    <m/>
    <m/>
    <m/>
    <m/>
    <m/>
    <m/>
    <m/>
    <m/>
    <m/>
    <m/>
    <m/>
    <m/>
    <m/>
    <m/>
  </r>
  <r>
    <s v="46256521"/>
    <s v="Římskokatolická farnost Pitín"/>
    <s v="722"/>
    <x v="5"/>
    <x v="2"/>
    <s v="Pitín"/>
    <s v="Pitín 113, PSČ 68771"/>
    <s v="94910"/>
    <s v="Činnosti náboženských organizací"/>
    <m/>
    <m/>
    <m/>
    <m/>
    <m/>
    <m/>
    <m/>
    <m/>
    <m/>
    <m/>
    <m/>
    <m/>
    <m/>
    <m/>
    <m/>
    <m/>
    <m/>
  </r>
  <r>
    <s v="46998179"/>
    <s v="Římskokatolická farnost Počenice"/>
    <s v="722"/>
    <x v="5"/>
    <x v="3"/>
    <s v="Počenice-Tetětice"/>
    <s v="Počenice-Tetětice, Počenice 94, PSČ 76833"/>
    <s v="94910"/>
    <s v="Činnosti náboženských organizací"/>
    <m/>
    <m/>
    <m/>
    <m/>
    <m/>
    <m/>
    <m/>
    <m/>
    <m/>
    <m/>
    <m/>
    <m/>
    <m/>
    <m/>
    <m/>
    <m/>
    <m/>
  </r>
  <r>
    <s v="48471763"/>
    <s v="Římskokatolická farnost Pohořelice"/>
    <s v="722"/>
    <x v="5"/>
    <x v="0"/>
    <s v="Pohořelice"/>
    <s v="Pohořelice, Farská 18, PSČ 76361"/>
    <s v="94910"/>
    <s v="Činnosti náboženských organizací"/>
    <m/>
    <m/>
    <m/>
    <m/>
    <m/>
    <m/>
    <m/>
    <m/>
    <m/>
    <m/>
    <m/>
    <m/>
    <m/>
    <m/>
    <m/>
    <m/>
    <m/>
  </r>
  <r>
    <s v="48489018"/>
    <s v="Římskokatolická farnost Polešovice"/>
    <s v="722"/>
    <x v="5"/>
    <x v="2"/>
    <s v="Polešovice"/>
    <s v="Polešovice 228, PSČ 68737"/>
    <s v="94910"/>
    <s v="Činnosti náboženských organizací"/>
    <m/>
    <m/>
    <m/>
    <m/>
    <m/>
    <m/>
    <m/>
    <m/>
    <m/>
    <m/>
    <m/>
    <m/>
    <m/>
    <m/>
    <m/>
    <m/>
    <m/>
  </r>
  <r>
    <s v="46257942"/>
    <s v="Římskokatolická farnost Popovice u Uherského Hradiště"/>
    <s v="722"/>
    <x v="5"/>
    <x v="2"/>
    <s v="Popovice"/>
    <s v="Popovice 186, PSČ 68604"/>
    <s v="94910"/>
    <s v="Činnosti náboženských organizací"/>
    <m/>
    <m/>
    <m/>
    <m/>
    <m/>
    <m/>
    <m/>
    <m/>
    <m/>
    <m/>
    <m/>
    <m/>
    <m/>
    <m/>
    <m/>
    <m/>
    <m/>
  </r>
  <r>
    <s v="48739421"/>
    <s v="Římskokatolická farnost Pozděchov"/>
    <s v="722"/>
    <x v="5"/>
    <x v="1"/>
    <s v="Pozděchov"/>
    <s v="Pozděchov 72, PSČ 75611"/>
    <s v="94910"/>
    <s v="Činnosti náboženských organizací"/>
    <m/>
    <m/>
    <m/>
    <m/>
    <m/>
    <m/>
    <m/>
    <m/>
    <m/>
    <m/>
    <m/>
    <m/>
    <m/>
    <m/>
    <m/>
    <m/>
    <m/>
  </r>
  <r>
    <s v="48473642"/>
    <s v="Římskokatolická farnost Pozlovice"/>
    <s v="722"/>
    <x v="5"/>
    <x v="0"/>
    <s v="Pozlovice"/>
    <s v="Pozlovice, Hlavní 39, PSČ 76326"/>
    <s v="94910"/>
    <s v="Činnosti náboženských organizací"/>
    <m/>
    <m/>
    <m/>
    <m/>
    <m/>
    <m/>
    <m/>
    <m/>
    <m/>
    <m/>
    <m/>
    <m/>
    <m/>
    <m/>
    <m/>
    <m/>
    <m/>
  </r>
  <r>
    <s v="46256539"/>
    <s v="Římskokatolická farnost Prakšice"/>
    <s v="722"/>
    <x v="5"/>
    <x v="2"/>
    <s v="Prakšice"/>
    <s v="Prakšice 184, PSČ 68756"/>
    <s v="94910"/>
    <s v="Činnosti náboženských organizací"/>
    <m/>
    <m/>
    <m/>
    <m/>
    <m/>
    <m/>
    <m/>
    <m/>
    <m/>
    <m/>
    <m/>
    <m/>
    <m/>
    <m/>
    <m/>
    <m/>
    <m/>
  </r>
  <r>
    <s v="18190332"/>
    <s v="Římskokatolická farnost Prasklice"/>
    <s v="722"/>
    <x v="5"/>
    <x v="3"/>
    <s v="Prasklice"/>
    <s v="Prasklice 105, PSČ 76833"/>
    <s v="94910"/>
    <s v="Činnosti náboženských organizací"/>
    <m/>
    <m/>
    <m/>
    <m/>
    <m/>
    <m/>
    <m/>
    <m/>
    <m/>
    <m/>
    <m/>
    <m/>
    <m/>
    <m/>
    <m/>
    <m/>
    <m/>
  </r>
  <r>
    <s v="46998241"/>
    <s v="Římskokatolická farnost Pravčice"/>
    <s v="722"/>
    <x v="5"/>
    <x v="3"/>
    <s v="Pravčice"/>
    <s v="Pravčice 5, PSČ 76824"/>
    <s v="94910"/>
    <s v="Činnosti náboženských organizací"/>
    <m/>
    <m/>
    <m/>
    <m/>
    <m/>
    <m/>
    <m/>
    <m/>
    <m/>
    <m/>
    <m/>
    <m/>
    <m/>
    <m/>
    <m/>
    <m/>
    <m/>
  </r>
  <r>
    <s v="48471704"/>
    <s v="Římskokatolická farnost Provodov"/>
    <s v="722"/>
    <x v="5"/>
    <x v="0"/>
    <s v="Provodov"/>
    <s v="Provodov 200, PSČ 76345"/>
    <s v="94910"/>
    <s v="Činnosti náboženských organizací"/>
    <m/>
    <m/>
    <m/>
    <m/>
    <m/>
    <m/>
    <m/>
    <m/>
    <m/>
    <m/>
    <m/>
    <m/>
    <m/>
    <m/>
    <m/>
    <m/>
    <m/>
  </r>
  <r>
    <s v="46998268"/>
    <s v="Římskokatolická farnost Prusinovice"/>
    <s v="722"/>
    <x v="5"/>
    <x v="3"/>
    <s v="Prusinovice"/>
    <s v="Prusinovice, Zámčisko 30, PSČ 76842"/>
    <s v="94910"/>
    <s v="Činnosti náboženských organizací"/>
    <m/>
    <m/>
    <m/>
    <m/>
    <m/>
    <m/>
    <m/>
    <m/>
    <m/>
    <m/>
    <m/>
    <m/>
    <m/>
    <m/>
    <m/>
    <m/>
    <m/>
  </r>
  <r>
    <s v="48739405"/>
    <s v="Římskokatolická farnost Pržno"/>
    <s v="722"/>
    <x v="5"/>
    <x v="1"/>
    <s v="Pržno"/>
    <s v="Pržno 52, PSČ 75623"/>
    <s v="94910"/>
    <s v="Činnosti náboženských organizací"/>
    <m/>
    <m/>
    <m/>
    <m/>
    <m/>
    <m/>
    <m/>
    <m/>
    <m/>
    <m/>
    <m/>
    <m/>
    <m/>
    <m/>
    <m/>
    <m/>
    <m/>
  </r>
  <r>
    <s v="47930411"/>
    <s v="Římskokatolická farnost Rajnochovice"/>
    <s v="722"/>
    <x v="5"/>
    <x v="3"/>
    <s v="Rajnochovice"/>
    <s v="Rajnochovice 12, PSČ 76871"/>
    <s v="94910"/>
    <s v="Činnosti náboženských organizací"/>
    <m/>
    <m/>
    <m/>
    <m/>
    <m/>
    <m/>
    <m/>
    <m/>
    <m/>
    <m/>
    <m/>
    <m/>
    <m/>
    <m/>
    <m/>
    <m/>
    <m/>
  </r>
  <r>
    <s v="46998195"/>
    <s v="Římskokatolická farnost Rataje u Kroměříže"/>
    <s v="722"/>
    <x v="5"/>
    <x v="3"/>
    <s v="Rataje"/>
    <s v="Rataje 30, PSČ 76812"/>
    <s v="94910"/>
    <s v="Činnosti náboženských organizací"/>
    <m/>
    <m/>
    <m/>
    <m/>
    <m/>
    <m/>
    <m/>
    <m/>
    <m/>
    <m/>
    <m/>
    <m/>
    <m/>
    <m/>
    <m/>
    <m/>
    <m/>
  </r>
  <r>
    <s v="46998225"/>
    <s v="Římskokatolická farnost Roštín"/>
    <s v="722"/>
    <x v="5"/>
    <x v="3"/>
    <s v="Roštín"/>
    <s v="Roštín 27, PSČ 76803"/>
    <s v="94910"/>
    <s v="Činnosti náboženských organizací"/>
    <m/>
    <m/>
    <m/>
    <m/>
    <m/>
    <m/>
    <m/>
    <m/>
    <m/>
    <m/>
    <m/>
    <m/>
    <m/>
    <m/>
    <m/>
    <m/>
    <m/>
  </r>
  <r>
    <s v="47997796"/>
    <s v="Římskokatolická farnost Rožnov pod Radhoštěm"/>
    <s v="722"/>
    <x v="5"/>
    <x v="1"/>
    <s v="Rožnov pod Radhoštěm"/>
    <s v="Rožnov pod Radhoštěm, Pivovarská 31, PSČ 75661"/>
    <s v="94910"/>
    <s v="Činnosti náboženských organizací"/>
    <m/>
    <m/>
    <m/>
    <m/>
    <m/>
    <m/>
    <m/>
    <m/>
    <m/>
    <m/>
    <m/>
    <m/>
    <m/>
    <m/>
    <m/>
    <m/>
    <m/>
  </r>
  <r>
    <s v="46256547"/>
    <s v="Římskokatolická farnost Rudice"/>
    <s v="722"/>
    <x v="5"/>
    <x v="2"/>
    <s v="Rudice"/>
    <s v="Rudice 49, PSČ 68732"/>
    <s v="94910"/>
    <s v="Činnosti náboženských organizací"/>
    <m/>
    <m/>
    <m/>
    <m/>
    <m/>
    <m/>
    <m/>
    <m/>
    <m/>
    <m/>
    <m/>
    <m/>
    <m/>
    <m/>
    <m/>
    <m/>
    <m/>
  </r>
  <r>
    <s v="47930250"/>
    <s v="Římskokatolická farnost Rusava"/>
    <s v="722"/>
    <x v="5"/>
    <x v="3"/>
    <s v="Rusava"/>
    <s v="Rusava 54, PSČ 76841"/>
    <s v="94910"/>
    <s v="Činnosti náboženských organizací"/>
    <m/>
    <m/>
    <m/>
    <m/>
    <m/>
    <m/>
    <m/>
    <m/>
    <m/>
    <m/>
    <m/>
    <m/>
    <m/>
    <m/>
    <m/>
    <m/>
    <m/>
  </r>
  <r>
    <s v="48739413"/>
    <s v="Římskokatolická farnost Růžďka"/>
    <s v="722"/>
    <x v="5"/>
    <x v="1"/>
    <s v="Růžďka"/>
    <s v="Růžďka 195, PSČ 75625"/>
    <s v="94910"/>
    <s v="Činnosti náboženských organizací"/>
    <m/>
    <m/>
    <m/>
    <m/>
    <m/>
    <m/>
    <m/>
    <m/>
    <m/>
    <m/>
    <m/>
    <m/>
    <m/>
    <m/>
    <m/>
    <m/>
    <m/>
  </r>
  <r>
    <s v="46998454"/>
    <s v="Římskokatolická farnost Rymice"/>
    <s v="722"/>
    <x v="5"/>
    <x v="3"/>
    <s v="Rymice"/>
    <s v="Rymice 55, PSČ 76901"/>
    <s v="94910"/>
    <s v="Činnosti náboženských organizací"/>
    <m/>
    <m/>
    <m/>
    <m/>
    <m/>
    <m/>
    <m/>
    <m/>
    <m/>
    <m/>
    <m/>
    <m/>
    <m/>
    <m/>
    <m/>
    <m/>
    <m/>
  </r>
  <r>
    <s v="48473626"/>
    <s v="Římskokatolická farnost Slavičín"/>
    <s v="722"/>
    <x v="5"/>
    <x v="0"/>
    <s v="Slavičín"/>
    <s v="Slavičín, Komenského 4, PSČ 76321"/>
    <s v="94910"/>
    <s v="Činnosti náboženských organizací"/>
    <m/>
    <m/>
    <m/>
    <m/>
    <m/>
    <m/>
    <m/>
    <m/>
    <m/>
    <m/>
    <m/>
    <m/>
    <m/>
    <m/>
    <m/>
    <m/>
    <m/>
  </r>
  <r>
    <s v="00558389"/>
    <s v="Římskokatolická farnost Slušovice"/>
    <s v="722"/>
    <x v="5"/>
    <x v="0"/>
    <s v="Slušovice"/>
    <s v="Slušovice, Hřbitovní 26, PSČ 76315"/>
    <s v="94910"/>
    <s v="Činnosti náboženských organizací"/>
    <m/>
    <m/>
    <m/>
    <m/>
    <m/>
    <m/>
    <m/>
    <m/>
    <m/>
    <m/>
    <m/>
    <m/>
    <m/>
    <m/>
    <m/>
    <m/>
    <m/>
  </r>
  <r>
    <s v="48471771"/>
    <s v="Římskokatolická farnost Spytihněv"/>
    <s v="722"/>
    <x v="5"/>
    <x v="0"/>
    <s v="Spytihněv"/>
    <s v="Spytihněv 1, PSČ 76364"/>
    <s v="94910"/>
    <s v="Činnosti náboženských organizací"/>
    <m/>
    <m/>
    <m/>
    <m/>
    <m/>
    <m/>
    <m/>
    <m/>
    <m/>
    <m/>
    <m/>
    <m/>
    <m/>
    <m/>
    <m/>
    <m/>
    <m/>
  </r>
  <r>
    <s v="46257934"/>
    <s v="Římskokatolická farnost Staré Město u Uherského Hradiště"/>
    <s v="722"/>
    <x v="5"/>
    <x v="2"/>
    <s v="Staré Město"/>
    <s v="Staré Město, náměstí Hrdinů 8, PSČ 68603"/>
    <s v="94910"/>
    <s v="Činnosti náboženských organizací"/>
    <m/>
    <m/>
    <m/>
    <m/>
    <m/>
    <m/>
    <m/>
    <m/>
    <m/>
    <m/>
    <m/>
    <m/>
    <m/>
    <m/>
    <m/>
    <m/>
    <m/>
  </r>
  <r>
    <s v="46256563"/>
    <s v="Římskokatolická farnost Starý Hrozenkov"/>
    <s v="722"/>
    <x v="5"/>
    <x v="2"/>
    <s v="Starý Hrozenkov"/>
    <s v="Starý Hrozenkov 79, PSČ 68774"/>
    <s v="94910"/>
    <s v="Činnosti náboženských organizací"/>
    <m/>
    <m/>
    <m/>
    <m/>
    <m/>
    <m/>
    <m/>
    <m/>
    <m/>
    <m/>
    <m/>
    <m/>
    <m/>
    <m/>
    <m/>
    <m/>
    <m/>
  </r>
  <r>
    <s v="46256571"/>
    <s v="Římskokatolická farnost Strání"/>
    <s v="722"/>
    <x v="5"/>
    <x v="2"/>
    <s v="Strání"/>
    <s v="Strání, nám. P. St. Spáčila 1110, PSČ 68765"/>
    <s v="94910"/>
    <s v="Činnosti náboženských organizací"/>
    <m/>
    <m/>
    <m/>
    <m/>
    <m/>
    <m/>
    <m/>
    <m/>
    <m/>
    <m/>
    <m/>
    <m/>
    <m/>
    <m/>
    <m/>
    <m/>
    <m/>
  </r>
  <r>
    <s v="46257853"/>
    <s v="Římskokatolická farnost Stříbrnice"/>
    <s v="722"/>
    <x v="5"/>
    <x v="2"/>
    <s v="Stříbrnice"/>
    <s v="Stříbrnice 39, PSČ 68709"/>
    <s v="94910"/>
    <s v="Činnosti náboženských organizací"/>
    <m/>
    <m/>
    <m/>
    <m/>
    <m/>
    <m/>
    <m/>
    <m/>
    <m/>
    <m/>
    <m/>
    <m/>
    <m/>
    <m/>
    <m/>
    <m/>
    <m/>
  </r>
  <r>
    <s v="46998411"/>
    <s v="Římskokatolická farnost Střílky"/>
    <s v="722"/>
    <x v="5"/>
    <x v="3"/>
    <s v="Střílky"/>
    <s v="Střílky, Koryčanská 60, PSČ 76804"/>
    <s v="94910"/>
    <s v="Činnosti náboženských organizací"/>
    <m/>
    <m/>
    <m/>
    <m/>
    <m/>
    <m/>
    <m/>
    <m/>
    <m/>
    <m/>
    <m/>
    <m/>
    <m/>
    <m/>
    <m/>
    <m/>
    <m/>
  </r>
  <r>
    <s v="40995356"/>
    <s v="Římskokatolická farnost svatého Filipa a Jakuba Zlín"/>
    <s v="722"/>
    <x v="5"/>
    <x v="0"/>
    <s v="Zlín"/>
    <s v="Zlín, Sadová 149, PSČ 76001"/>
    <s v="94910"/>
    <s v="Činnosti náboženských organizací"/>
    <m/>
    <m/>
    <m/>
    <m/>
    <m/>
    <m/>
    <m/>
    <m/>
    <m/>
    <m/>
    <m/>
    <m/>
    <m/>
    <m/>
    <m/>
    <m/>
    <m/>
  </r>
  <r>
    <s v="65268831"/>
    <s v="Římskokatolická farnost svatého Mořice Kroměříž"/>
    <s v="722"/>
    <x v="5"/>
    <x v="3"/>
    <s v="Kroměříž"/>
    <s v="Kroměříž, Stojanovo náměstí 5/3, PSČ 76701"/>
    <s v="94910"/>
    <s v="Činnosti náboženských organizací"/>
    <m/>
    <m/>
    <m/>
    <m/>
    <m/>
    <m/>
    <m/>
    <m/>
    <m/>
    <m/>
    <m/>
    <m/>
    <m/>
    <m/>
    <m/>
    <m/>
    <m/>
  </r>
  <r>
    <s v="48471712"/>
    <s v="Římskokatolická farnost Štípa"/>
    <s v="722"/>
    <x v="5"/>
    <x v="0"/>
    <s v="Zlín"/>
    <s v="Zlín, Štípa, Mariánské náměstí 57, PSČ 76314"/>
    <s v="94910"/>
    <s v="Činnosti náboženských organizací"/>
    <m/>
    <m/>
    <m/>
    <m/>
    <m/>
    <m/>
    <m/>
    <m/>
    <m/>
    <m/>
    <m/>
    <m/>
    <m/>
    <m/>
    <m/>
    <m/>
    <m/>
  </r>
  <r>
    <s v="67026460"/>
    <s v="Římskokatolická farnost Štítná nad Vláří"/>
    <s v="722"/>
    <x v="5"/>
    <x v="0"/>
    <s v="Štítná nad Vláří-Popov"/>
    <s v="Štítná nad Vláří-Popov, Štítná nad Vláří 123, PSČ 76333"/>
    <s v="94910"/>
    <s v="Činnosti náboženských organizací"/>
    <m/>
    <m/>
    <m/>
    <m/>
    <m/>
    <m/>
    <m/>
    <m/>
    <m/>
    <m/>
    <m/>
    <m/>
    <m/>
    <m/>
    <m/>
    <m/>
    <m/>
  </r>
  <r>
    <s v="46256580"/>
    <s v="Římskokatolická farnost Šumice"/>
    <s v="722"/>
    <x v="5"/>
    <x v="2"/>
    <s v="Šumice"/>
    <s v="Šumice 29, PSČ 68731"/>
    <s v="94910"/>
    <s v="Činnosti náboženských organizací"/>
    <m/>
    <m/>
    <m/>
    <m/>
    <m/>
    <m/>
    <m/>
    <m/>
    <m/>
    <m/>
    <m/>
    <m/>
    <m/>
    <m/>
    <m/>
    <m/>
    <m/>
  </r>
  <r>
    <s v="46998349"/>
    <s v="Římskokatolická farnost Těšnovice"/>
    <s v="722"/>
    <x v="5"/>
    <x v="3"/>
    <s v="Kroměříž"/>
    <s v="Kroměříž, Těšnovice 5, PSČ 76701"/>
    <s v="94910"/>
    <s v="Činnosti náboženských organizací"/>
    <m/>
    <m/>
    <m/>
    <m/>
    <m/>
    <m/>
    <m/>
    <m/>
    <m/>
    <m/>
    <m/>
    <m/>
    <m/>
    <m/>
    <m/>
    <m/>
    <m/>
  </r>
  <r>
    <s v="46308831"/>
    <s v="Římskokatolická farnost Tlumačov"/>
    <s v="722"/>
    <x v="5"/>
    <x v="0"/>
    <s v="Tlumačov"/>
    <s v="Tlumačov, Masarykova 62, PSČ 76362"/>
    <s v="94910"/>
    <s v="Činnosti náboženských organizací"/>
    <m/>
    <m/>
    <m/>
    <m/>
    <m/>
    <m/>
    <m/>
    <m/>
    <m/>
    <m/>
    <m/>
    <m/>
    <m/>
    <m/>
    <m/>
    <m/>
    <m/>
  </r>
  <r>
    <s v="48471089"/>
    <s v="Římskokatolická farnost Trnava u Zlína"/>
    <s v="722"/>
    <x v="5"/>
    <x v="0"/>
    <s v="Trnava"/>
    <s v="Trnava 22, PSČ 76318"/>
    <s v="94910"/>
    <s v="Činnosti náboženských organizací"/>
    <m/>
    <m/>
    <m/>
    <m/>
    <m/>
    <m/>
    <m/>
    <m/>
    <m/>
    <m/>
    <m/>
    <m/>
    <m/>
    <m/>
    <m/>
    <m/>
    <m/>
  </r>
  <r>
    <s v="46998446"/>
    <s v="Římskokatolická farnost Třebětice u Holešova"/>
    <s v="722"/>
    <x v="5"/>
    <x v="3"/>
    <s v="Třebětice"/>
    <s v="Třebětice 24, PSČ 76901"/>
    <s v="94910"/>
    <s v="Činnosti náboženských organizací"/>
    <m/>
    <m/>
    <m/>
    <m/>
    <m/>
    <m/>
    <m/>
    <m/>
    <m/>
    <m/>
    <m/>
    <m/>
    <m/>
    <m/>
    <m/>
    <m/>
    <m/>
  </r>
  <r>
    <s v="46257918"/>
    <s v="Římskokatolická farnost Uherské Hradiště"/>
    <s v="722"/>
    <x v="5"/>
    <x v="2"/>
    <s v="Uherské Hradiště"/>
    <s v="Uherské Hradiště, Masarykovo náměstí 36, PSČ 68601"/>
    <s v="94910"/>
    <s v="Činnosti náboženských organizací"/>
    <m/>
    <m/>
    <m/>
    <m/>
    <m/>
    <m/>
    <m/>
    <m/>
    <m/>
    <m/>
    <m/>
    <m/>
    <m/>
    <m/>
    <m/>
    <m/>
    <m/>
  </r>
  <r>
    <s v="48489034"/>
    <s v="Římskokatolická farnost Uherské Hradiště - Sady"/>
    <s v="722"/>
    <x v="5"/>
    <x v="2"/>
    <s v="Uherské Hradiště"/>
    <s v="Uherské Hradiště, Sady, Solná cesta 41, PSČ 68601"/>
    <s v="94910"/>
    <s v="Činnosti náboženských organizací"/>
    <m/>
    <m/>
    <m/>
    <m/>
    <m/>
    <m/>
    <m/>
    <m/>
    <m/>
    <m/>
    <m/>
    <m/>
    <m/>
    <m/>
    <m/>
    <m/>
    <m/>
  </r>
  <r>
    <s v="46256598"/>
    <s v="Římskokatolická farnost Uherský Brod"/>
    <s v="722"/>
    <x v="5"/>
    <x v="2"/>
    <s v="Uherský Brod"/>
    <s v="Uherský Brod, Masarykovo nám. 68, PSČ 68801"/>
    <s v="94910"/>
    <s v="Činnosti náboženských organizací"/>
    <m/>
    <m/>
    <m/>
    <m/>
    <m/>
    <m/>
    <m/>
    <m/>
    <m/>
    <m/>
    <m/>
    <m/>
    <m/>
    <m/>
    <m/>
    <m/>
    <m/>
  </r>
  <r>
    <s v="46256601"/>
    <s v="Římskokatolická farnost Uherský Brod - Újezdec"/>
    <s v="722"/>
    <x v="5"/>
    <x v="2"/>
    <s v="Uherský Brod"/>
    <s v="Uherský Brod, Újezdec, Poštovní 218, PSČ 68734"/>
    <s v="94910"/>
    <s v="Činnosti náboženských organizací"/>
    <m/>
    <m/>
    <m/>
    <m/>
    <m/>
    <m/>
    <m/>
    <m/>
    <m/>
    <m/>
    <m/>
    <m/>
    <m/>
    <m/>
    <m/>
    <m/>
    <m/>
  </r>
  <r>
    <s v="46257993"/>
    <s v="Římskokatolická farnost Uherský Ostroh"/>
    <s v="722"/>
    <x v="5"/>
    <x v="2"/>
    <s v="Uherský Ostroh"/>
    <s v="Uherský Ostroh, nám. sv. Ondřeje 36, PSČ 68724"/>
    <s v="94910"/>
    <s v="Činnosti náboženských organizací"/>
    <m/>
    <m/>
    <m/>
    <m/>
    <m/>
    <m/>
    <m/>
    <m/>
    <m/>
    <m/>
    <m/>
    <m/>
    <m/>
    <m/>
    <m/>
    <m/>
    <m/>
  </r>
  <r>
    <s v="46308385"/>
    <s v="Římskokatolická farnost Újezd u Valašských Klobouk"/>
    <s v="722"/>
    <x v="5"/>
    <x v="0"/>
    <s v="Újezd"/>
    <s v="Újezd 5, PSČ 76325"/>
    <s v="94910"/>
    <s v="Činnosti náboženských organizací"/>
    <m/>
    <m/>
    <m/>
    <m/>
    <m/>
    <m/>
    <m/>
    <m/>
    <m/>
    <m/>
    <m/>
    <m/>
    <m/>
    <m/>
    <m/>
    <m/>
    <m/>
  </r>
  <r>
    <s v="48739693"/>
    <s v="Římskokatolická farnost Valašská Bystřice"/>
    <s v="722"/>
    <x v="5"/>
    <x v="1"/>
    <s v="Valašská Bystřice"/>
    <s v="Valašská Bystřice 182, PSČ 75627"/>
    <s v="94910"/>
    <s v="Činnosti náboženských organizací"/>
    <m/>
    <m/>
    <m/>
    <m/>
    <m/>
    <m/>
    <m/>
    <m/>
    <m/>
    <m/>
    <m/>
    <m/>
    <m/>
    <m/>
    <m/>
    <m/>
    <m/>
  </r>
  <r>
    <s v="48739456"/>
    <s v="Římskokatolická farnost Valašská Polanka"/>
    <s v="722"/>
    <x v="5"/>
    <x v="1"/>
    <s v="Valašská Polanka"/>
    <s v="Valašská Polanka 82, PSČ 75611"/>
    <s v="94910"/>
    <s v="Činnosti náboženských organizací"/>
    <m/>
    <m/>
    <m/>
    <m/>
    <m/>
    <m/>
    <m/>
    <m/>
    <m/>
    <m/>
    <m/>
    <m/>
    <m/>
    <m/>
    <m/>
    <m/>
    <m/>
  </r>
  <r>
    <s v="48473634"/>
    <s v="Římskokatolická farnost Valašské Klobouky"/>
    <s v="722"/>
    <x v="5"/>
    <x v="0"/>
    <s v="Valašské Klobouky"/>
    <s v="Valašské Klobouky, Smetanova 113, PSČ 76601"/>
    <s v="94910"/>
    <s v="Činnosti náboženských organizací"/>
    <m/>
    <m/>
    <m/>
    <m/>
    <m/>
    <m/>
    <m/>
    <m/>
    <m/>
    <m/>
    <m/>
    <m/>
    <m/>
    <m/>
    <m/>
    <m/>
    <m/>
  </r>
  <r>
    <s v="48739677"/>
    <s v="Římskokatolická farnost Valašské Meziříčí"/>
    <s v="722"/>
    <x v="5"/>
    <x v="1"/>
    <s v="Valašské Meziříčí"/>
    <s v="Valašské Meziříčí, Křížkovského 60/8, PSČ 75701"/>
    <s v="94910"/>
    <s v="Činnosti náboženských organizací"/>
    <m/>
    <m/>
    <m/>
    <m/>
    <m/>
    <m/>
    <m/>
    <m/>
    <m/>
    <m/>
    <m/>
    <m/>
    <m/>
    <m/>
    <m/>
    <m/>
    <m/>
  </r>
  <r>
    <s v="46956484"/>
    <s v="Římskokatolická farnost Velehrad"/>
    <s v="722"/>
    <x v="5"/>
    <x v="2"/>
    <s v="Velehrad"/>
    <s v="Velehrad, Nádvoří 206, PSČ 68706"/>
    <s v="94910"/>
    <s v="Činnosti náboženských organizací"/>
    <m/>
    <m/>
    <m/>
    <m/>
    <m/>
    <m/>
    <m/>
    <m/>
    <m/>
    <m/>
    <m/>
    <m/>
    <m/>
    <m/>
    <m/>
    <m/>
    <m/>
  </r>
  <r>
    <s v="48739511"/>
    <s v="Římskokatolická farnost Velké Karlovice"/>
    <s v="722"/>
    <x v="5"/>
    <x v="1"/>
    <s v="Velké Karlovice"/>
    <s v="Velké Karlovice 274, PSČ 75606"/>
    <s v="94910"/>
    <s v="Činnosti náboženských organizací"/>
    <m/>
    <m/>
    <m/>
    <m/>
    <m/>
    <m/>
    <m/>
    <m/>
    <m/>
    <m/>
    <m/>
    <m/>
    <m/>
    <m/>
    <m/>
    <m/>
    <m/>
  </r>
  <r>
    <s v="48471721"/>
    <s v="Římskokatolická farnost Velký Ořechov"/>
    <s v="722"/>
    <x v="5"/>
    <x v="0"/>
    <s v="Velký Ořechov"/>
    <s v="Velký Ořechov 9, PSČ 76307"/>
    <s v="94910"/>
    <s v="Činnosti náboženských organizací"/>
    <m/>
    <m/>
    <m/>
    <m/>
    <m/>
    <m/>
    <m/>
    <m/>
    <m/>
    <m/>
    <m/>
    <m/>
    <m/>
    <m/>
    <m/>
    <m/>
    <m/>
  </r>
  <r>
    <s v="48739651"/>
    <s v="Římskokatolická farnost Veselá u Valašského Meziříčí"/>
    <s v="722"/>
    <x v="5"/>
    <x v="1"/>
    <s v="Zašová"/>
    <s v="Zašová, Veselá 28, PSČ 75651"/>
    <s v="94910"/>
    <s v="Činnosti náboženských organizací"/>
    <m/>
    <m/>
    <m/>
    <m/>
    <m/>
    <m/>
    <m/>
    <m/>
    <m/>
    <m/>
    <m/>
    <m/>
    <m/>
    <m/>
    <m/>
    <m/>
    <m/>
  </r>
  <r>
    <s v="48739731"/>
    <s v="Římskokatolická farnost Vidče"/>
    <s v="722"/>
    <x v="5"/>
    <x v="1"/>
    <s v="Vidče"/>
    <s v="Vidče 422, PSČ 75653"/>
    <s v="94910"/>
    <s v="Činnosti náboženských organizací"/>
    <m/>
    <m/>
    <m/>
    <m/>
    <m/>
    <m/>
    <m/>
    <m/>
    <m/>
    <m/>
    <m/>
    <m/>
    <m/>
    <m/>
    <m/>
    <m/>
    <m/>
  </r>
  <r>
    <s v="47930454"/>
    <s v="Římskokatolická farnost Vítonice"/>
    <s v="722"/>
    <x v="5"/>
    <x v="3"/>
    <s v="Vítonice"/>
    <s v="Vítonice 108, PSČ 76861"/>
    <s v="94910"/>
    <s v="Činnosti náboženských organizací"/>
    <m/>
    <m/>
    <m/>
    <m/>
    <m/>
    <m/>
    <m/>
    <m/>
    <m/>
    <m/>
    <m/>
    <m/>
    <m/>
    <m/>
    <m/>
    <m/>
    <m/>
  </r>
  <r>
    <s v="46307851"/>
    <s v="Římskokatolická farnost Vizovice"/>
    <s v="722"/>
    <x v="5"/>
    <x v="0"/>
    <s v="Vizovice"/>
    <s v="Vizovice, Palackého Nám. 365, PSČ 76312"/>
    <s v="94910"/>
    <s v="Činnosti náboženských organizací"/>
    <m/>
    <m/>
    <m/>
    <m/>
    <m/>
    <m/>
    <m/>
    <m/>
    <m/>
    <m/>
    <m/>
    <m/>
    <m/>
    <m/>
    <m/>
    <m/>
    <m/>
  </r>
  <r>
    <s v="62181416"/>
    <s v="Římskokatolická farnost Vlachovice"/>
    <s v="722"/>
    <x v="5"/>
    <x v="0"/>
    <s v="Vlachovice"/>
    <s v="Vlachovice 66, PSČ 76324"/>
    <s v="94910"/>
    <s v="Činnosti náboženských organizací"/>
    <m/>
    <m/>
    <m/>
    <m/>
    <m/>
    <m/>
    <m/>
    <m/>
    <m/>
    <m/>
    <m/>
    <m/>
    <m/>
    <m/>
    <m/>
    <m/>
    <m/>
  </r>
  <r>
    <s v="46256610"/>
    <s v="Římskokatolická farnost Vlčnov"/>
    <s v="722"/>
    <x v="5"/>
    <x v="2"/>
    <s v="Vlčnov"/>
    <s v="Vlčnov 118, PSČ 68761"/>
    <s v="94910"/>
    <s v="Činnosti náboženských organizací"/>
    <m/>
    <m/>
    <m/>
    <m/>
    <m/>
    <m/>
    <m/>
    <m/>
    <m/>
    <m/>
    <m/>
    <m/>
    <m/>
    <m/>
    <m/>
    <m/>
    <m/>
  </r>
  <r>
    <s v="48739341"/>
    <s v="Římskokatolická farnost Vsetín"/>
    <s v="722"/>
    <x v="5"/>
    <x v="1"/>
    <s v="Vsetín"/>
    <s v="Vsetín, Horní náměstí 134, PSČ 75501"/>
    <s v="94910"/>
    <s v="Činnosti náboženských organizací"/>
    <m/>
    <m/>
    <m/>
    <m/>
    <m/>
    <m/>
    <m/>
    <m/>
    <m/>
    <m/>
    <m/>
    <m/>
    <m/>
    <m/>
    <m/>
    <m/>
    <m/>
  </r>
  <r>
    <s v="46311394"/>
    <s v="Římskokatolická farnost Všemina"/>
    <s v="722"/>
    <x v="5"/>
    <x v="0"/>
    <s v="Všemina"/>
    <s v="Všemina 81, PSČ 76315"/>
    <s v="94910"/>
    <s v="Činnosti náboženských organizací"/>
    <m/>
    <m/>
    <m/>
    <m/>
    <m/>
    <m/>
    <m/>
    <m/>
    <m/>
    <m/>
    <m/>
    <m/>
    <m/>
    <m/>
    <m/>
    <m/>
    <m/>
  </r>
  <r>
    <s v="46998390"/>
    <s v="Římskokatolická farnost Záhlinice"/>
    <s v="722"/>
    <x v="5"/>
    <x v="3"/>
    <s v="Hulín"/>
    <s v="Hulín, Záhlinice 140, PSČ 76824"/>
    <s v="94910"/>
    <s v="Činnosti náboženských organizací"/>
    <m/>
    <m/>
    <m/>
    <m/>
    <m/>
    <m/>
    <m/>
    <m/>
    <m/>
    <m/>
    <m/>
    <m/>
    <m/>
    <m/>
    <m/>
    <m/>
    <m/>
  </r>
  <r>
    <s v="48739669"/>
    <s v="Římskokatolická farnost Zašová"/>
    <s v="722"/>
    <x v="5"/>
    <x v="1"/>
    <s v="Zašová"/>
    <s v="Zašová 44, PSČ 75651"/>
    <s v="94910"/>
    <s v="Činnosti náboženských organizací"/>
    <m/>
    <m/>
    <m/>
    <m/>
    <m/>
    <m/>
    <m/>
    <m/>
    <m/>
    <m/>
    <m/>
    <m/>
    <m/>
    <m/>
    <m/>
    <m/>
    <m/>
  </r>
  <r>
    <s v="18190383"/>
    <s v="Římskokatolická farnost Zborovice"/>
    <s v="722"/>
    <x v="5"/>
    <x v="3"/>
    <s v="Zborovice"/>
    <s v="Zborovice, Hlavní 11, PSČ 76832"/>
    <s v="94910"/>
    <s v="Činnosti náboženských organizací"/>
    <m/>
    <m/>
    <m/>
    <m/>
    <m/>
    <m/>
    <m/>
    <m/>
    <m/>
    <m/>
    <m/>
    <m/>
    <m/>
    <m/>
    <m/>
    <m/>
    <m/>
  </r>
  <r>
    <s v="48739472"/>
    <s v="Římskokatolická farnost Zděchov"/>
    <s v="722"/>
    <x v="5"/>
    <x v="1"/>
    <s v="Zděchov"/>
    <s v="Zděchov 104, PSČ 75607"/>
    <s v="94910"/>
    <s v="Činnosti náboženských organizací"/>
    <m/>
    <m/>
    <m/>
    <m/>
    <m/>
    <m/>
    <m/>
    <m/>
    <m/>
    <m/>
    <m/>
    <m/>
    <m/>
    <m/>
    <m/>
    <m/>
    <m/>
  </r>
  <r>
    <s v="46998306"/>
    <s v="Římskokatolická farnost Zdounky"/>
    <s v="722"/>
    <x v="5"/>
    <x v="3"/>
    <s v="Zdounky"/>
    <s v="Zdounky 36, PSČ 76802"/>
    <s v="94910"/>
    <s v="Činnosti náboženských organizací"/>
    <m/>
    <m/>
    <m/>
    <m/>
    <m/>
    <m/>
    <m/>
    <m/>
    <m/>
    <m/>
    <m/>
    <m/>
    <m/>
    <m/>
    <m/>
    <m/>
    <m/>
  </r>
  <r>
    <s v="46998128"/>
    <s v="Římskokatolická farnost Zlámanka"/>
    <s v="722"/>
    <x v="5"/>
    <x v="3"/>
    <s v="Kroměříž"/>
    <s v="Kroměříž, Zlámanka 11, PSČ 76701"/>
    <s v="94910"/>
    <s v="Činnosti náboženských organizací"/>
    <m/>
    <m/>
    <m/>
    <m/>
    <m/>
    <m/>
    <m/>
    <m/>
    <m/>
    <m/>
    <m/>
    <m/>
    <m/>
    <m/>
    <m/>
    <m/>
    <m/>
  </r>
  <r>
    <s v="44018762"/>
    <s v="Římskokatolická farnost Zlechov"/>
    <s v="722"/>
    <x v="5"/>
    <x v="2"/>
    <s v="Zlechov"/>
    <s v="Zlechov 120, PSČ 68710"/>
    <s v="94910"/>
    <s v="Činnosti náboženských organizací"/>
    <m/>
    <m/>
    <m/>
    <m/>
    <m/>
    <m/>
    <m/>
    <m/>
    <m/>
    <m/>
    <m/>
    <m/>
    <m/>
    <m/>
    <m/>
    <m/>
    <m/>
  </r>
  <r>
    <s v="44125917"/>
    <s v="Římskokatolická farnost Zlín - Malenovice"/>
    <s v="722"/>
    <x v="5"/>
    <x v="0"/>
    <s v="Zlín"/>
    <s v="Zlín, Malenovice, Jarolímkovo náměstí 156, PSČ 76302"/>
    <s v="94910"/>
    <s v="Činnosti náboženských organizací"/>
    <m/>
    <m/>
    <m/>
    <m/>
    <m/>
    <m/>
    <m/>
    <m/>
    <m/>
    <m/>
    <m/>
    <m/>
    <m/>
    <m/>
    <m/>
    <m/>
    <m/>
  </r>
  <r>
    <s v="46998187"/>
    <s v="Římskokatolická farnost Zlobice"/>
    <s v="722"/>
    <x v="5"/>
    <x v="3"/>
    <s v="Zlobice"/>
    <s v="Zlobice 80, PSČ 76831"/>
    <s v="94910"/>
    <s v="Činnosti náboženských organizací"/>
    <m/>
    <m/>
    <m/>
    <m/>
    <m/>
    <m/>
    <m/>
    <m/>
    <m/>
    <m/>
    <m/>
    <m/>
    <m/>
    <m/>
    <m/>
    <m/>
    <m/>
  </r>
  <r>
    <s v="48739642"/>
    <s v="Římskokatolická farnost Zubří"/>
    <s v="722"/>
    <x v="5"/>
    <x v="1"/>
    <s v="Zubří"/>
    <s v="Zubří, ThDr. Metoděje Mičoly 59, PSČ 75654"/>
    <s v="94910"/>
    <s v="Činnosti náboženských organizací"/>
    <m/>
    <m/>
    <m/>
    <m/>
    <m/>
    <m/>
    <m/>
    <m/>
    <m/>
    <m/>
    <m/>
    <m/>
    <m/>
    <m/>
    <m/>
    <m/>
    <m/>
  </r>
  <r>
    <s v="46998365"/>
    <s v="Římskokatolická farnost Žalkovice"/>
    <s v="722"/>
    <x v="5"/>
    <x v="3"/>
    <s v="Žalkovice"/>
    <s v="Žalkovice 102, PSČ 76823"/>
    <s v="94910"/>
    <s v="Činnosti náboženských organizací"/>
    <m/>
    <m/>
    <m/>
    <m/>
    <m/>
    <m/>
    <m/>
    <m/>
    <m/>
    <m/>
    <m/>
    <m/>
    <m/>
    <m/>
    <m/>
    <m/>
    <m/>
  </r>
  <r>
    <s v="48471739"/>
    <s v="Římskokatolická farnost Želechovice nad Dřevnicí"/>
    <s v="722"/>
    <x v="5"/>
    <x v="0"/>
    <s v="Želechovice nad Dřevnicí"/>
    <s v="Želechovice nad Dřevnicí, 4. května 66, PSČ 76311"/>
    <s v="94910"/>
    <s v="Činnosti náboženských organizací"/>
    <m/>
    <m/>
    <m/>
    <m/>
    <m/>
    <m/>
    <m/>
    <m/>
    <m/>
    <m/>
    <m/>
    <m/>
    <m/>
    <m/>
    <m/>
    <m/>
    <m/>
  </r>
  <r>
    <s v="46998462"/>
    <s v="Římskokatolická farnost Žeranovice"/>
    <s v="722"/>
    <x v="5"/>
    <x v="3"/>
    <s v="Žeranovice"/>
    <s v="Žeranovice 36, PSČ 76901"/>
    <s v="94910"/>
    <s v="Činnosti náboženských organizací"/>
    <m/>
    <m/>
    <m/>
    <m/>
    <m/>
    <m/>
    <m/>
    <m/>
    <m/>
    <m/>
    <m/>
    <m/>
    <m/>
    <m/>
    <m/>
    <m/>
    <m/>
  </r>
  <r>
    <s v="26585278"/>
    <s v="Římskokatolická kaple Panny Marie Růžencové v Traplicích, z. s."/>
    <s v="706"/>
    <x v="1"/>
    <x v="2"/>
    <s v="Traplice"/>
    <s v="Traplice 321, PSČ 68704"/>
    <s v="94992"/>
    <s v="Činnosti organizací na podporu kulturní činnosti"/>
    <m/>
    <m/>
    <m/>
    <m/>
    <m/>
    <m/>
    <m/>
    <m/>
    <m/>
    <m/>
    <m/>
    <m/>
    <m/>
    <m/>
    <m/>
    <m/>
    <m/>
  </r>
  <r>
    <s v="22855394"/>
    <s v="Říše loutek Kroměříž, z.s."/>
    <s v="706"/>
    <x v="1"/>
    <x v="3"/>
    <s v="Kroměříž"/>
    <s v="Kroměříž, Pod Barbořinou 3234/28, PSČ 76701"/>
    <s v="90030"/>
    <s v="Umělecká tvorba"/>
    <m/>
    <m/>
    <m/>
    <m/>
    <m/>
    <m/>
    <m/>
    <m/>
    <m/>
    <m/>
    <m/>
    <m/>
    <m/>
    <m/>
    <m/>
    <m/>
    <m/>
  </r>
  <r>
    <s v="23125624"/>
    <s v="S Láskou z.s."/>
    <s v="706"/>
    <x v="1"/>
    <x v="0"/>
    <s v="Zlín"/>
    <s v="Zlín, Malenovice, Milíčova 712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261961"/>
    <s v="S Terezkou ekologicky z.s."/>
    <s v="706"/>
    <x v="1"/>
    <x v="3"/>
    <s v="Pravčice"/>
    <s v="Pravčice 27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0974"/>
    <s v="Sad Podhoří"/>
    <s v="706"/>
    <x v="1"/>
    <x v="0"/>
    <s v="Zlín"/>
    <s v="Zlín, Prštné, Jiráskova 31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93788"/>
    <s v="SADGYM spolek"/>
    <s v="706"/>
    <x v="1"/>
    <x v="0"/>
    <s v="Zlín"/>
    <s v="Zlín, Malenovice, Masarykova 1013, PSČ 76302"/>
    <s v="93190"/>
    <s v="Ostatní sportovní činnosti"/>
    <m/>
    <m/>
    <m/>
    <m/>
    <m/>
    <m/>
    <m/>
    <m/>
    <m/>
    <m/>
    <m/>
    <m/>
    <m/>
    <m/>
    <m/>
    <m/>
    <m/>
  </r>
  <r>
    <s v="02300842"/>
    <s v="SAES"/>
    <s v="706"/>
    <x v="1"/>
    <x v="2"/>
    <s v="Uherský Brod"/>
    <s v="Uherský Brod, Svat. Čecha 1110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1706"/>
    <s v="S.A.K o.s. zájmové sdružení"/>
    <s v="706"/>
    <x v="1"/>
    <x v="3"/>
    <s v="Kroměříž"/>
    <s v="Kroměříž, Kaplanova 2836/2A, PSČ 76701"/>
    <s v="93110"/>
    <s v="Provozování sportovních zařízení"/>
    <m/>
    <m/>
    <m/>
    <m/>
    <m/>
    <m/>
    <m/>
    <m/>
    <m/>
    <m/>
    <m/>
    <m/>
    <m/>
    <m/>
    <m/>
    <m/>
    <m/>
  </r>
  <r>
    <s v="22747940"/>
    <s v="SAK, z.s."/>
    <s v="706"/>
    <x v="1"/>
    <x v="3"/>
    <s v="Kroměříž"/>
    <s v="Kroměříž, Spáčilova 3575/60, PSČ 76701"/>
    <s v="93190"/>
    <s v="Ostatní sportovní činnosti"/>
    <m/>
    <m/>
    <m/>
    <m/>
    <m/>
    <m/>
    <m/>
    <m/>
    <m/>
    <m/>
    <m/>
    <m/>
    <m/>
    <m/>
    <m/>
    <m/>
    <m/>
  </r>
  <r>
    <s v="22879374"/>
    <s v="SAKUMPIKUM z.s."/>
    <s v="706"/>
    <x v="1"/>
    <x v="1"/>
    <s v="Prostřední Bečva"/>
    <s v="Prostřední Bečva 272, PSČ 756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6868"/>
    <s v="Salamandr, Kroměříž"/>
    <s v="706"/>
    <x v="1"/>
    <x v="3"/>
    <s v="Hulín"/>
    <s v="Čechova 692, Hu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722071"/>
    <s v="Salaš PT z. s."/>
    <s v="706"/>
    <x v="1"/>
    <x v="2"/>
    <s v="Salaš"/>
    <s v="Salaš 171, PSČ 687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401873"/>
    <s v="Salašský Spolek Přátel Slivovice"/>
    <s v="706"/>
    <x v="1"/>
    <x v="2"/>
    <s v="Salaš"/>
    <s v="Salaš 112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7373"/>
    <s v="Salesiánské sdružení Vsetín z. s."/>
    <s v="706"/>
    <x v="1"/>
    <x v="1"/>
    <s v="Vsetín"/>
    <s v="Vsetín, Rybníky 1628"/>
    <s v="94991"/>
    <s v="Činnosti organizací dětí a mládeže"/>
    <m/>
    <m/>
    <m/>
    <m/>
    <m/>
    <m/>
    <m/>
    <m/>
    <m/>
    <m/>
    <m/>
    <m/>
    <m/>
    <m/>
    <m/>
    <m/>
    <m/>
  </r>
  <r>
    <s v="67026346"/>
    <s v="Salesiánský klub mládeže, z. s. Dům Ignáce Stuchlého"/>
    <s v="736"/>
    <x v="0"/>
    <x v="0"/>
    <s v="Fryšták"/>
    <s v="Fryšták, P. I. Stuchlého 26, PSČ 76316"/>
    <s v="94991"/>
    <s v="Činnosti organizací dětí a mládeže"/>
    <s v="Ubytování"/>
    <s v="Stravování v restauracích, u stánků a v mobilních zařízeních"/>
    <s v="Maloobchod s nápoji"/>
    <m/>
    <m/>
    <m/>
    <m/>
    <m/>
    <m/>
    <m/>
    <m/>
    <m/>
    <m/>
    <m/>
    <m/>
    <m/>
    <m/>
  </r>
  <r>
    <s v="65792068"/>
    <s v="Salesiánský klub mládeže, z. s. Zlín"/>
    <s v="736"/>
    <x v="0"/>
    <x v="0"/>
    <s v="Zlín"/>
    <s v="Zlín, Okružní 5430, PSČ 76005"/>
    <s v="94991"/>
    <s v="Činnosti organizací dětí a mládeže"/>
    <m/>
    <m/>
    <m/>
    <m/>
    <m/>
    <m/>
    <m/>
    <m/>
    <m/>
    <m/>
    <m/>
    <m/>
    <m/>
    <m/>
    <m/>
    <m/>
    <m/>
  </r>
  <r>
    <s v="08515727"/>
    <s v="Sálový fotbal Zlín, z. s."/>
    <s v="706"/>
    <x v="1"/>
    <x v="0"/>
    <s v="Otrokovice"/>
    <s v="Otrokovice, Dr. E. Beneše 286, PSČ 76502"/>
    <s v="93110"/>
    <s v="Provozování sportovních zařízení"/>
    <s v="Ostatní sportovní činnosti"/>
    <m/>
    <m/>
    <m/>
    <m/>
    <m/>
    <m/>
    <m/>
    <m/>
    <m/>
    <m/>
    <m/>
    <m/>
    <m/>
    <m/>
    <m/>
    <m/>
  </r>
  <r>
    <s v="22836896"/>
    <s v="SAM Napajedla"/>
    <s v="706"/>
    <x v="1"/>
    <x v="0"/>
    <s v="Napajedla"/>
    <s v="Napajedla, Nábřeží 1350, PSČ 76361"/>
    <s v="94991"/>
    <s v="Činnosti organizací dětí a mládeže"/>
    <m/>
    <m/>
    <m/>
    <m/>
    <m/>
    <m/>
    <m/>
    <m/>
    <m/>
    <m/>
    <m/>
    <m/>
    <m/>
    <m/>
    <m/>
    <m/>
    <m/>
  </r>
  <r>
    <s v="22671951"/>
    <s v="Samari, z. s."/>
    <s v="706"/>
    <x v="1"/>
    <x v="0"/>
    <s v="Zlín"/>
    <s v="Zlín, Družstevní 4237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94866"/>
    <s v="&quot;Sametové tlapky,z.s.&quot;"/>
    <s v="706"/>
    <x v="1"/>
    <x v="2"/>
    <s v="Ostrožská Nová Ves"/>
    <s v="Ostrožská Nová Ves, Chylice, Chříb 200, PSČ 68722"/>
    <s v="94995"/>
    <s v="Činnosti environmentálních a ekologických hnutí"/>
    <m/>
    <m/>
    <m/>
    <m/>
    <m/>
    <m/>
    <m/>
    <m/>
    <m/>
    <m/>
    <m/>
    <m/>
    <m/>
    <m/>
    <m/>
    <m/>
    <m/>
  </r>
  <r>
    <s v="06119328"/>
    <s v="Samosato, z. s."/>
    <s v="706"/>
    <x v="1"/>
    <x v="0"/>
    <s v="Štítná nad Vláří-Popov"/>
    <s v="Štítná nad Vláří-Popov, Popov 24, PSČ 763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65800"/>
    <s v="SAMSON Zlín"/>
    <s v="706"/>
    <x v="1"/>
    <x v="0"/>
    <s v="Zlín"/>
    <s v="Zlín, Louky, K Cihelně 304, PSČ 76302"/>
    <s v="93120"/>
    <s v="Činnosti sportovních klubů"/>
    <m/>
    <m/>
    <m/>
    <m/>
    <m/>
    <m/>
    <m/>
    <m/>
    <m/>
    <m/>
    <m/>
    <m/>
    <m/>
    <m/>
    <m/>
    <m/>
    <m/>
  </r>
  <r>
    <s v="22693556"/>
    <s v="Sanity o.s."/>
    <s v="706"/>
    <x v="1"/>
    <x v="0"/>
    <s v="Zlín"/>
    <s v="Zlín, Malenovice, třída 3. května 159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8792"/>
    <s v="Sansa plus"/>
    <s v="706"/>
    <x v="1"/>
    <x v="0"/>
    <s v="Otrokovice"/>
    <s v="Otrokovice, Kvítkovice, SNP 1173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0151"/>
    <s v="SÁRA z.s."/>
    <s v="706"/>
    <x v="1"/>
    <x v="1"/>
    <s v="Liptál"/>
    <s v="Liptál 418, PSČ 756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652881"/>
    <s v="Sarkander, pobočný spolek ARCHA"/>
    <s v="736"/>
    <x v="0"/>
    <x v="3"/>
    <s v="Rajnochovice"/>
    <s v="č.p. 196, 768 71  Rajnochov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0430"/>
    <s v="&quot;SARS - Spolek Aktivních Rekreačních Sportovců, z. s. &quot;"/>
    <s v="706"/>
    <x v="1"/>
    <x v="3"/>
    <s v="Kroměříž"/>
    <s v="Kroměříž, Malý val 1540/47, PSČ 76701"/>
    <s v="93190"/>
    <s v="Ostatní sportovní činnosti"/>
    <m/>
    <m/>
    <m/>
    <m/>
    <m/>
    <m/>
    <m/>
    <m/>
    <m/>
    <m/>
    <m/>
    <m/>
    <m/>
    <m/>
    <m/>
    <m/>
    <m/>
  </r>
  <r>
    <s v="07343469"/>
    <s v="SAVIO z.s."/>
    <s v="706"/>
    <x v="1"/>
    <x v="0"/>
    <s v="Zlín"/>
    <s v="Zlín, Příluky, Boněcko I 279, PSČ 76001"/>
    <s v="94991"/>
    <s v="Činnosti organizací dětí a mládeže"/>
    <m/>
    <m/>
    <m/>
    <m/>
    <m/>
    <m/>
    <m/>
    <m/>
    <m/>
    <m/>
    <m/>
    <m/>
    <m/>
    <m/>
    <m/>
    <m/>
    <m/>
  </r>
  <r>
    <s v="08741026"/>
    <s v="SB LBRC z.s."/>
    <s v="706"/>
    <x v="1"/>
    <x v="3"/>
    <s v="Holešov"/>
    <s v="Holešov, Plačkov 602/51, PSČ 769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3336854"/>
    <s v="SBK Otrokovice z. s."/>
    <s v="706"/>
    <x v="1"/>
    <x v="0"/>
    <s v="Zlín"/>
    <s v="Zlín, Potoky 552, PSČ 76001"/>
    <s v="93120"/>
    <s v="Činnosti sportovních klubů"/>
    <m/>
    <m/>
    <m/>
    <m/>
    <m/>
    <m/>
    <m/>
    <m/>
    <m/>
    <m/>
    <m/>
    <m/>
    <m/>
    <m/>
    <m/>
    <m/>
    <m/>
  </r>
  <r>
    <s v="73634140"/>
    <s v="Sbor Bratrské jednoty baptistů v Brně - neslyšících"/>
    <s v="722"/>
    <x v="5"/>
    <x v="1"/>
    <s v="Valašské Meziříčí"/>
    <s v="Valašské Meziříčí, Podlesí 181, PSČ 75701"/>
    <s v="94910"/>
    <s v="Činnosti náboženských organizací"/>
    <m/>
    <m/>
    <m/>
    <m/>
    <m/>
    <m/>
    <m/>
    <m/>
    <m/>
    <m/>
    <m/>
    <m/>
    <m/>
    <m/>
    <m/>
    <m/>
    <m/>
  </r>
  <r>
    <s v="26520770"/>
    <s v="Sbor Bratrské jednoty baptistů v Uherském Hradišti"/>
    <s v="722"/>
    <x v="5"/>
    <x v="2"/>
    <s v="Uherské Hradiště"/>
    <s v="Uherské Hradiště, Štěpnická 1188, PSČ 68606"/>
    <s v="94910"/>
    <s v="Činnosti náboženských organizací"/>
    <m/>
    <m/>
    <m/>
    <m/>
    <m/>
    <m/>
    <m/>
    <m/>
    <m/>
    <m/>
    <m/>
    <m/>
    <m/>
    <m/>
    <m/>
    <m/>
    <m/>
  </r>
  <r>
    <s v="64123766"/>
    <s v="Sbor Bratrské jednoty baptistů ve Vsetíně"/>
    <s v="722"/>
    <x v="5"/>
    <x v="1"/>
    <s v="Vsetín"/>
    <s v="Vsetín, Rokytnice, Rokytnice 273, PSČ 75501"/>
    <s v="94910"/>
    <s v="Činnosti náboženských organizací"/>
    <m/>
    <m/>
    <m/>
    <m/>
    <m/>
    <m/>
    <m/>
    <m/>
    <m/>
    <m/>
    <m/>
    <m/>
    <m/>
    <m/>
    <m/>
    <m/>
    <m/>
  </r>
  <r>
    <s v="65823460"/>
    <s v="Sbor Bratrské jednoty baptistů ve Zlíně"/>
    <s v="722"/>
    <x v="5"/>
    <x v="0"/>
    <s v="Zlín"/>
    <s v="Zlín, Hluboká 1343, PSČ 76001"/>
    <s v="94910"/>
    <s v="Činnosti náboženských organizací"/>
    <m/>
    <m/>
    <m/>
    <m/>
    <m/>
    <m/>
    <m/>
    <m/>
    <m/>
    <m/>
    <m/>
    <m/>
    <m/>
    <m/>
    <m/>
    <m/>
    <m/>
  </r>
  <r>
    <s v="64422534"/>
    <s v="Sbor Církve adventistů sedmého dne Holešov"/>
    <s v="722"/>
    <x v="5"/>
    <x v="0"/>
    <s v="Zlín"/>
    <s v="Zlín, Louky, K Cihelně 203, PSČ 76302"/>
    <s v="94910"/>
    <s v="Činnosti náboženských organizací"/>
    <m/>
    <m/>
    <m/>
    <m/>
    <m/>
    <m/>
    <m/>
    <m/>
    <m/>
    <m/>
    <m/>
    <m/>
    <m/>
    <m/>
    <m/>
    <m/>
    <m/>
  </r>
  <r>
    <s v="65891163"/>
    <s v="Sbor Církve adventistů sedmého dne Kateřinice"/>
    <s v="722"/>
    <x v="5"/>
    <x v="1"/>
    <s v="Kateřinice"/>
    <s v="Kateřinice 282, PSČ 75621"/>
    <s v="94910"/>
    <s v="Činnosti náboženských organizací"/>
    <m/>
    <m/>
    <m/>
    <m/>
    <m/>
    <m/>
    <m/>
    <m/>
    <m/>
    <m/>
    <m/>
    <m/>
    <m/>
    <m/>
    <m/>
    <m/>
    <m/>
  </r>
  <r>
    <s v="62832701"/>
    <s v="Sbor Církve adventistů sedmého dne Uherské Hradiště"/>
    <s v="722"/>
    <x v="5"/>
    <x v="2"/>
    <s v="Uherské Hradiště"/>
    <s v="Uherské Hradiště, Žerotínova 269, PSČ 68601"/>
    <s v="94910"/>
    <s v="Činnosti náboženských organizací"/>
    <m/>
    <m/>
    <m/>
    <m/>
    <m/>
    <m/>
    <m/>
    <m/>
    <m/>
    <m/>
    <m/>
    <m/>
    <m/>
    <m/>
    <m/>
    <m/>
    <m/>
  </r>
  <r>
    <s v="62832719"/>
    <s v="Sbor Církve adventistů sedmého dne Uherský Brod"/>
    <s v="722"/>
    <x v="5"/>
    <x v="2"/>
    <s v="Uherský Brod"/>
    <s v="Uherský Brod, Nerudova 182, PSČ 68801"/>
    <s v="94910"/>
    <s v="Činnosti náboženských organizací"/>
    <m/>
    <m/>
    <m/>
    <m/>
    <m/>
    <m/>
    <m/>
    <m/>
    <m/>
    <m/>
    <m/>
    <m/>
    <m/>
    <m/>
    <m/>
    <m/>
    <m/>
  </r>
  <r>
    <s v="73633054"/>
    <s v="Sbor Církve adventistů sedmého dne Valašské Klobouky"/>
    <s v="722"/>
    <x v="5"/>
    <x v="0"/>
    <s v="Valašské Klobouky"/>
    <s v="Valašské Klobouky, Kramolišova 1108, PSČ 76601"/>
    <s v="94910"/>
    <s v="Činnosti náboženských organizací"/>
    <m/>
    <m/>
    <m/>
    <m/>
    <m/>
    <m/>
    <m/>
    <m/>
    <m/>
    <m/>
    <m/>
    <m/>
    <m/>
    <m/>
    <m/>
    <m/>
    <m/>
  </r>
  <r>
    <s v="73632686"/>
    <s v="Sbor Církve adventistů sedmého dne Valašské Meziříčí"/>
    <s v="722"/>
    <x v="5"/>
    <x v="1"/>
    <s v="Valašské Meziříčí"/>
    <s v="Valašské Meziříčí, Krásno nad Bečvou, Hřbitovní 366/1, PSČ 75701"/>
    <s v="94910"/>
    <s v="Činnosti náboženských organizací"/>
    <m/>
    <m/>
    <m/>
    <m/>
    <m/>
    <m/>
    <m/>
    <m/>
    <m/>
    <m/>
    <m/>
    <m/>
    <m/>
    <m/>
    <m/>
    <m/>
    <m/>
  </r>
  <r>
    <s v="65888499"/>
    <s v="Sbor Církve adventistů sedmého dne Vsetín"/>
    <s v="722"/>
    <x v="5"/>
    <x v="1"/>
    <s v="Vsetín"/>
    <s v="Vsetín, Palackého 152, PSČ 75501"/>
    <s v="94910"/>
    <s v="Činnosti náboženských organizací"/>
    <m/>
    <m/>
    <m/>
    <m/>
    <m/>
    <m/>
    <m/>
    <m/>
    <m/>
    <m/>
    <m/>
    <m/>
    <m/>
    <m/>
    <m/>
    <m/>
    <m/>
  </r>
  <r>
    <s v="73632708"/>
    <s v="Sbor Církve adventistů sedmého dne Zlín"/>
    <s v="722"/>
    <x v="5"/>
    <x v="0"/>
    <s v="Zlín"/>
    <s v="Zlín, Malenovice, Tyršova 1151, PSČ 76302"/>
    <s v="94910"/>
    <s v="Činnosti náboženských organizací"/>
    <m/>
    <m/>
    <m/>
    <m/>
    <m/>
    <m/>
    <m/>
    <m/>
    <m/>
    <m/>
    <m/>
    <m/>
    <m/>
    <m/>
    <m/>
    <m/>
    <m/>
  </r>
  <r>
    <s v="26520371"/>
    <s v="Sbor Církve bratrské ve Velké Lhotě"/>
    <s v="722"/>
    <x v="5"/>
    <x v="1"/>
    <s v="Velká Lhota"/>
    <s v="Velká Lhota 102, PSČ 75627"/>
    <s v="94910"/>
    <s v="Činnosti náboženských organizací"/>
    <m/>
    <m/>
    <m/>
    <m/>
    <m/>
    <m/>
    <m/>
    <m/>
    <m/>
    <m/>
    <m/>
    <m/>
    <m/>
    <m/>
    <m/>
    <m/>
    <m/>
  </r>
  <r>
    <s v="26520389"/>
    <s v="Sbor Církve bratrské ve Vsetíně"/>
    <s v="722"/>
    <x v="5"/>
    <x v="1"/>
    <s v="Vsetín"/>
    <s v="Vsetín, Horní Jasenka 102, PSČ 75501"/>
    <s v="94910"/>
    <s v="Činnosti náboženských organizací"/>
    <m/>
    <m/>
    <m/>
    <m/>
    <m/>
    <m/>
    <m/>
    <m/>
    <m/>
    <m/>
    <m/>
    <m/>
    <m/>
    <m/>
    <m/>
    <m/>
    <m/>
  </r>
  <r>
    <s v="73634506"/>
    <s v="Sbor Církve bratrské ve Vsetíně - Maják"/>
    <s v="722"/>
    <x v="5"/>
    <x v="1"/>
    <s v="Vsetín"/>
    <s v="Vsetín, Havlíčkova 1627, PSČ 75501"/>
    <s v="94910"/>
    <s v="Činnosti náboženských organizací"/>
    <m/>
    <m/>
    <m/>
    <m/>
    <m/>
    <m/>
    <m/>
    <m/>
    <m/>
    <m/>
    <m/>
    <m/>
    <m/>
    <m/>
    <m/>
    <m/>
    <m/>
  </r>
  <r>
    <s v="73631787"/>
    <s v="Sbor Církve bratrské ve Zlíně"/>
    <s v="722"/>
    <x v="5"/>
    <x v="0"/>
    <s v="Zlín"/>
    <s v="Zlín, Okružní 4551, PSČ 76005"/>
    <s v="94910"/>
    <s v="Činnosti náboženských organizací"/>
    <m/>
    <m/>
    <m/>
    <m/>
    <m/>
    <m/>
    <m/>
    <m/>
    <m/>
    <m/>
    <m/>
    <m/>
    <m/>
    <m/>
    <m/>
    <m/>
    <m/>
  </r>
  <r>
    <s v="65270177"/>
    <s v="Sbor dobrovolných hasičů"/>
    <s v="736"/>
    <x v="0"/>
    <x v="3"/>
    <s v="Koryčany"/>
    <s v="Koryčany, Jestřabice 5, PSČ 76805"/>
    <s v="84250"/>
    <s v="Činnosti v oblasti protipožární ochrany"/>
    <m/>
    <m/>
    <m/>
    <m/>
    <m/>
    <m/>
    <m/>
    <m/>
    <m/>
    <m/>
    <m/>
    <m/>
    <m/>
    <m/>
    <m/>
    <m/>
    <m/>
  </r>
  <r>
    <s v="63414015"/>
    <s v="SBOR DOBROVOLNÝCH HASIČŮ"/>
    <s v="736"/>
    <x v="0"/>
    <x v="3"/>
    <s v="Koryčany"/>
    <s v="Koryčany, Tyršova 784, PSČ 76805"/>
    <s v="84250"/>
    <s v="Činnosti v oblasti protipožární ochrany"/>
    <m/>
    <m/>
    <m/>
    <m/>
    <m/>
    <m/>
    <m/>
    <m/>
    <m/>
    <m/>
    <m/>
    <m/>
    <m/>
    <m/>
    <m/>
    <m/>
    <m/>
  </r>
  <r>
    <s v="65325184"/>
    <s v="Sbor dobrovolných hasičů Bánov"/>
    <s v="736"/>
    <x v="0"/>
    <x v="2"/>
    <s v="Bánov"/>
    <s v="Bánov,"/>
    <s v="84250"/>
    <s v="Činnosti v oblasti protipožární ochrany"/>
    <m/>
    <m/>
    <m/>
    <m/>
    <m/>
    <m/>
    <m/>
    <m/>
    <m/>
    <m/>
    <m/>
    <m/>
    <m/>
    <m/>
    <m/>
    <m/>
    <m/>
  </r>
  <r>
    <s v="65325192"/>
    <s v="Sbor dobrovolných hasičů Hluk"/>
    <s v="736"/>
    <x v="0"/>
    <x v="2"/>
    <s v="Hluk"/>
    <s v="Hluk, Hřbitovní 880"/>
    <s v="84250"/>
    <s v="Činnosti v oblasti protipožární ochrany"/>
    <m/>
    <m/>
    <m/>
    <m/>
    <m/>
    <m/>
    <m/>
    <m/>
    <m/>
    <m/>
    <m/>
    <m/>
    <m/>
    <m/>
    <m/>
    <m/>
    <m/>
  </r>
  <r>
    <s v="65324781"/>
    <s v="Sbor dobrovolných hasičů Huštěnovice"/>
    <s v="736"/>
    <x v="0"/>
    <x v="2"/>
    <s v="Huštěnovice"/>
    <s v="Huštěnovice 52, PSČ 68703"/>
    <s v="84250"/>
    <s v="Činnosti v oblasti protipožární ochrany"/>
    <m/>
    <m/>
    <m/>
    <m/>
    <m/>
    <m/>
    <m/>
    <m/>
    <m/>
    <m/>
    <m/>
    <m/>
    <m/>
    <m/>
    <m/>
    <m/>
    <m/>
  </r>
  <r>
    <s v="65469216"/>
    <s v="Sbor dobrovolných hasičů Lázy"/>
    <s v="736"/>
    <x v="0"/>
    <x v="1"/>
    <s v="Loučka"/>
    <s v="Loučka, Lázy 7, PSČ 75644"/>
    <s v="84250"/>
    <s v="Činnosti v oblasti protipožární ochrany"/>
    <m/>
    <m/>
    <m/>
    <m/>
    <m/>
    <m/>
    <m/>
    <m/>
    <m/>
    <m/>
    <m/>
    <m/>
    <m/>
    <m/>
    <m/>
    <m/>
    <m/>
  </r>
  <r>
    <s v="01251163"/>
    <s v="Sbor dobrovolných hasičů města Karolinka, z.s."/>
    <s v="706"/>
    <x v="1"/>
    <x v="1"/>
    <s v="Karolinka"/>
    <s v="Karolinka, Vsetínská 60, PSČ 75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14317"/>
    <s v="SBOR DOBROVOLNÝCH HASIČŮ PILANA HULÍN"/>
    <s v="736"/>
    <x v="0"/>
    <x v="3"/>
    <s v="Hulín"/>
    <s v="Hulín, Vrchlického 300, PSČ 76824"/>
    <s v="84250"/>
    <s v="Činnosti v oblasti protipožární ochrany"/>
    <m/>
    <m/>
    <m/>
    <m/>
    <m/>
    <m/>
    <m/>
    <m/>
    <m/>
    <m/>
    <m/>
    <m/>
    <m/>
    <m/>
    <m/>
    <m/>
    <m/>
  </r>
  <r>
    <s v="65325061"/>
    <s v="Sbor dobrovolných hasičů Včelary"/>
    <s v="736"/>
    <x v="0"/>
    <x v="2"/>
    <s v="Bílovice"/>
    <s v="Bílovice, Včelary 437, PSČ 68712"/>
    <s v="84250"/>
    <s v="Činnosti v oblasti protipožární ochrany"/>
    <m/>
    <m/>
    <m/>
    <m/>
    <m/>
    <m/>
    <m/>
    <m/>
    <m/>
    <m/>
    <m/>
    <m/>
    <m/>
    <m/>
    <m/>
    <m/>
    <m/>
  </r>
  <r>
    <s v="23171979"/>
    <s v="Sbor dobrovolných otců, z. s."/>
    <s v="706"/>
    <x v="1"/>
    <x v="2"/>
    <s v="Stříbrnice"/>
    <s v="Stříbrnice 274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0098"/>
    <s v="Sbor Jednoty bratrské v Holešově"/>
    <s v="722"/>
    <x v="5"/>
    <x v="3"/>
    <s v="Holešov"/>
    <s v="Holešov, Nerudova 320/18, PSČ 76901"/>
    <s v="94910"/>
    <s v="Činnosti náboženských organizací"/>
    <m/>
    <m/>
    <m/>
    <m/>
    <m/>
    <m/>
    <m/>
    <m/>
    <m/>
    <m/>
    <m/>
    <m/>
    <m/>
    <m/>
    <m/>
    <m/>
    <m/>
  </r>
  <r>
    <s v="73632627"/>
    <s v="Sbor Křesťanské společenství Zlín"/>
    <s v="722"/>
    <x v="5"/>
    <x v="0"/>
    <s v="Zlín"/>
    <s v="Zlín, Příluky, Boněcko I 275, PSČ 76001"/>
    <s v="94910"/>
    <s v="Činnosti náboženských organizací"/>
    <m/>
    <m/>
    <m/>
    <m/>
    <m/>
    <m/>
    <m/>
    <m/>
    <m/>
    <m/>
    <m/>
    <m/>
    <m/>
    <m/>
    <m/>
    <m/>
    <m/>
  </r>
  <r>
    <s v="02271885"/>
    <s v="Sbor uniformovaných ostrostřelců v Kroměříži"/>
    <s v="706"/>
    <x v="1"/>
    <x v="3"/>
    <s v="Kroměříž"/>
    <s v="Kroměříž, Na Lindovce 2457/11, PSČ 76701"/>
    <s v="93190"/>
    <s v="Ostatní sportovní činnosti"/>
    <m/>
    <m/>
    <m/>
    <m/>
    <m/>
    <m/>
    <m/>
    <m/>
    <m/>
    <m/>
    <m/>
    <m/>
    <m/>
    <m/>
    <m/>
    <m/>
    <m/>
  </r>
  <r>
    <s v="02373149"/>
    <s v="SBTS Kunovice p.s."/>
    <s v="736"/>
    <x v="0"/>
    <x v="2"/>
    <s v="Kunovice"/>
    <s v="Kunovice, Novoveská 1160, PSČ 68604"/>
    <s v="931"/>
    <s v="Sportovní činnosti"/>
    <m/>
    <m/>
    <m/>
    <m/>
    <m/>
    <m/>
    <m/>
    <m/>
    <m/>
    <m/>
    <m/>
    <m/>
    <m/>
    <m/>
    <m/>
    <m/>
    <m/>
  </r>
  <r>
    <s v="46276556"/>
    <s v="SC Melton Otrokovice"/>
    <s v="736"/>
    <x v="0"/>
    <x v="0"/>
    <s v="Otrokovice"/>
    <s v="Otrokovice, tř. Spojenců 957, PSČ 76502"/>
    <s v="9311"/>
    <s v="Provozování sportovních zařízení"/>
    <m/>
    <m/>
    <m/>
    <m/>
    <m/>
    <m/>
    <m/>
    <m/>
    <m/>
    <m/>
    <m/>
    <m/>
    <m/>
    <m/>
    <m/>
    <m/>
    <m/>
  </r>
  <r>
    <s v="70838381"/>
    <s v="Schola Venefica - škola trvale udržitelného způsobu života"/>
    <s v="706"/>
    <x v="1"/>
    <x v="2"/>
    <s v="Babice"/>
    <s v="Babice u Uh. Hradiště, Kudlovice 19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232081"/>
    <s v="Scholar,o.p.s."/>
    <s v="141"/>
    <x v="2"/>
    <x v="0"/>
    <s v="Zlín"/>
    <s v="Zlín, nám. T. G. Masaryka 2734, PSČ 76001"/>
    <s v="8559"/>
    <s v="Ostatní vzdělávání j. n."/>
    <m/>
    <m/>
    <m/>
    <m/>
    <m/>
    <m/>
    <m/>
    <m/>
    <m/>
    <m/>
    <m/>
    <m/>
    <m/>
    <m/>
    <m/>
    <m/>
    <m/>
  </r>
  <r>
    <s v="28556089"/>
    <s v="Scruffy rallye team o. s."/>
    <s v="706"/>
    <x v="1"/>
    <x v="3"/>
    <s v="Chvalčov"/>
    <s v="Chvalčov, Pod Matůškem 625, PSČ 7687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5650"/>
    <s v="SCT Uherské Hradiště"/>
    <s v="706"/>
    <x v="1"/>
    <x v="2"/>
    <s v="Uherské Hradiště"/>
    <s v="Uherské Hradiště"/>
    <s v="93110"/>
    <s v="Provozování sportovních zařízení"/>
    <m/>
    <m/>
    <m/>
    <m/>
    <m/>
    <m/>
    <m/>
    <m/>
    <m/>
    <m/>
    <m/>
    <m/>
    <m/>
    <m/>
    <m/>
    <m/>
    <m/>
  </r>
  <r>
    <s v="70925941"/>
    <s v="SDO Brontosauři - Brusné"/>
    <s v="736"/>
    <x v="0"/>
    <x v="3"/>
    <s v="Brusné"/>
    <s v="Brusné 69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34660"/>
    <s v="Sdružení absolventů a přátel SLŠ Valašské Meziříčí"/>
    <s v="706"/>
    <x v="1"/>
    <x v="1"/>
    <s v="Valašské Meziříčí"/>
    <s v="Valašské Meziříčí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7061"/>
    <s v="Sdružení AGRO „B”"/>
    <s v="706"/>
    <x v="1"/>
    <x v="0"/>
    <s v="Zlín"/>
    <s v="Zlín, třída Tomáše Bati 213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72117"/>
    <s v="Sdružení akcionářů Centroprojektu Zlín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65387"/>
    <s v="Sdružení akcionářů České Zbrojovky a.s.Uherský Brod"/>
    <s v="706"/>
    <x v="1"/>
    <x v="2"/>
    <s v="Uherský Brod"/>
    <s v="Uherský Brod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87898"/>
    <s v="Sdružení akcionářů Lesní společnosti Brumov"/>
    <s v="706"/>
    <x v="1"/>
    <x v="0"/>
    <s v="Brumov-Bylnice"/>
    <s v="Brumov - Bylnice 86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70459"/>
    <s v="Sdružení akcionářů Lesní společnosti Buchlovice a.s."/>
    <s v="706"/>
    <x v="1"/>
    <x v="2"/>
    <s v="Buchlovice"/>
    <s v="Buchovice 289"/>
    <s v="70100"/>
    <s v="Činnosti vedení podniků"/>
    <m/>
    <m/>
    <m/>
    <m/>
    <m/>
    <m/>
    <m/>
    <m/>
    <m/>
    <m/>
    <m/>
    <m/>
    <m/>
    <m/>
    <m/>
    <m/>
    <m/>
  </r>
  <r>
    <s v="48489476"/>
    <s v="Sdružení akcionářů SAS Uherské Hradiště a.s."/>
    <s v="706"/>
    <x v="1"/>
    <x v="2"/>
    <s v="Staré Město"/>
    <s v="Uherské Hradiště"/>
    <s v="70100"/>
    <s v="Činnosti vedení podniků"/>
    <m/>
    <m/>
    <m/>
    <m/>
    <m/>
    <m/>
    <m/>
    <m/>
    <m/>
    <m/>
    <m/>
    <m/>
    <m/>
    <m/>
    <m/>
    <m/>
    <m/>
  </r>
  <r>
    <s v="01916947"/>
    <s v="Sdružení akcionářů Slováckých strojíren"/>
    <s v="706"/>
    <x v="1"/>
    <x v="2"/>
    <s v="Uherský Brod"/>
    <s v="Uherský Brod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6918"/>
    <s v="Sdružení akcionářů Stavomontáže Zlín a.s."/>
    <s v="706"/>
    <x v="1"/>
    <x v="0"/>
    <s v="Zlín"/>
    <s v="Zlín, Třída Tomáše Bati 884, PSČ 760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84112"/>
    <s v="Sdružení akcionářů Tomy a.s. Otrokovice"/>
    <s v="706"/>
    <x v="1"/>
    <x v="0"/>
    <s v="Otrokovice"/>
    <s v="Otrokovice, tř. Tomáše Bati č. ev. 64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772933"/>
    <s v="Sdružení akcionářů Zbrojovky Vsetín"/>
    <s v="706"/>
    <x v="1"/>
    <x v="1"/>
    <s v="Vsetín"/>
    <s v="Vsetín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6525135"/>
    <s v="Sdružení Březinka"/>
    <s v="706"/>
    <x v="1"/>
    <x v="0"/>
    <s v="Zlín"/>
    <s v="Zlín, Dolní Paseky 514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3916"/>
    <s v="Sdružení chovatelů koní Zlínského kraje, o.s."/>
    <s v="706"/>
    <x v="1"/>
    <x v="1"/>
    <s v="Velké Karlovice"/>
    <s v="Velké Karlovice 232, PSČ 75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783214"/>
    <s v="Sdružení českých zkušeben a laboratoří, z. s."/>
    <s v="706"/>
    <x v="1"/>
    <x v="0"/>
    <s v="Zlín"/>
    <s v="Zlín, Louky, třída Tomáše Bati 299, PSČ 76302"/>
    <s v="94120"/>
    <s v="Činnosti profesních organizací"/>
    <m/>
    <m/>
    <m/>
    <m/>
    <m/>
    <m/>
    <m/>
    <m/>
    <m/>
    <m/>
    <m/>
    <m/>
    <m/>
    <m/>
    <m/>
    <m/>
    <m/>
  </r>
  <r>
    <s v="65822471"/>
    <s v="Sdružení dechového orchestru mladých Zlín, z. s. (SDOM Zlín, z. s.)"/>
    <s v="706"/>
    <x v="1"/>
    <x v="0"/>
    <s v="Zlín"/>
    <s v="Zlín, Gahurova 526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1611"/>
    <s v="Sdružení dopravců dřevní hmoty ČR, o.s."/>
    <s v="706"/>
    <x v="1"/>
    <x v="0"/>
    <s v="Valašské Klobouky"/>
    <s v="Valašské Klobouky, Luční 913, PSČ 76601"/>
    <s v="94120"/>
    <s v="Činnosti profesních organizací"/>
    <m/>
    <m/>
    <m/>
    <m/>
    <m/>
    <m/>
    <m/>
    <m/>
    <m/>
    <m/>
    <m/>
    <m/>
    <m/>
    <m/>
    <m/>
    <m/>
    <m/>
  </r>
  <r>
    <s v="67008615"/>
    <s v="Sdružení Evropské Mládeže ČR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5152"/>
    <s v="Sdružení házenkářských klubů SHK Kunovice, z.s."/>
    <s v="706"/>
    <x v="1"/>
    <x v="2"/>
    <s v="Kunovice"/>
    <s v="Kunovice, Panská 9, PSČ 68604"/>
    <s v="93120"/>
    <s v="Činnosti sportovních klubů"/>
    <m/>
    <m/>
    <m/>
    <m/>
    <m/>
    <m/>
    <m/>
    <m/>
    <m/>
    <m/>
    <m/>
    <m/>
    <m/>
    <m/>
    <m/>
    <m/>
    <m/>
  </r>
  <r>
    <s v="70286329"/>
    <s v="Sdružení HC HOLAJKA Holešov"/>
    <s v="706"/>
    <x v="1"/>
    <x v="3"/>
    <s v="Holešov"/>
    <s v="Střelnice 203, Holešov"/>
    <s v="93120"/>
    <s v="Činnosti sportovních klubů"/>
    <m/>
    <m/>
    <m/>
    <m/>
    <m/>
    <m/>
    <m/>
    <m/>
    <m/>
    <m/>
    <m/>
    <m/>
    <m/>
    <m/>
    <m/>
    <m/>
    <m/>
  </r>
  <r>
    <s v="26600137"/>
    <s v="Sdružení hokejbal-Vsetín"/>
    <s v="706"/>
    <x v="1"/>
    <x v="1"/>
    <s v="Vsetín"/>
    <s v="Vsetín, Pod Strání 1776, PSČ 75501"/>
    <s v="93110"/>
    <s v="Provozování sportovních zařízení"/>
    <m/>
    <m/>
    <m/>
    <m/>
    <m/>
    <m/>
    <m/>
    <m/>
    <m/>
    <m/>
    <m/>
    <m/>
    <m/>
    <m/>
    <m/>
    <m/>
    <m/>
  </r>
  <r>
    <s v="02231689"/>
    <s v="Sdružení Jana Šrámka - SJŠ"/>
    <s v="706"/>
    <x v="1"/>
    <x v="2"/>
    <s v="Uherský Brod"/>
    <s v="Uherský Brod, Moravská 7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1045"/>
    <s v="SDRUŽENÍ JANOVSKÝCH RODIČŮ"/>
    <s v="706"/>
    <x v="1"/>
    <x v="1"/>
    <s v="Janová"/>
    <s v="Janová 67, PSČ 75501"/>
    <s v="94999"/>
    <s v="Činnosti ostatních organizací j. n."/>
    <m/>
    <m/>
    <m/>
    <m/>
    <m/>
    <m/>
    <m/>
    <m/>
    <m/>
    <m/>
    <m/>
    <m/>
    <m/>
    <m/>
    <m/>
    <m/>
    <m/>
  </r>
  <r>
    <s v="63459523"/>
    <s v="Sdružení Jóga v denním životě Střílky"/>
    <s v="706"/>
    <x v="1"/>
    <x v="3"/>
    <s v="Střílky"/>
    <s v="Střílky, Zámecká 202, PSČ 76804"/>
    <s v="931"/>
    <s v="Sportovní činnosti"/>
    <m/>
    <m/>
    <m/>
    <m/>
    <m/>
    <m/>
    <m/>
    <m/>
    <m/>
    <m/>
    <m/>
    <m/>
    <m/>
    <m/>
    <m/>
    <m/>
    <m/>
  </r>
  <r>
    <s v="70851441"/>
    <s v="Sdružení Kaštánek"/>
    <s v="706"/>
    <x v="1"/>
    <x v="0"/>
    <s v="Lukov"/>
    <s v="Pod kaštany 32, 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3580"/>
    <s v="Sdružení lépe"/>
    <s v="706"/>
    <x v="1"/>
    <x v="0"/>
    <s v="Újezd"/>
    <s v="Újezd u Valašských Klobouk 3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285250"/>
    <s v="sdružení LOOP, z.s."/>
    <s v="706"/>
    <x v="1"/>
    <x v="2"/>
    <s v="Uherské Hradiště"/>
    <s v="Uherské Hradiště, Mojmírova 34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6284"/>
    <s v="Sdružení majitelů domu 3641 Zlín-Obeciny"/>
    <s v="706"/>
    <x v="1"/>
    <x v="0"/>
    <s v="Zlín"/>
    <s v="Zlín-Obeciny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7520"/>
    <s v="Sdružení majitelů pozemků osad NAPAJEDLA - Svatojánky, z.s."/>
    <s v="706"/>
    <x v="1"/>
    <x v="0"/>
    <s v="Napajedla"/>
    <s v="Napajedla č. ev. 334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2439"/>
    <s v="Sdružení malých bytových družstev a společenství vlastníků Zlínského kraje"/>
    <s v="706"/>
    <x v="1"/>
    <x v="0"/>
    <s v="Zlín"/>
    <s v="Zlín, Bratří Jaroňků 407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130165"/>
    <s v="Sdružení místních samospráv České republiky, z. s."/>
    <s v="706"/>
    <x v="1"/>
    <x v="0"/>
    <s v="Zlín"/>
    <s v="Zlín, Prštné, Nábřeží 599, PSČ 76001"/>
    <s v="841"/>
    <s v="Veřejná správa a hospodářská a sociální politika"/>
    <m/>
    <m/>
    <m/>
    <m/>
    <m/>
    <m/>
    <m/>
    <m/>
    <m/>
    <m/>
    <m/>
    <m/>
    <m/>
    <m/>
    <m/>
    <m/>
    <m/>
  </r>
  <r>
    <s v="22882367"/>
    <s v="Sdružení mladých valašských sportovců"/>
    <s v="706"/>
    <x v="1"/>
    <x v="1"/>
    <s v="Rožnov pod Radhoštěm"/>
    <s v="Rožnov pod Radhoštěm, Chodská 670, PSČ 75661"/>
    <s v="93190"/>
    <s v="Ostatní sportovní činnosti"/>
    <m/>
    <m/>
    <m/>
    <m/>
    <m/>
    <m/>
    <m/>
    <m/>
    <m/>
    <m/>
    <m/>
    <m/>
    <m/>
    <m/>
    <m/>
    <m/>
    <m/>
  </r>
  <r>
    <s v="22736042"/>
    <s v="&quot;Sdružení modelářských klubů o.s.&quot;"/>
    <s v="706"/>
    <x v="1"/>
    <x v="0"/>
    <s v="Slavičín"/>
    <s v="Slavičín, Divnice 123, Army park"/>
    <s v="94991"/>
    <s v="Činnosti organizací dětí a mládeže"/>
    <m/>
    <m/>
    <m/>
    <m/>
    <m/>
    <m/>
    <m/>
    <m/>
    <m/>
    <m/>
    <m/>
    <m/>
    <m/>
    <m/>
    <m/>
    <m/>
    <m/>
  </r>
  <r>
    <s v="26984628"/>
    <s v="Sdružení Moravskoslezského coursingu"/>
    <s v="706"/>
    <x v="1"/>
    <x v="3"/>
    <s v="Míškovice"/>
    <s v="Míškovice 185, PSČ 7685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575964"/>
    <s v="Sdružení moravských Romů ČR - NEVODROM"/>
    <s v="736"/>
    <x v="0"/>
    <x v="0"/>
    <s v="Zlín"/>
    <s v="Zlín, Benešovo nábřeží 3716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6608758"/>
    <s v="Sdružení myslivců Hubert Bystřice pod Lopeníkem"/>
    <s v="706"/>
    <x v="1"/>
    <x v="2"/>
    <s v="Bystřice pod Lopeníkem"/>
    <s v="Bystřice pod Lopeníkem 294, PSČ 6875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86549"/>
    <s v="Sdružení nájemců v domě 1193 ul. Družba, Hulín"/>
    <s v="706"/>
    <x v="1"/>
    <x v="3"/>
    <s v="Hulín"/>
    <s v="Hulín, Družba 1193, PSČ 768 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64625"/>
    <s v="Sdružení Nové Kvítkovice"/>
    <s v="706"/>
    <x v="1"/>
    <x v="0"/>
    <s v="Otrokovice"/>
    <s v="Otrokovice, Kvítkovice, Nivy 147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4903"/>
    <s v="Sdružení občanů obce Žlutavy 1999"/>
    <s v="706"/>
    <x v="1"/>
    <x v="0"/>
    <s v="Otrokovice"/>
    <s v="Otrokovice, Kvítkovice, SNP 1177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1406"/>
    <s v="Sdružení občanů POMNĚNKA"/>
    <s v="706"/>
    <x v="1"/>
    <x v="2"/>
    <s v="Bílovice"/>
    <s v="Bílovice, Včelary 328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15691"/>
    <s v="Sdružení občanů postižených povodní v obci Plešovec a okrajové části"/>
    <s v="706"/>
    <x v="1"/>
    <x v="3"/>
    <s v="Kroměříž"/>
    <s v="Kroměříž, Chropyňská 1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23044"/>
    <s v="Sdružení občanů pro ekologické a efektivní řešení dopravní situace Zlín-Malenovice"/>
    <s v="706"/>
    <x v="1"/>
    <x v="0"/>
    <s v="Zlín"/>
    <s v="Zlín, Malenovice, třída 3. května 808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4750"/>
    <s v="Sdružení občanů pro Lípu rovnější"/>
    <s v="706"/>
    <x v="1"/>
    <x v="0"/>
    <s v="Lípa"/>
    <s v="Lípa 107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1125"/>
    <s v="Sdružení občanů pro vládní variantu trasy komunikace R55"/>
    <s v="706"/>
    <x v="1"/>
    <x v="0"/>
    <s v="Napajedla"/>
    <s v="Napajedla, třída Tomáše Bati 946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9098"/>
    <s v="Sdružení občanů pro výstavbu kaple v Doubravách"/>
    <s v="706"/>
    <x v="1"/>
    <x v="0"/>
    <s v="Doubravy"/>
    <s v="Březůvky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6094"/>
    <s v="Sdružení občanů Sadů - S.O.S."/>
    <s v="706"/>
    <x v="1"/>
    <x v="2"/>
    <s v="Uherské Hradiště"/>
    <s v="Uherské Hradiště, Sady, Solná cesta 22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2591"/>
    <s v="Sdružení ochránců přírody Vlčnov z.s."/>
    <s v="706"/>
    <x v="1"/>
    <x v="2"/>
    <s v="Vlčnov"/>
    <s v="Vlčnov 831, PSČ 68761"/>
    <s v="94995"/>
    <s v="Činnosti environmentálních a ekologických hnutí"/>
    <m/>
    <m/>
    <m/>
    <m/>
    <m/>
    <m/>
    <m/>
    <m/>
    <m/>
    <m/>
    <m/>
    <m/>
    <m/>
    <m/>
    <m/>
    <m/>
    <m/>
  </r>
  <r>
    <s v="26563126"/>
    <s v="Sdružení pacientů s metabolickými onemocněními kostní tkáně při Osteologické akademii Zlín"/>
    <s v="706"/>
    <x v="1"/>
    <x v="0"/>
    <s v="Zlín"/>
    <s v="Zlín, třída Tomáše Bati 3910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6184291"/>
    <s v="Sdružení pěstounských rodin"/>
    <s v="736"/>
    <x v="0"/>
    <x v="1"/>
    <s v="Vsetín"/>
    <s v="Vsetín, Družstevní 1569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717188"/>
    <s v="Sdružení plážového volejbalu"/>
    <s v="706"/>
    <x v="1"/>
    <x v="1"/>
    <s v="Dolní Bečva"/>
    <s v="Dolní Bečva 526, PSČ 75655"/>
    <s v="93190"/>
    <s v="Ostatní sportovní činnosti"/>
    <m/>
    <m/>
    <m/>
    <m/>
    <m/>
    <m/>
    <m/>
    <m/>
    <m/>
    <m/>
    <m/>
    <m/>
    <m/>
    <m/>
    <m/>
    <m/>
    <m/>
  </r>
  <r>
    <s v="61716685"/>
    <s v="&quot;Sdružení podnikatelů města Fryšták&quot;"/>
    <s v="706"/>
    <x v="1"/>
    <x v="0"/>
    <s v="Fryšták"/>
    <s v="Fryšták, Zlínská 313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500400"/>
    <s v="Sdružení podnikatelů se sídlem ve Valašském Meziříčí"/>
    <s v="706"/>
    <x v="1"/>
    <x v="1"/>
    <s v="Valašské Meziříčí"/>
    <s v="Valašské Meziříčí, Hřbitovní 33, PSČ 757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7711"/>
    <s v="Sdružení pozemkových podílníků se sídlem v Nezdenicích"/>
    <s v="706"/>
    <x v="1"/>
    <x v="2"/>
    <s v="Nezdenice"/>
    <s v="Nezdenice 30, PSČ 687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62183"/>
    <s v="Sdružení pro aktivní rozvoj, z.s."/>
    <s v="706"/>
    <x v="1"/>
    <x v="2"/>
    <s v="Kunovice"/>
    <s v="Kunovice, V Lánech 1693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467"/>
    <s v="Sdružení pro integraci zdravotně postižených ve Zlíně"/>
    <s v="706"/>
    <x v="1"/>
    <x v="0"/>
    <s v="Zlín"/>
    <s v="Zlín, tř. T. Bati 299, SPEKTRUM PLUS o.p.s.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07830"/>
    <s v="Sdružení pro pořádání houslových kurzů Kroměříž"/>
    <s v="706"/>
    <x v="1"/>
    <x v="3"/>
    <s v="Kroměříž"/>
    <s v="Kroměříž, Rumunská 4047/1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652155"/>
    <s v="Sdružení pro rozvoj a podporu školství z.s."/>
    <s v="706"/>
    <x v="1"/>
    <x v="0"/>
    <s v="Brumov-Bylnice"/>
    <s v="Brumov-Bylnice, Brumov, Družba 1178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9532"/>
    <s v="Sdružení pro rozvoj Soláně, z.s."/>
    <s v="706"/>
    <x v="1"/>
    <x v="1"/>
    <s v="Karolinka"/>
    <s v="Karolinka, Bzové 325, IC Zvonice Soláň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58039"/>
    <s v="Sdružení pro rozvoj Zlínského kraje z.s."/>
    <s v="706"/>
    <x v="1"/>
    <x v="0"/>
    <s v="Zlín"/>
    <s v="Zlín, Vavrečkova 526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9241"/>
    <s v="Sdružení pro veslování"/>
    <s v="706"/>
    <x v="1"/>
    <x v="2"/>
    <s v="Uherské Hradiště"/>
    <s v="Uherské Hradiště, Dukelských hrdinů 51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791"/>
    <s v="Sdružení pro výstavbu a užívání vodovodu Prostřední Bečva - Bacov, z.s."/>
    <s v="706"/>
    <x v="1"/>
    <x v="1"/>
    <s v="Prostřední Bečva"/>
    <s v="Prostřední Bečva č. ev. 132, PSČ 756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280"/>
    <s v="Sdružení pro zachování tradic řeznického řemesla na Valašsku"/>
    <s v="706"/>
    <x v="1"/>
    <x v="1"/>
    <s v="Valašské Meziříčí"/>
    <s v="Valašské Meziříčí, Krásno nad Bečvou, Hranická 430/3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545510"/>
    <s v="Sdružení pro životní prostředí zdravotně postižených v ČR - okresní organizace"/>
    <s v="736"/>
    <x v="0"/>
    <x v="3"/>
    <s v="Bystřice pod Hostýnem"/>
    <s v="Bystřice pod Hostýnem, 6. května 1612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081791"/>
    <s v="Sdružení pro život.prostř.zdravot.postižených v ČR - okresní organizace"/>
    <s v="736"/>
    <x v="0"/>
    <x v="2"/>
    <s v="Uherské Hradiště"/>
    <s v="Uherské Hradiště, Mařatice, 1. máje 53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6373"/>
    <s v="Sdružení přátel fantasy a dřevěného šermu"/>
    <s v="706"/>
    <x v="1"/>
    <x v="3"/>
    <s v="Kroměříž"/>
    <s v="Kroměříž, Spáčilova 3643/37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22609"/>
    <s v="Sdružení přátel her Ašóka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4572"/>
    <s v="Sdružení přátel her Ašóka, místní organizace Zlín"/>
    <s v="736"/>
    <x v="0"/>
    <x v="0"/>
    <s v="Zlín"/>
    <s v="Zlín, Malenovice, Brigádnická 414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9003"/>
    <s v="SDRUŽENÍ PŘÁTEL HISTORIE A TRADIC VALAŠSKA"/>
    <s v="706"/>
    <x v="1"/>
    <x v="1"/>
    <s v="Ratiboř"/>
    <s v="Ratiboř 467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2115"/>
    <s v="Sdružení přátel Jana Wericha - Werichovci Zlín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1641"/>
    <s v="Sdružení přátel Johanky z Arku z.s."/>
    <s v="706"/>
    <x v="1"/>
    <x v="3"/>
    <s v="Hulín"/>
    <s v="Hulín, Chrášťany 49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98117"/>
    <s v="Sdružení přátel Kateřinic, z. s."/>
    <s v="706"/>
    <x v="1"/>
    <x v="1"/>
    <s v="Kateřinice"/>
    <s v="Kateřinice 242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081961"/>
    <s v="Sdružení přátel koní a dětí Tabarky"/>
    <s v="706"/>
    <x v="1"/>
    <x v="3"/>
    <s v="Vrbka"/>
    <s v="Vrbka 58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97204"/>
    <s v="Sdružení přátel kultury z. s."/>
    <s v="706"/>
    <x v="1"/>
    <x v="2"/>
    <s v="Uherské Hradiště"/>
    <s v="Uherské Hradiště, Tyršovo náměstí 440, PSČ 68601"/>
    <s v="9499"/>
    <s v="Činnosti ostatních organizací sdružujících osoby za účelem prosazování společných zájmů j. n."/>
    <s v="Ostatní vzdělávání"/>
    <s v="Ostatní zábavní a rekreační činnosti j. n."/>
    <m/>
    <m/>
    <m/>
    <m/>
    <m/>
    <m/>
    <m/>
    <m/>
    <m/>
    <m/>
    <m/>
    <m/>
    <m/>
    <m/>
    <m/>
  </r>
  <r>
    <s v="49563122"/>
    <s v="Sdružení přátel poetiky"/>
    <s v="706"/>
    <x v="1"/>
    <x v="1"/>
    <s v="Vigantice"/>
    <s v="Vigantice"/>
    <s v="93290"/>
    <s v="Ostatní zábavní a rekreační činnosti j. n."/>
    <m/>
    <m/>
    <m/>
    <m/>
    <m/>
    <m/>
    <m/>
    <m/>
    <m/>
    <m/>
    <m/>
    <m/>
    <m/>
    <m/>
    <m/>
    <m/>
    <m/>
  </r>
  <r>
    <s v="26657481"/>
    <s v="Sdružení přátel pozůstalých Ploština-Ryliska"/>
    <s v="706"/>
    <x v="1"/>
    <x v="0"/>
    <s v="Vysoké Pole"/>
    <s v="Vysoké Pole 118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5289"/>
    <s v="Sdružení přátel Střední podnikatelské školy a Vyšší odborné školy"/>
    <s v="706"/>
    <x v="1"/>
    <x v="3"/>
    <s v="Kroměříž"/>
    <s v="Kroměříž, Tovačovského 337/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7359"/>
    <s v="Sdružení přátel Vysokého Pole"/>
    <s v="706"/>
    <x v="1"/>
    <x v="0"/>
    <s v="Vysoké Pole"/>
    <s v="Vysoké Pole 118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335375"/>
    <s v="Sdružení přátel ZUŠ Rožnov p. R., z.s."/>
    <s v="706"/>
    <x v="1"/>
    <x v="1"/>
    <s v="Rožnov pod Radhoštěm"/>
    <s v="Rožnov pod Radhoštěm, Pionýrská 20, Základní umělecká škola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60115"/>
    <s v="Sdružení při ZUŠ Kroměříž, z.s."/>
    <s v="706"/>
    <x v="1"/>
    <x v="3"/>
    <s v="Kroměříž"/>
    <s v="Kroměříž, Jánská 31/2, PSČ 76701"/>
    <s v="94999"/>
    <s v="Činnosti ostatních organizací j. n."/>
    <m/>
    <m/>
    <m/>
    <m/>
    <m/>
    <m/>
    <m/>
    <m/>
    <m/>
    <m/>
    <m/>
    <m/>
    <m/>
    <m/>
    <m/>
    <m/>
    <m/>
  </r>
  <r>
    <s v="68081570"/>
    <s v="Sdružení přídělců půdy v Lukově"/>
    <s v="706"/>
    <x v="1"/>
    <x v="0"/>
    <s v="Lukov"/>
    <s v="Lukov, U Rybníka 6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940845"/>
    <s v="Sdružení příjemců evropských dotací, z. s."/>
    <s v="706"/>
    <x v="1"/>
    <x v="0"/>
    <s v="Zlín"/>
    <s v="Zlín, třída Tomáše Bati 5146, PSČ 76001"/>
    <s v="941"/>
    <s v="Činnosti podnikatelských, zaměstnavatelských a profesních organizací"/>
    <m/>
    <m/>
    <m/>
    <m/>
    <m/>
    <m/>
    <m/>
    <m/>
    <m/>
    <m/>
    <m/>
    <m/>
    <m/>
    <m/>
    <m/>
    <m/>
    <m/>
  </r>
  <r>
    <s v="05460654"/>
    <s v="Sdružení REVATEK"/>
    <s v="706"/>
    <x v="1"/>
    <x v="1"/>
    <s v="Rožnov pod Radhoštěm"/>
    <s v="Rožnov pod Radhoštěm, Sokolská 49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82932"/>
    <s v="Sdružení rodičů a přátel dětí a školy při ZŠ Strání"/>
    <s v="706"/>
    <x v="1"/>
    <x v="2"/>
    <s v="Strání"/>
    <s v="Strání, Rubanice 877, PSČ 6876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1484"/>
    <s v="Sdružení rodičů a přátel dětí a školy při ZŠ T.G.Masaryka v Uherském Hradišti, z.s."/>
    <s v="706"/>
    <x v="1"/>
    <x v="2"/>
    <s v="Uherské Hradiště"/>
    <s v="Uherské Hradiště, Mařatice, 1. máje 55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3635"/>
    <s v="Sdružení rodičů a přátel dětí a školy při ZvŠ Holešov"/>
    <s v="706"/>
    <x v="1"/>
    <x v="3"/>
    <s v="Holešov"/>
    <s v="Holešov, Palackého 437/6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6794"/>
    <s v="Sdružení rodičů a přátel dětí při Mateřské škole Kostelany"/>
    <s v="706"/>
    <x v="1"/>
    <x v="3"/>
    <s v="Kostelany"/>
    <s v="Kostelany 107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54832"/>
    <s v="Sdružení rodičů a přátel dětí školy při Základní škole, Uherský Brod, Na Výsluní 2047, okres Uherské Hradiště, z.s."/>
    <s v="706"/>
    <x v="1"/>
    <x v="2"/>
    <s v="Uherský Brod"/>
    <s v="Uherský Brod, Na Výsluní 204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78777"/>
    <s v="Sdružení rodičů a přátel dětí školy při ZŠ a MŠ Traplice, z.s."/>
    <s v="706"/>
    <x v="1"/>
    <x v="2"/>
    <s v="Traplice"/>
    <s v="Traplice 375, PSČ 68704"/>
    <s v="94999"/>
    <s v="Činnosti ostatních organizací j. n."/>
    <m/>
    <m/>
    <m/>
    <m/>
    <m/>
    <m/>
    <m/>
    <m/>
    <m/>
    <m/>
    <m/>
    <m/>
    <m/>
    <m/>
    <m/>
    <m/>
    <m/>
  </r>
  <r>
    <s v="02200074"/>
    <s v="Sdružení rodičů a přátel domu dětí Hulín"/>
    <s v="706"/>
    <x v="1"/>
    <x v="3"/>
    <s v="Hulín"/>
    <s v="Hulín, Nábřeží 696, PSČ 76824"/>
    <s v="94999"/>
    <s v="Činnosti ostatních organizací j. n."/>
    <m/>
    <m/>
    <m/>
    <m/>
    <m/>
    <m/>
    <m/>
    <m/>
    <m/>
    <m/>
    <m/>
    <m/>
    <m/>
    <m/>
    <m/>
    <m/>
    <m/>
  </r>
  <r>
    <s v="18189601"/>
    <s v="Sdružení rodičů a přátel Gymnázia Kroměříž, z.s."/>
    <s v="706"/>
    <x v="1"/>
    <x v="3"/>
    <s v="Kroměříž"/>
    <s v="Kroměříž, Masarykovo náměstí 496/1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56575"/>
    <s v="Sdružení rodičů a přátel při ZŠ Bohuslavice u Zlína, z.s."/>
    <s v="706"/>
    <x v="1"/>
    <x v="0"/>
    <s v="Bohuslavice u Zlína"/>
    <s v="Bohuslavice u Zlína 221, PSČ 76351"/>
    <s v="94999"/>
    <s v="Činnosti ostatních organizací j. n."/>
    <m/>
    <m/>
    <m/>
    <m/>
    <m/>
    <m/>
    <m/>
    <m/>
    <m/>
    <m/>
    <m/>
    <m/>
    <m/>
    <m/>
    <m/>
    <m/>
    <m/>
  </r>
  <r>
    <s v="65888464"/>
    <s v="Sdružení rodičů a přátel při ZŠ Vsetín - Luh, z. s."/>
    <s v="706"/>
    <x v="1"/>
    <x v="1"/>
    <s v="Vsetín"/>
    <s v="Vsetín, Jasenická 154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013860"/>
    <s v="Sdružení rodičů a přátel při ZUŠ Uherské Hradiště, z. s."/>
    <s v="706"/>
    <x v="1"/>
    <x v="2"/>
    <s v="Uherské Hradiště"/>
    <s v="Uherské Hradiště, Mariánské náměstí 12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4071"/>
    <s v="Sdružení rodičů a přátel školy při Mateřské škole v Přílepích"/>
    <s v="706"/>
    <x v="1"/>
    <x v="3"/>
    <s v="Přílepy"/>
    <s v="Přílepy 4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8715"/>
    <s v="Sdružení rodičů a přátel školy při Střední škole oděvní a služeb Vizovice, z. s."/>
    <s v="706"/>
    <x v="1"/>
    <x v="0"/>
    <s v="Vizovice"/>
    <s v="Vizovice, Tyršova 874, PSČ 76312"/>
    <s v="94999"/>
    <s v="Činnosti ostatních organizací j. n."/>
    <m/>
    <m/>
    <m/>
    <m/>
    <m/>
    <m/>
    <m/>
    <m/>
    <m/>
    <m/>
    <m/>
    <m/>
    <m/>
    <m/>
    <m/>
    <m/>
    <m/>
  </r>
  <r>
    <s v="26605660"/>
    <s v="Sdružení rodičů a přátel školy při Střední škole průmyslové, hotelové a zdravotnické Uherské Hradiště, z.s."/>
    <s v="706"/>
    <x v="1"/>
    <x v="2"/>
    <s v="Uherské Hradiště"/>
    <s v="Uherské Hradiště, Kollárova 617, PSČ 68601"/>
    <s v="94991"/>
    <s v="Činnosti organizací dětí a mládeže"/>
    <m/>
    <m/>
    <m/>
    <m/>
    <m/>
    <m/>
    <m/>
    <m/>
    <m/>
    <m/>
    <m/>
    <m/>
    <m/>
    <m/>
    <m/>
    <m/>
    <m/>
  </r>
  <r>
    <s v="26988089"/>
    <s v="Sdružení rodičů a přátel školy při Základní škole Staré Město, z.s."/>
    <s v="706"/>
    <x v="1"/>
    <x v="2"/>
    <s v="Staré Město"/>
    <s v="Staré Město, Komenského 172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2491"/>
    <s v="Sdružení rodičů a přátel školy při Základní škole Trávníky Otrokovice, z.s."/>
    <s v="706"/>
    <x v="1"/>
    <x v="0"/>
    <s v="Otrokovice"/>
    <s v="Otrokovice, Hlavní 1160, Základní škola Trávníky Otrokovice"/>
    <s v="94999"/>
    <s v="Činnosti ostatních organizací j. n."/>
    <m/>
    <m/>
    <m/>
    <m/>
    <m/>
    <m/>
    <m/>
    <m/>
    <m/>
    <m/>
    <m/>
    <m/>
    <m/>
    <m/>
    <m/>
    <m/>
    <m/>
  </r>
  <r>
    <s v="05770882"/>
    <s v="Sdružení rodičů a přátel školy při ZŠ a MŠ Hvozdná, z.s."/>
    <s v="706"/>
    <x v="1"/>
    <x v="0"/>
    <s v="Hvozdná"/>
    <s v="Hvozdná, Hlavní 19, PSČ 76310"/>
    <s v="94999"/>
    <s v="Činnosti ostatních organizací j. n."/>
    <s v="Velkoobchod, kromě motorových vozidel"/>
    <s v="Maloobchod, kromě motorových vozidel"/>
    <s v="Ostatní vzdělávání"/>
    <s v="Stravování v restauracích, u stánků a v mobilních zařízeních"/>
    <s v="Podpůrné činnosti pro scénická umění"/>
    <s v="Destilace, rektifikace a míchání lihovin"/>
    <m/>
    <m/>
    <m/>
    <m/>
    <m/>
    <m/>
    <m/>
    <m/>
    <m/>
    <m/>
    <m/>
  </r>
  <r>
    <s v="48473111"/>
    <s v="Sdružení rodičů a přátel školy při ZŠ a MŠ Újezd, okres Zlín, z.s."/>
    <s v="706"/>
    <x v="1"/>
    <x v="0"/>
    <s v="Újezd"/>
    <s v="Újezd 252, PSČ 76325"/>
    <s v="9499"/>
    <s v="Činnosti ostatních organizací sdružujících osoby za účelem prosazování společných zájmů j. n."/>
    <s v="Maloobchod v nespecializovaných prodejnách"/>
    <s v="Ostatní vzdělávání"/>
    <s v="Stravování v restauracích, u stánků a v mobilních zařízeních"/>
    <s v="Podpůrné činnosti pro scénická umění"/>
    <s v="Ostatní sportovní činnosti"/>
    <m/>
    <m/>
    <m/>
    <m/>
    <m/>
    <m/>
    <m/>
    <m/>
    <m/>
    <m/>
    <m/>
    <m/>
  </r>
  <r>
    <s v="01453033"/>
    <s v="Sdružení rodičů a přátel školy při ZŠ Oskol, z.s."/>
    <s v="706"/>
    <x v="1"/>
    <x v="3"/>
    <s v="Kroměříž"/>
    <s v="Kroměříž, Mánesova 3861/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6494"/>
    <s v="Sdružení rodičů a přátel školy při ZŠ TGM, z. s."/>
    <s v="706"/>
    <x v="1"/>
    <x v="2"/>
    <s v="Bojkovice"/>
    <s v="Bojkovice, Štefánikova 460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90553"/>
    <s v="Sdružení rodičů a přátel školy při ZŠ v Babicích, z.s."/>
    <s v="706"/>
    <x v="1"/>
    <x v="2"/>
    <s v="Babice"/>
    <s v="Babice 377, PSČ 68703"/>
    <s v="94999"/>
    <s v="Činnosti ostatních organizací j. n."/>
    <m/>
    <m/>
    <m/>
    <m/>
    <m/>
    <m/>
    <m/>
    <m/>
    <m/>
    <m/>
    <m/>
    <m/>
    <m/>
    <m/>
    <m/>
    <m/>
    <m/>
  </r>
  <r>
    <s v="71191593"/>
    <s v="Sdružení rodičů a přátel školy při ZŠ Za Alejí v Uherském Hradišti, z.s."/>
    <s v="706"/>
    <x v="1"/>
    <x v="2"/>
    <s v="Uherské Hradiště"/>
    <s v="Uherské Hradiště, Za Alejí 1072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706"/>
    <s v="Sdružení rodičů a přátel školy při ZŠ Zlín-Štípa, zapsaný spolek"/>
    <s v="706"/>
    <x v="1"/>
    <x v="0"/>
    <s v="Zlín"/>
    <s v="Zlín, Štípa, Nová cesta 268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11823"/>
    <s v="Sdružení rodičů a přátel školy při 11. ZŠ Zlín, z.s."/>
    <s v="706"/>
    <x v="1"/>
    <x v="0"/>
    <s v="Zlín"/>
    <s v="Zlín, Malenovice, třída Svobody 868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76441"/>
    <s v="Sdružení rodičů a přátel školy při 6. ZŠ ve Zlíně"/>
    <s v="706"/>
    <x v="1"/>
    <x v="0"/>
    <s v="Zlín"/>
    <s v="Zlín, Bartošova čtvrť, PSČ 760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63423"/>
    <s v="Sdružení rodičů a přátel školy SŠIEŘ Rožnov, z.s."/>
    <s v="706"/>
    <x v="1"/>
    <x v="1"/>
    <s v="Rožnov pod Radhoštěm"/>
    <s v="Rožnov pod Radhoštěm, Školní 1610, PSČ 75661"/>
    <s v="94999"/>
    <s v="Činnosti ostatních organizací j. n."/>
    <m/>
    <m/>
    <m/>
    <m/>
    <m/>
    <m/>
    <m/>
    <m/>
    <m/>
    <m/>
    <m/>
    <m/>
    <m/>
    <m/>
    <m/>
    <m/>
    <m/>
  </r>
  <r>
    <s v="65340248"/>
    <s v="Sdružení rodičů a přátel Základní školy a Mateřské školy Želechovice nad Dřevnicí, z. s."/>
    <s v="706"/>
    <x v="1"/>
    <x v="0"/>
    <s v="Želechovice nad Dřevnicí"/>
    <s v="Želechovice nad Dřevnicí, 4. května 336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387"/>
    <s v="&quot;Sdružení rodičů a přátel Základní školy Polešovice, z.s.&quot;"/>
    <s v="706"/>
    <x v="1"/>
    <x v="2"/>
    <s v="Polešovice"/>
    <s v="Polešovice 600, ZŠ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053480"/>
    <s v="Sdružení rodičů a přátel ZŠ a MŠ Pozděchov, z.s."/>
    <s v="706"/>
    <x v="1"/>
    <x v="1"/>
    <s v="Pozděchov"/>
    <s v="Pozděchov 192, PSČ 75611"/>
    <s v="94999"/>
    <s v="Činnosti ostatních organizací j. n."/>
    <m/>
    <m/>
    <m/>
    <m/>
    <m/>
    <m/>
    <m/>
    <m/>
    <m/>
    <m/>
    <m/>
    <m/>
    <m/>
    <m/>
    <m/>
    <m/>
    <m/>
  </r>
  <r>
    <s v="01903403"/>
    <s v="Sdružení rodičů a přátel ZŠ U Sýpek z.s."/>
    <s v="706"/>
    <x v="1"/>
    <x v="3"/>
    <s v="Kroměříž"/>
    <s v="Kroměříž, U Sýpek 1462/2, PSČ 76701"/>
    <s v="94999"/>
    <s v="Činnosti ostatních organizací j. n."/>
    <m/>
    <m/>
    <m/>
    <m/>
    <m/>
    <m/>
    <m/>
    <m/>
    <m/>
    <m/>
    <m/>
    <m/>
    <m/>
    <m/>
    <m/>
    <m/>
    <m/>
  </r>
  <r>
    <s v="28554264"/>
    <s v="Sdružení rodičů Březová, z. s."/>
    <s v="706"/>
    <x v="1"/>
    <x v="0"/>
    <s v="Březová"/>
    <s v="Březová 36, PSČ 76315"/>
    <s v="94991"/>
    <s v="Činnosti organizací dětí a mládeže"/>
    <m/>
    <m/>
    <m/>
    <m/>
    <m/>
    <m/>
    <m/>
    <m/>
    <m/>
    <m/>
    <m/>
    <m/>
    <m/>
    <m/>
    <m/>
    <m/>
    <m/>
  </r>
  <r>
    <s v="26557932"/>
    <s v="Sdružení rodičů Montessori Zlín"/>
    <s v="706"/>
    <x v="1"/>
    <x v="0"/>
    <s v="Zlín"/>
    <s v="Zlín, Havlíčkovo nábř. 3114, ZŠ Komenského I"/>
    <s v="94999"/>
    <s v="Činnosti ostatních organizací j. n."/>
    <m/>
    <m/>
    <m/>
    <m/>
    <m/>
    <m/>
    <m/>
    <m/>
    <m/>
    <m/>
    <m/>
    <m/>
    <m/>
    <m/>
    <m/>
    <m/>
    <m/>
  </r>
  <r>
    <s v="68729995"/>
    <s v="Sdružení rodičů, přátel a žáků školy při Střední škole hotelové a služeb v Kroměříži"/>
    <s v="706"/>
    <x v="1"/>
    <x v="3"/>
    <s v="Kroměříž"/>
    <s v="Kroměříž, Pavlákova 3942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3701"/>
    <s v="Sdružení rodičů, přátel dětí a školy ZUŠ Slavičín, z.s."/>
    <s v="706"/>
    <x v="1"/>
    <x v="0"/>
    <s v="Slavičín"/>
    <s v="Slavičín, náměstí Mezi Šenky 121, PSČ 76321"/>
    <s v="94999"/>
    <s v="Činnosti ostatních organizací j. n."/>
    <m/>
    <m/>
    <m/>
    <m/>
    <m/>
    <m/>
    <m/>
    <m/>
    <m/>
    <m/>
    <m/>
    <m/>
    <m/>
    <m/>
    <m/>
    <m/>
    <m/>
  </r>
  <r>
    <s v="65767861"/>
    <s v="Sdružení rodičů při II. ZŠ v Napajedlích"/>
    <s v="706"/>
    <x v="1"/>
    <x v="0"/>
    <s v="Napajedla"/>
    <s v="Napajedla, Komenského 298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998055"/>
    <s v="Sdružení rodičů při III.ZŠ Holešov, Kráčiny 329"/>
    <s v="706"/>
    <x v="1"/>
    <x v="3"/>
    <s v="Holešov"/>
    <s v="Holešov, Všetuly, Družby 329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03047"/>
    <s v="Sdružení rodičů při Mateřské škole Sluníčko Holešov z. s."/>
    <s v="706"/>
    <x v="1"/>
    <x v="3"/>
    <s v="Holešov"/>
    <s v="Holešov, Havlíčkova 1409, PSČ 76901"/>
    <s v="94999"/>
    <s v="Činnosti ostatních organizací j. n."/>
    <m/>
    <m/>
    <m/>
    <m/>
    <m/>
    <m/>
    <m/>
    <m/>
    <m/>
    <m/>
    <m/>
    <m/>
    <m/>
    <m/>
    <m/>
    <m/>
    <m/>
  </r>
  <r>
    <s v="67727956"/>
    <s v="Sdružení rodičů při MŠ v Kelči, z.s."/>
    <s v="706"/>
    <x v="1"/>
    <x v="1"/>
    <s v="Kelč"/>
    <s v="Kelč 59, PSČ 75643"/>
    <s v="94999"/>
    <s v="Činnosti ostatních organizací j. n."/>
    <m/>
    <m/>
    <m/>
    <m/>
    <m/>
    <m/>
    <m/>
    <m/>
    <m/>
    <m/>
    <m/>
    <m/>
    <m/>
    <m/>
    <m/>
    <m/>
    <m/>
  </r>
  <r>
    <s v="71010611"/>
    <s v="Sdružení rodičů při MŠ v Uherském Hradišti, Svatováclavská 943"/>
    <s v="706"/>
    <x v="1"/>
    <x v="2"/>
    <s v="Uherské Hradiště"/>
    <s v="Uherské Hradiště, Svatováclavská 94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8082"/>
    <s v="Sdružení rodičů při MŠ v Uherském Hradišti, 28. října 982"/>
    <s v="706"/>
    <x v="1"/>
    <x v="2"/>
    <s v="Uherské Hradiště"/>
    <s v="Uherské Hradiště, 28. října 98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64918"/>
    <s v="Sdružení rodičů při MŠ Zlín-Březnice"/>
    <s v="706"/>
    <x v="1"/>
    <x v="0"/>
    <s v="Březnice"/>
    <s v="Březnice, PSČ 262 7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435057"/>
    <s v="Sdružení rodičů při SPŠ, Zlín"/>
    <s v="706"/>
    <x v="1"/>
    <x v="0"/>
    <s v="Zlín"/>
    <s v="Zlín, třída Tomáše Bati 418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116191"/>
    <s v="Sdružení rodičů při základní škole Polešovice"/>
    <s v="706"/>
    <x v="1"/>
    <x v="2"/>
    <s v="Polešovice"/>
    <s v="Polešovice 600, PSČ 68737"/>
    <s v="94999"/>
    <s v="Činnosti ostatních organizací j. n."/>
    <m/>
    <m/>
    <m/>
    <m/>
    <m/>
    <m/>
    <m/>
    <m/>
    <m/>
    <m/>
    <m/>
    <m/>
    <m/>
    <m/>
    <m/>
    <m/>
    <m/>
  </r>
  <r>
    <s v="48489581"/>
    <s v="Sdružení rodičů při Základní škole v Ořechově"/>
    <s v="706"/>
    <x v="1"/>
    <x v="2"/>
    <s v="Ořechov"/>
    <s v="Ořechov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558"/>
    <s v="Sdružení rodičů při Základní škole Vojtěcha Jasného Kelč, z.s."/>
    <s v="706"/>
    <x v="1"/>
    <x v="1"/>
    <s v="Kelč"/>
    <s v="Kelč 229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77731"/>
    <s v="Sdružení rodičů při Základní škole Zlín, Okružní 4685, z.s."/>
    <s v="706"/>
    <x v="1"/>
    <x v="0"/>
    <s v="Zlín"/>
    <s v="Zlín, Okružní 4685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19939"/>
    <s v="Sdružení rodičů při ZŠ Francova Lhota, z.s."/>
    <s v="706"/>
    <x v="1"/>
    <x v="1"/>
    <s v="Francova Lhota"/>
    <s v="Francova Lhota 190, PSČ 75614"/>
    <s v="94999"/>
    <s v="Činnosti ostatních organizací j. n."/>
    <m/>
    <m/>
    <m/>
    <m/>
    <m/>
    <m/>
    <m/>
    <m/>
    <m/>
    <m/>
    <m/>
    <m/>
    <m/>
    <m/>
    <m/>
    <m/>
    <m/>
  </r>
  <r>
    <s v="01728440"/>
    <s v="Sdružení rodičů při ZŠ Jalubí z. s."/>
    <s v="706"/>
    <x v="1"/>
    <x v="2"/>
    <s v="Jalubí"/>
    <s v="Jalubí 514, PSČ 68705"/>
    <s v="94999"/>
    <s v="Činnosti ostatních organizací j. n."/>
    <m/>
    <m/>
    <m/>
    <m/>
    <m/>
    <m/>
    <m/>
    <m/>
    <m/>
    <m/>
    <m/>
    <m/>
    <m/>
    <m/>
    <m/>
    <m/>
    <m/>
  </r>
  <r>
    <s v="67728316"/>
    <s v="Sdružení rodičů při ZŠ Pod Skalkou v Rožnově p.R., spolek"/>
    <s v="706"/>
    <x v="1"/>
    <x v="1"/>
    <s v="Rožnov pod Radhoštěm"/>
    <s v="Rožnov pod Radhoštěm, Bezručova 29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35136"/>
    <s v="Sdružení rodičů při ZŠ Zádveřice"/>
    <s v="706"/>
    <x v="1"/>
    <x v="0"/>
    <s v="Zádveřice-Raková"/>
    <s v="Zádveř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1283"/>
    <s v="Sdružení rodičů při 12. ZŠ Zlín-Podhoří, z.s."/>
    <s v="706"/>
    <x v="1"/>
    <x v="0"/>
    <s v="Zlín"/>
    <s v="Zlín, Prštné, M. Alše 55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332770"/>
    <s v="Sdružení rodičů SEDMIČKA, z. s."/>
    <s v="706"/>
    <x v="1"/>
    <x v="0"/>
    <s v="Zlín"/>
    <s v="Zlín, Kvítková 4338, PSČ 76001"/>
    <s v="94999"/>
    <s v="Činnosti ostatních organizací j. n."/>
    <m/>
    <m/>
    <m/>
    <m/>
    <m/>
    <m/>
    <m/>
    <m/>
    <m/>
    <m/>
    <m/>
    <m/>
    <m/>
    <m/>
    <m/>
    <m/>
    <m/>
  </r>
  <r>
    <s v="03116051"/>
    <s v="Sdružení rodičů SPŠ Zlín"/>
    <s v="706"/>
    <x v="1"/>
    <x v="0"/>
    <s v="Zlín"/>
    <s v="Zlín, třída Tomáše Bati 4187, PSČ 76001"/>
    <s v="94999"/>
    <s v="Činnosti ostatních organizací j. n."/>
    <m/>
    <m/>
    <m/>
    <m/>
    <m/>
    <m/>
    <m/>
    <m/>
    <m/>
    <m/>
    <m/>
    <m/>
    <m/>
    <m/>
    <m/>
    <m/>
    <m/>
  </r>
  <r>
    <s v="26531836"/>
    <s v="Sdružení rodičů ZŠ Slavičín - Vlára"/>
    <s v="706"/>
    <x v="1"/>
    <x v="0"/>
    <s v="Slavičín"/>
    <s v="Slavičín, Školní 403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647"/>
    <s v="Sdružení rodičů ZŠ T.G.Masaryka z.s."/>
    <s v="706"/>
    <x v="1"/>
    <x v="0"/>
    <s v="Otrokovice"/>
    <s v="Otrokovice, Jana Žižky 1355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63264"/>
    <s v="Sdružení rodičů žáků ZŠ v Kostelci u Holešova, z.s."/>
    <s v="706"/>
    <x v="1"/>
    <x v="3"/>
    <s v="Kostelec u Holešova"/>
    <s v="Kostelec u Holešova 191, PSČ 768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7135"/>
    <s v="Sdružení rovných šancí, z.s."/>
    <s v="706"/>
    <x v="1"/>
    <x v="2"/>
    <s v="Uherský Brod"/>
    <s v="Uherský Brod, Havřice, Dolní 234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7774"/>
    <s v="Sdružení Rožnovská valaška"/>
    <s v="706"/>
    <x v="1"/>
    <x v="1"/>
    <s v="Rožnov pod Radhoštěm"/>
    <s v="Rožnov pod Radhoštěm, Palackého 14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0452"/>
    <s v="Sdružení rybářů na ochranu přírody Prusinovice, z.s."/>
    <s v="706"/>
    <x v="1"/>
    <x v="3"/>
    <s v="Prusinovice"/>
    <s v="Prusinovice, Zámčisko 350, PSČ 7684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1042"/>
    <s v="Sdružení Rybníky"/>
    <s v="706"/>
    <x v="1"/>
    <x v="0"/>
    <s v="Zlín"/>
    <s v="Zlín, Prštné 8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88383"/>
    <s v="Sdružení smluvních lékařů"/>
    <s v="736"/>
    <x v="0"/>
    <x v="1"/>
    <s v="Rožnov pod Radhoštěm"/>
    <s v="Rožnov pod Radhoštěm, Letenská 1183"/>
    <s v="94120"/>
    <s v="Činnosti profesních organizací"/>
    <m/>
    <m/>
    <m/>
    <m/>
    <m/>
    <m/>
    <m/>
    <m/>
    <m/>
    <m/>
    <m/>
    <m/>
    <m/>
    <m/>
    <m/>
    <m/>
    <m/>
  </r>
  <r>
    <s v="22831487"/>
    <s v="Sdružení studentské iniciativy, o.s."/>
    <s v="706"/>
    <x v="1"/>
    <x v="2"/>
    <s v="Uherské Hradiště"/>
    <s v="Uherské Hradiště, Prokopa Holého 757, PSČ 68606"/>
    <s v="94999"/>
    <s v="Činnosti ostatních organizací j. n."/>
    <m/>
    <m/>
    <m/>
    <m/>
    <m/>
    <m/>
    <m/>
    <m/>
    <m/>
    <m/>
    <m/>
    <m/>
    <m/>
    <m/>
    <m/>
    <m/>
    <m/>
  </r>
  <r>
    <s v="26679159"/>
    <s v="Sdružení studentů České republiky"/>
    <s v="706"/>
    <x v="1"/>
    <x v="2"/>
    <s v="Uherské Hradiště"/>
    <s v="Uherské Hradiště, Štěpnická 1042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2427"/>
    <s v="Sdružení Šachový klub Ostrožská Nová Ves z.s."/>
    <s v="706"/>
    <x v="1"/>
    <x v="2"/>
    <s v="Ostrožská Nová Ves"/>
    <s v="Ostrožská Nová Ves, Za kostelem 268, PSČ 68722"/>
    <s v="93120"/>
    <s v="Činnosti sportovních klubů"/>
    <m/>
    <m/>
    <m/>
    <m/>
    <m/>
    <m/>
    <m/>
    <m/>
    <m/>
    <m/>
    <m/>
    <m/>
    <m/>
    <m/>
    <m/>
    <m/>
    <m/>
  </r>
  <r>
    <s v="45658625"/>
    <s v="Sdružení šlechtitelů révy vinné, z.s."/>
    <s v="706"/>
    <x v="1"/>
    <x v="2"/>
    <s v="Boršice"/>
    <s v="Boršice 671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57886"/>
    <s v="Sdružení tenisové mládeže Uherské Hradiště z. s."/>
    <s v="706"/>
    <x v="1"/>
    <x v="2"/>
    <s v="Salaš"/>
    <s v="Salaš 50, PSČ 68706"/>
    <s v="93120"/>
    <s v="Činnosti sportovních klubů"/>
    <m/>
    <m/>
    <m/>
    <m/>
    <m/>
    <m/>
    <m/>
    <m/>
    <m/>
    <m/>
    <m/>
    <m/>
    <m/>
    <m/>
    <m/>
    <m/>
    <m/>
  </r>
  <r>
    <s v="65764528"/>
    <s v=",,Sdružení Uherskobrodska´´"/>
    <s v="706"/>
    <x v="1"/>
    <x v="2"/>
    <s v="Uherský Brod"/>
    <s v="Uherský Brod, Mariánské nám. 2187, Dům kultury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0174"/>
    <s v="Sdružení uživatelů autorských práv z.s."/>
    <s v="706"/>
    <x v="1"/>
    <x v="1"/>
    <s v="Vsetín"/>
    <s v="Vsetín, Palackého 138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2730"/>
    <s v="Sdružení uživatelů čistírny odpadních vod v lokalitě Na Zelničkách"/>
    <s v="706"/>
    <x v="1"/>
    <x v="2"/>
    <s v="Kunovice"/>
    <s v="Kunovice, Na Zelničkách 530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4904"/>
    <s v="Sdružení vlastníků bytových jednotek Štěpnice"/>
    <s v="706"/>
    <x v="1"/>
    <x v="2"/>
    <s v="Uherské Hradiště"/>
    <s v="Uherské Hradiště, Štěpnická 1164, PSČ 68606"/>
    <s v="6820"/>
    <s v="Pronájem a správa vlastních nebo pronajatých nemovitostí"/>
    <m/>
    <m/>
    <m/>
    <m/>
    <m/>
    <m/>
    <m/>
    <m/>
    <m/>
    <m/>
    <m/>
    <m/>
    <m/>
    <m/>
    <m/>
    <m/>
    <m/>
  </r>
  <r>
    <s v="66545790"/>
    <s v="Sdružení vlastníků domu, Komenského 913, Vizovice"/>
    <s v="706"/>
    <x v="1"/>
    <x v="0"/>
    <s v="Vizovice"/>
    <s v="Vizovice"/>
    <s v="6820"/>
    <s v="Pronájem a správa vlastních nebo pronajatých nemovitostí"/>
    <m/>
    <m/>
    <m/>
    <m/>
    <m/>
    <m/>
    <m/>
    <m/>
    <m/>
    <m/>
    <m/>
    <m/>
    <m/>
    <m/>
    <m/>
    <m/>
    <m/>
  </r>
  <r>
    <s v="65764951"/>
    <s v="Sdružení vlastníků pozemků Mladcová"/>
    <s v="706"/>
    <x v="1"/>
    <x v="0"/>
    <s v="Zlín"/>
    <s v="Zlín, Prštné, Jiráskova 52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6291"/>
    <s v="Sdružení výtvarných umělců a teoretiků jihovýchodní Moravy, z. s."/>
    <s v="706"/>
    <x v="1"/>
    <x v="2"/>
    <s v="Uherské Hradiště"/>
    <s v="Uherské Hradiště, Mařatice, Nad Rybníkem 152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232847"/>
    <s v="SDRUŽENÍ VÝTVARNÝCH UMĚLCŮ DR.IGORA ZHOŘE UHERSKÉ HRADIŠTĚ"/>
    <s v="706"/>
    <x v="1"/>
    <x v="2"/>
    <s v="Šumice"/>
    <s v="Šumice 110, PSČ 687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45040"/>
    <s v="Sdružení výtvarných umělců moravsko-slovenského pomezí, z. s."/>
    <s v="706"/>
    <x v="1"/>
    <x v="2"/>
    <s v="Uherský Brod"/>
    <s v="Uherský Brod, U Sboru 1293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07921"/>
    <s v="”Sdružení za rozvoj zlínské aglomerace”"/>
    <s v="706"/>
    <x v="1"/>
    <x v="0"/>
    <s v="Zlín"/>
    <s v="Zlín, Malenovice, Tyršova 773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8673"/>
    <s v="SDRUŽENÍ ZA SPOKOJENOU KLEČŮVKU"/>
    <s v="706"/>
    <x v="1"/>
    <x v="0"/>
    <s v="Zlín"/>
    <s v="Zlín, Klečůvka 57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6488"/>
    <s v="Sdružení za zdravé Lužkovice"/>
    <s v="706"/>
    <x v="1"/>
    <x v="0"/>
    <s v="Zlín"/>
    <s v="Zlín 11, Lužkovice 2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0612"/>
    <s v="Sdružení za zdravé Příluky"/>
    <s v="706"/>
    <x v="1"/>
    <x v="0"/>
    <s v="Zlín"/>
    <s v="Zlín, Příluky, Dolní dědina 23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370038"/>
    <s v="Sebevědomě do života, z.s."/>
    <s v="706"/>
    <x v="1"/>
    <x v="2"/>
    <s v="Uherské Hradiště"/>
    <s v="Uherské Hradiště, Tůně 70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52003"/>
    <s v="„Sedmikvítky“"/>
    <s v="706"/>
    <x v="1"/>
    <x v="1"/>
    <s v="Prostřední Bečva"/>
    <s v="Prostřední Bečva 362, PSČ 75656"/>
    <s v="94999"/>
    <s v="Činnosti ostatních organizací j. n."/>
    <m/>
    <m/>
    <m/>
    <m/>
    <m/>
    <m/>
    <m/>
    <m/>
    <m/>
    <m/>
    <m/>
    <m/>
    <m/>
    <m/>
    <m/>
    <m/>
    <m/>
  </r>
  <r>
    <s v="08977551"/>
    <s v="Sekce z. s."/>
    <s v="706"/>
    <x v="1"/>
    <x v="0"/>
    <s v="Slušovice"/>
    <s v="Slušovice, nám. Svobody 31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9252"/>
    <s v="SemTamFór z.s."/>
    <s v="706"/>
    <x v="1"/>
    <x v="0"/>
    <s v="Slavičín"/>
    <s v="Slavičín, Květná 424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8896"/>
    <s v="Senior klub Nedašov, z. s."/>
    <s v="706"/>
    <x v="1"/>
    <x v="0"/>
    <s v="Nedašov"/>
    <s v="Nedašov 132, PSČ 763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4821"/>
    <s v="Seniorský klub atletů"/>
    <s v="706"/>
    <x v="1"/>
    <x v="2"/>
    <s v="Uherské Hradiště"/>
    <s v="Uherské Hradiště, Na Baště 32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132051"/>
    <s v="Seniorský parlament, z.s."/>
    <s v="706"/>
    <x v="1"/>
    <x v="3"/>
    <s v="Kroměříž"/>
    <s v="Kroměříž, Jánská 25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147921"/>
    <s v="Senioři České republiky, z. s., Krajská organizace Zlínského kraje"/>
    <s v="736"/>
    <x v="0"/>
    <x v="0"/>
    <s v="Zlín"/>
    <s v="Zlín, Gahurova 5265, PSČ 76001"/>
    <s v="94997"/>
    <s v="Činnosti občanských iniciativ, protestních hnutí"/>
    <m/>
    <m/>
    <m/>
    <m/>
    <m/>
    <m/>
    <m/>
    <m/>
    <m/>
    <m/>
    <m/>
    <m/>
    <m/>
    <m/>
    <m/>
    <m/>
    <m/>
  </r>
  <r>
    <s v="75130548"/>
    <s v="Senioři České republiky, z. s., Městská organizace Zlín"/>
    <s v="736"/>
    <x v="0"/>
    <x v="0"/>
    <s v="Zlín"/>
    <s v="Zlín, A. Randýskové 1800, PSČ 76001"/>
    <s v="94997"/>
    <s v="Činnosti občanských iniciativ, protestních hnutí"/>
    <m/>
    <m/>
    <m/>
    <m/>
    <m/>
    <m/>
    <m/>
    <m/>
    <m/>
    <m/>
    <m/>
    <m/>
    <m/>
    <m/>
    <m/>
    <m/>
    <m/>
  </r>
  <r>
    <s v="19525192"/>
    <s v="Senioři UH z. s."/>
    <s v="706"/>
    <x v="1"/>
    <x v="2"/>
    <s v="Uherské Hradiště"/>
    <s v="Uherské Hradiště, náměstí Republiky 92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617861"/>
    <s v="SERAPH Krav Maga z. s."/>
    <s v="706"/>
    <x v="1"/>
    <x v="1"/>
    <s v="Valašské Meziříčí"/>
    <s v="Valašské Meziříčí, Podlesí 420, PSČ 75701"/>
    <s v="93110"/>
    <s v="Provozování sportovních zařízení"/>
    <s v="Ostatní sportovní činnosti"/>
    <m/>
    <m/>
    <m/>
    <m/>
    <m/>
    <m/>
    <m/>
    <m/>
    <m/>
    <m/>
    <m/>
    <m/>
    <m/>
    <m/>
    <m/>
    <m/>
  </r>
  <r>
    <s v="07405341"/>
    <s v="Servisní centrum sportu ČUS Kroměříž"/>
    <s v="736"/>
    <x v="0"/>
    <x v="3"/>
    <s v="Kroměříž"/>
    <s v="Kroměříž, Vrchlického 2899/31, PSČ 76701"/>
    <s v="9311"/>
    <s v="Provozování sportovních zařízení"/>
    <m/>
    <m/>
    <m/>
    <m/>
    <m/>
    <m/>
    <m/>
    <m/>
    <m/>
    <m/>
    <m/>
    <m/>
    <m/>
    <m/>
    <m/>
    <m/>
    <m/>
  </r>
  <r>
    <s v="07498462"/>
    <s v="Servisní centrum sportu ČUS Uherské Hradiště"/>
    <s v="736"/>
    <x v="0"/>
    <x v="2"/>
    <s v="Uherské Hradiště"/>
    <s v="Uherské Hradiště, Růžová 436, PSČ 68601"/>
    <s v="9311"/>
    <s v="Provozování sportovních zařízení"/>
    <m/>
    <m/>
    <m/>
    <m/>
    <m/>
    <m/>
    <m/>
    <m/>
    <m/>
    <m/>
    <m/>
    <m/>
    <m/>
    <m/>
    <m/>
    <m/>
    <m/>
  </r>
  <r>
    <s v="07405316"/>
    <s v="Servisní centrum sportu ČUS Vsetín"/>
    <s v="736"/>
    <x v="0"/>
    <x v="1"/>
    <s v="Vsetín"/>
    <s v="Vsetín, Svárov 1082, PSČ 75501"/>
    <s v="9311"/>
    <s v="Provozování sportovních zařízení"/>
    <m/>
    <m/>
    <m/>
    <m/>
    <m/>
    <m/>
    <m/>
    <m/>
    <m/>
    <m/>
    <m/>
    <m/>
    <m/>
    <m/>
    <m/>
    <m/>
    <m/>
  </r>
  <r>
    <s v="07405251"/>
    <s v="Servisní centrum sportu ČUS Zlín"/>
    <s v="736"/>
    <x v="0"/>
    <x v="0"/>
    <s v="Zlín"/>
    <s v="Zlín, Hradská 854, PSČ 76001"/>
    <s v="9311"/>
    <s v="Provozování sportovních zařízení"/>
    <m/>
    <m/>
    <m/>
    <m/>
    <m/>
    <m/>
    <m/>
    <m/>
    <m/>
    <m/>
    <m/>
    <m/>
    <m/>
    <m/>
    <m/>
    <m/>
    <m/>
  </r>
  <r>
    <s v="60383267"/>
    <s v="Seskoky Kunovice z.s."/>
    <s v="706"/>
    <x v="1"/>
    <x v="2"/>
    <s v="Kunovice"/>
    <s v="Kunovice, V Úzkých 1606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162"/>
    <s v="Severomoravské regionální sdružení ČSOP"/>
    <s v="736"/>
    <x v="0"/>
    <x v="1"/>
    <s v="Valašské Meziříčí"/>
    <s v="Valašské Meziříčí, Šafaříkova 555, PSČ 75701"/>
    <s v="94995"/>
    <s v="Činnosti environmentálních a ekologických hnutí"/>
    <m/>
    <m/>
    <m/>
    <m/>
    <m/>
    <m/>
    <m/>
    <m/>
    <m/>
    <m/>
    <m/>
    <m/>
    <m/>
    <m/>
    <m/>
    <m/>
    <m/>
  </r>
  <r>
    <s v="60369671"/>
    <s v="SFK Břestek z.s."/>
    <s v="706"/>
    <x v="1"/>
    <x v="2"/>
    <s v="Břestek"/>
    <s v="Břestek č. ev. 509, PSČ 68708"/>
    <s v="93110"/>
    <s v="Provozování sportovních zařízení"/>
    <s v="Maloobchod v nespecializovaných prodejnách"/>
    <m/>
    <m/>
    <m/>
    <m/>
    <m/>
    <m/>
    <m/>
    <m/>
    <m/>
    <m/>
    <m/>
    <m/>
    <m/>
    <m/>
    <m/>
    <m/>
  </r>
  <r>
    <s v="26535475"/>
    <s v="SFK ELKO Holešov, z.s."/>
    <s v="706"/>
    <x v="1"/>
    <x v="3"/>
    <s v="Holešov"/>
    <s v="Holešov, Všetuly, Sokolská 495, PSČ 76901"/>
    <s v="93120"/>
    <s v="Činnosti sportovních klubů"/>
    <m/>
    <m/>
    <m/>
    <m/>
    <m/>
    <m/>
    <m/>
    <m/>
    <m/>
    <m/>
    <m/>
    <m/>
    <m/>
    <m/>
    <m/>
    <m/>
    <m/>
  </r>
  <r>
    <s v="26523507"/>
    <s v="SFK Kozel, z.s."/>
    <s v="706"/>
    <x v="1"/>
    <x v="3"/>
    <s v="Kroměříž"/>
    <s v="Kroměříž, Bílanská 2139/30, PSČ 76701"/>
    <s v="93120"/>
    <s v="Činnosti sportovních klubů"/>
    <m/>
    <m/>
    <m/>
    <m/>
    <m/>
    <m/>
    <m/>
    <m/>
    <m/>
    <m/>
    <m/>
    <m/>
    <m/>
    <m/>
    <m/>
    <m/>
    <m/>
  </r>
  <r>
    <s v="71167498"/>
    <s v="SH ČMS - Krajské sdružení hasičů Zlínského kraje"/>
    <s v="736"/>
    <x v="0"/>
    <x v="0"/>
    <s v="Zlín"/>
    <s v="Zlín, Příluky, Přílucká 213, PSČ 76001"/>
    <s v="84250"/>
    <s v="Činnosti v oblasti protipožární ochrany"/>
    <m/>
    <m/>
    <m/>
    <m/>
    <m/>
    <m/>
    <m/>
    <m/>
    <m/>
    <m/>
    <m/>
    <m/>
    <m/>
    <m/>
    <m/>
    <m/>
    <m/>
  </r>
  <r>
    <s v="63414333"/>
    <s v="SH ČMS - Okresní sdružení hasičů Kroměříž"/>
    <s v="736"/>
    <x v="0"/>
    <x v="3"/>
    <s v="Kroměříž"/>
    <s v="Kroměříž, Hanácké náměstí 463/7, PSČ 76701"/>
    <s v="8425"/>
    <s v="Činnosti v oblasti protipožární ochrany"/>
    <m/>
    <m/>
    <m/>
    <m/>
    <m/>
    <m/>
    <m/>
    <m/>
    <m/>
    <m/>
    <m/>
    <m/>
    <m/>
    <m/>
    <m/>
    <m/>
    <m/>
  </r>
  <r>
    <s v="65325591"/>
    <s v="SH ČMS - Okresní sdružení hasičů Uherské Hradiště"/>
    <s v="736"/>
    <x v="0"/>
    <x v="2"/>
    <s v="Uherské Hradiště"/>
    <s v="Uherské Hradiště, Palackého náměstí 293, PSČ 68601"/>
    <s v="84250"/>
    <s v="Činnosti v oblasti protipožární ochrany"/>
    <m/>
    <m/>
    <m/>
    <m/>
    <m/>
    <m/>
    <m/>
    <m/>
    <m/>
    <m/>
    <m/>
    <m/>
    <m/>
    <m/>
    <m/>
    <m/>
    <m/>
  </r>
  <r>
    <s v="63701456"/>
    <s v="SH ČMS - Okresní sdružení hasičů Vsetín"/>
    <s v="736"/>
    <x v="0"/>
    <x v="1"/>
    <s v="Vsetín"/>
    <s v="Vsetín, Svárov 1082, PSČ 75501"/>
    <s v="84250"/>
    <s v="Činnosti v oblasti protipožární ochrany"/>
    <m/>
    <m/>
    <m/>
    <m/>
    <m/>
    <m/>
    <m/>
    <m/>
    <m/>
    <m/>
    <m/>
    <m/>
    <m/>
    <m/>
    <m/>
    <m/>
    <m/>
  </r>
  <r>
    <s v="65792025"/>
    <s v="SH ČMS - Okresní sdružení hasičů Zlín"/>
    <s v="736"/>
    <x v="0"/>
    <x v="0"/>
    <s v="Zlín"/>
    <s v="Zlín"/>
    <s v="84250"/>
    <s v="Činnosti v oblasti protipožární ochrany"/>
    <m/>
    <m/>
    <m/>
    <m/>
    <m/>
    <m/>
    <m/>
    <m/>
    <m/>
    <m/>
    <m/>
    <m/>
    <m/>
    <m/>
    <m/>
    <m/>
    <m/>
  </r>
  <r>
    <s v="10807900"/>
    <s v="SH ČMS - Okrsek č. 1 Napajedla"/>
    <s v="736"/>
    <x v="0"/>
    <x v="0"/>
    <s v="Napajedla"/>
    <s v="Napajedla, Masarykovo náměstí 89, PSČ 76361"/>
    <s v="84250"/>
    <s v="Činnosti v oblasti protipožární ochrany"/>
    <m/>
    <m/>
    <m/>
    <m/>
    <m/>
    <m/>
    <m/>
    <m/>
    <m/>
    <m/>
    <m/>
    <m/>
    <m/>
    <m/>
    <m/>
    <m/>
    <m/>
  </r>
  <r>
    <s v="05899923"/>
    <s v="SH ČMS - Okrsek č. 1 Vsetín"/>
    <s v="736"/>
    <x v="0"/>
    <x v="1"/>
    <s v="Vsetín"/>
    <s v="Vsetín, Horní Jasenka 331, PSČ 75501"/>
    <s v="8425"/>
    <s v="Činnosti v oblasti protipožární ochrany"/>
    <m/>
    <m/>
    <m/>
    <m/>
    <m/>
    <m/>
    <m/>
    <m/>
    <m/>
    <m/>
    <m/>
    <m/>
    <m/>
    <m/>
    <m/>
    <m/>
    <m/>
  </r>
  <r>
    <s v="17866430"/>
    <s v="SH ČMS - Okrsek č. 10 Doubravy"/>
    <s v="736"/>
    <x v="0"/>
    <x v="0"/>
    <s v="Doubravy"/>
    <s v="Doubravy 45, PSČ 76345"/>
    <s v="84250"/>
    <s v="Činnosti v oblasti protipožární ochrany"/>
    <m/>
    <m/>
    <m/>
    <m/>
    <m/>
    <m/>
    <m/>
    <m/>
    <m/>
    <m/>
    <m/>
    <m/>
    <m/>
    <m/>
    <m/>
    <m/>
    <m/>
  </r>
  <r>
    <s v="71209654"/>
    <s v="SH ČMS - Okrsek č. 10 Ratiboř"/>
    <s v="736"/>
    <x v="0"/>
    <x v="1"/>
    <s v="Kateřinice"/>
    <s v="Kateřinice 242, PSČ 75621"/>
    <s v="84250"/>
    <s v="Činnosti v oblasti protipožární ochrany"/>
    <m/>
    <m/>
    <m/>
    <m/>
    <m/>
    <m/>
    <m/>
    <m/>
    <m/>
    <m/>
    <m/>
    <m/>
    <m/>
    <m/>
    <m/>
    <m/>
    <m/>
  </r>
  <r>
    <s v="17800838"/>
    <s v="SH ČMS - Okrsek č. 11 Slušovice"/>
    <s v="736"/>
    <x v="0"/>
    <x v="0"/>
    <s v="Březová"/>
    <s v="Březová 93, PSČ 76315"/>
    <s v="84250"/>
    <s v="Činnosti v oblasti protipožární ochrany"/>
    <m/>
    <m/>
    <m/>
    <m/>
    <m/>
    <m/>
    <m/>
    <m/>
    <m/>
    <m/>
    <m/>
    <m/>
    <m/>
    <m/>
    <m/>
    <m/>
    <m/>
  </r>
  <r>
    <s v="07369221"/>
    <s v="SH ČMS - Okrsek č. 12 - Vizovice"/>
    <s v="736"/>
    <x v="0"/>
    <x v="0"/>
    <s v="Vizovice"/>
    <s v="Vizovice, Nábřežní 993, PSČ 76312"/>
    <s v="8425"/>
    <s v="Činnosti v oblasti protipožární ochrany"/>
    <m/>
    <m/>
    <m/>
    <m/>
    <m/>
    <m/>
    <m/>
    <m/>
    <m/>
    <m/>
    <m/>
    <m/>
    <m/>
    <m/>
    <m/>
    <m/>
    <m/>
  </r>
  <r>
    <s v="07330685"/>
    <s v="SH ČMS - Okrsek č. 14 - Újezd"/>
    <s v="736"/>
    <x v="0"/>
    <x v="0"/>
    <s v="Újezd"/>
    <s v="Újezd 369, PSČ 76325"/>
    <s v="84250"/>
    <s v="Činnosti v oblasti protipožární ochrany"/>
    <m/>
    <m/>
    <m/>
    <m/>
    <m/>
    <m/>
    <m/>
    <m/>
    <m/>
    <m/>
    <m/>
    <m/>
    <m/>
    <m/>
    <m/>
    <m/>
    <m/>
  </r>
  <r>
    <s v="08664242"/>
    <s v="SH ČMS - Okrsek č. 16 Vlachovice"/>
    <s v="736"/>
    <x v="0"/>
    <x v="0"/>
    <s v="Vlachovice"/>
    <s v="Vlachovice 50, PSČ 76324"/>
    <s v="8425"/>
    <s v="Činnosti v oblasti protipožární ochrany"/>
    <m/>
    <m/>
    <m/>
    <m/>
    <m/>
    <m/>
    <m/>
    <m/>
    <m/>
    <m/>
    <m/>
    <m/>
    <m/>
    <m/>
    <m/>
    <m/>
    <m/>
  </r>
  <r>
    <s v="06376339"/>
    <s v="SH ČMS - Okrsek č. 18 Brumov - Bylnice"/>
    <s v="736"/>
    <x v="0"/>
    <x v="0"/>
    <s v="Brumov-Bylnice"/>
    <s v="Brumov-Bylnice, Brumov, H. Synkové 942, PSČ 76331"/>
    <s v="8425"/>
    <s v="Činnosti v oblasti protipožární ochrany"/>
    <m/>
    <m/>
    <m/>
    <m/>
    <m/>
    <m/>
    <m/>
    <m/>
    <m/>
    <m/>
    <m/>
    <m/>
    <m/>
    <m/>
    <m/>
    <m/>
    <m/>
  </r>
  <r>
    <s v="04827333"/>
    <s v="SH ČMS - Okrsek č. 3 Hutisko - Solanec"/>
    <s v="736"/>
    <x v="0"/>
    <x v="1"/>
    <s v="Hutisko-Solanec"/>
    <s v="Hutisko-Solanec, Hutisko 512, PSČ 75662"/>
    <s v="8425"/>
    <s v="Činnosti v oblasti protipožární ochrany"/>
    <m/>
    <m/>
    <m/>
    <m/>
    <m/>
    <m/>
    <m/>
    <m/>
    <m/>
    <m/>
    <m/>
    <m/>
    <m/>
    <m/>
    <m/>
    <m/>
    <m/>
  </r>
  <r>
    <s v="06584047"/>
    <s v="SH ČMS - Okrsek č. 3 Racková"/>
    <s v="736"/>
    <x v="0"/>
    <x v="0"/>
    <s v="Racková"/>
    <s v="Racková 45, PSČ 76001"/>
    <s v="84250"/>
    <s v="Činnosti v oblasti protipožární ochrany"/>
    <m/>
    <m/>
    <m/>
    <m/>
    <m/>
    <m/>
    <m/>
    <m/>
    <m/>
    <m/>
    <m/>
    <m/>
    <m/>
    <m/>
    <m/>
    <m/>
    <m/>
  </r>
  <r>
    <s v="07450036"/>
    <s v="SH ČMS - Okrsek č. 4 Tečovice"/>
    <s v="736"/>
    <x v="0"/>
    <x v="0"/>
    <s v="Tečovice"/>
    <s v="Tečovice 240, PSČ 76302"/>
    <s v="8425"/>
    <s v="Činnosti v oblasti protipožární ochrany"/>
    <m/>
    <m/>
    <m/>
    <m/>
    <m/>
    <m/>
    <m/>
    <m/>
    <m/>
    <m/>
    <m/>
    <m/>
    <m/>
    <m/>
    <m/>
    <m/>
    <m/>
  </r>
  <r>
    <s v="08625361"/>
    <s v="SH ČMS - Okrsek č. 5 - Lhota"/>
    <s v="736"/>
    <x v="0"/>
    <x v="0"/>
    <s v="Lhota"/>
    <s v="Lhota 265, PSČ 76302"/>
    <s v="8425"/>
    <s v="Činnosti v oblasti protipožární ochrany"/>
    <m/>
    <m/>
    <m/>
    <m/>
    <m/>
    <m/>
    <m/>
    <m/>
    <m/>
    <m/>
    <m/>
    <m/>
    <m/>
    <m/>
    <m/>
    <m/>
    <m/>
  </r>
  <r>
    <s v="72051779"/>
    <s v="SH ČMS - Okrsek č. 8 - Želechovice nad Dřevnicí"/>
    <s v="736"/>
    <x v="0"/>
    <x v="0"/>
    <s v="Želechovice nad Dřevnicí"/>
    <s v="Želechovice nad Dřevnicí, Podřevnická 405, PSČ 76311"/>
    <s v="84250"/>
    <s v="Činnosti v oblasti protipožární ochrany"/>
    <m/>
    <m/>
    <m/>
    <m/>
    <m/>
    <m/>
    <m/>
    <m/>
    <m/>
    <m/>
    <m/>
    <m/>
    <m/>
    <m/>
    <m/>
    <m/>
    <m/>
  </r>
  <r>
    <s v="04774230"/>
    <s v="SH ČMS - Okrsek č.11 Bystřička"/>
    <s v="736"/>
    <x v="0"/>
    <x v="1"/>
    <s v="Růžďka"/>
    <s v="Růžďka 295, PSČ 75625"/>
    <s v="84250"/>
    <s v="Činnosti v oblasti protipožární ochrany"/>
    <m/>
    <m/>
    <m/>
    <m/>
    <m/>
    <m/>
    <m/>
    <m/>
    <m/>
    <m/>
    <m/>
    <m/>
    <m/>
    <m/>
    <m/>
    <m/>
    <m/>
  </r>
  <r>
    <s v="04773977"/>
    <s v="SH ČMS - Okrsek č.12 Loučka"/>
    <s v="736"/>
    <x v="0"/>
    <x v="1"/>
    <s v="Police"/>
    <s v="Police 142, PSČ 75644"/>
    <s v="84250"/>
    <s v="Činnosti v oblasti protipožární ochrany"/>
    <m/>
    <m/>
    <m/>
    <m/>
    <m/>
    <m/>
    <m/>
    <m/>
    <m/>
    <m/>
    <m/>
    <m/>
    <m/>
    <m/>
    <m/>
    <m/>
    <m/>
  </r>
  <r>
    <s v="04774281"/>
    <s v="SH ČMS - Okrsek č.13 Kelč"/>
    <s v="736"/>
    <x v="0"/>
    <x v="1"/>
    <s v="Kelč"/>
    <s v="Kelč 241, PSČ 75643"/>
    <s v="84250"/>
    <s v="Činnosti v oblasti protipožární ochrany"/>
    <m/>
    <m/>
    <m/>
    <m/>
    <m/>
    <m/>
    <m/>
    <m/>
    <m/>
    <m/>
    <m/>
    <m/>
    <m/>
    <m/>
    <m/>
    <m/>
    <m/>
  </r>
  <r>
    <s v="09707361"/>
    <s v="SH ČMS - Okrsek č.13 Pozlovice"/>
    <s v="736"/>
    <x v="0"/>
    <x v="0"/>
    <s v="Pozlovice"/>
    <s v="Pozlovice, Hlavní 333, PSČ 76326"/>
    <s v="84250"/>
    <s v="Činnosti v oblasti protipožární ochrany"/>
    <m/>
    <m/>
    <m/>
    <m/>
    <m/>
    <m/>
    <m/>
    <m/>
    <m/>
    <m/>
    <m/>
    <m/>
    <m/>
    <m/>
    <m/>
    <m/>
    <m/>
  </r>
  <r>
    <s v="04774094"/>
    <s v="SH ČMS - Okrsek č.14 Lešná"/>
    <s v="736"/>
    <x v="0"/>
    <x v="1"/>
    <s v="Lešná"/>
    <s v="Lešná 36, PSČ 75641"/>
    <s v="84250"/>
    <s v="Činnosti v oblasti protipožární ochrany"/>
    <m/>
    <m/>
    <m/>
    <m/>
    <m/>
    <m/>
    <m/>
    <m/>
    <m/>
    <m/>
    <m/>
    <m/>
    <m/>
    <m/>
    <m/>
    <m/>
    <m/>
  </r>
  <r>
    <s v="04804333"/>
    <s v="SH ČMS - Okrsek č.15 Zašová"/>
    <s v="736"/>
    <x v="0"/>
    <x v="1"/>
    <s v="Zašová"/>
    <s v="Zašová 358, PSČ 75651"/>
    <s v="8425"/>
    <s v="Činnosti v oblasti protipožární ochrany"/>
    <m/>
    <m/>
    <m/>
    <m/>
    <m/>
    <m/>
    <m/>
    <m/>
    <m/>
    <m/>
    <m/>
    <m/>
    <m/>
    <m/>
    <m/>
    <m/>
    <m/>
  </r>
  <r>
    <s v="09707778"/>
    <s v="SH ČMS - Okrsek č.17 Valašské Klobouky"/>
    <s v="736"/>
    <x v="0"/>
    <x v="0"/>
    <s v="Valašské Klobouky"/>
    <s v="Valašské Klobouky, Masarykovo náměstí 103, PSČ 76601"/>
    <s v="8425"/>
    <s v="Činnosti v oblasti protipožární ochrany"/>
    <m/>
    <m/>
    <m/>
    <m/>
    <m/>
    <m/>
    <m/>
    <m/>
    <m/>
    <m/>
    <m/>
    <m/>
    <m/>
    <m/>
    <m/>
    <m/>
    <m/>
  </r>
  <r>
    <s v="04774175"/>
    <s v="SH ČMS - Okrsek č.2 Valašské Meziříčí"/>
    <s v="736"/>
    <x v="0"/>
    <x v="1"/>
    <s v="Poličná"/>
    <s v="Poličná 545, PSČ 75701"/>
    <s v="84250"/>
    <s v="Činnosti v oblasti protipožární ochrany"/>
    <m/>
    <m/>
    <m/>
    <m/>
    <m/>
    <m/>
    <m/>
    <m/>
    <m/>
    <m/>
    <m/>
    <m/>
    <m/>
    <m/>
    <m/>
    <m/>
    <m/>
  </r>
  <r>
    <s v="04773896"/>
    <s v="SH ČMS - Okrsek č.4 Velké Karlovice"/>
    <s v="736"/>
    <x v="0"/>
    <x v="1"/>
    <s v="Velké Karlovice"/>
    <s v="Velké Karlovice 1, PSČ 75606"/>
    <s v="84250"/>
    <s v="Činnosti v oblasti protipožární ochrany"/>
    <m/>
    <m/>
    <m/>
    <m/>
    <m/>
    <m/>
    <m/>
    <m/>
    <m/>
    <m/>
    <m/>
    <m/>
    <m/>
    <m/>
    <m/>
    <m/>
    <m/>
  </r>
  <r>
    <s v="04774191"/>
    <s v="SH ČMS - Okrsek č.6 Hovězí"/>
    <s v="736"/>
    <x v="0"/>
    <x v="1"/>
    <s v="Hovězí"/>
    <s v="Hovězí 2, PSČ 75601"/>
    <s v="84250"/>
    <s v="Činnosti v oblasti protipožární ochrany"/>
    <m/>
    <m/>
    <m/>
    <m/>
    <m/>
    <m/>
    <m/>
    <m/>
    <m/>
    <m/>
    <m/>
    <m/>
    <m/>
    <m/>
    <m/>
    <m/>
    <m/>
  </r>
  <r>
    <s v="04773870"/>
    <s v="SH ČMS - Okrsek č.7 Valašská Polanka"/>
    <s v="736"/>
    <x v="0"/>
    <x v="1"/>
    <s v="Valašská Polanka"/>
    <s v="Valašská Polanka 270, PSČ 75611"/>
    <s v="84250"/>
    <s v="Činnosti v oblasti protipožární ochrany"/>
    <m/>
    <m/>
    <m/>
    <m/>
    <m/>
    <m/>
    <m/>
    <m/>
    <m/>
    <m/>
    <m/>
    <m/>
    <m/>
    <m/>
    <m/>
    <m/>
    <m/>
  </r>
  <r>
    <s v="04774051"/>
    <s v="SH ČMS - Okrsek č.8 Lidečko"/>
    <s v="736"/>
    <x v="0"/>
    <x v="1"/>
    <s v="Lidečko"/>
    <s v="Lidečko 32, PSČ 75612"/>
    <s v="84250"/>
    <s v="Činnosti v oblasti protipožární ochrany"/>
    <m/>
    <m/>
    <m/>
    <m/>
    <m/>
    <m/>
    <m/>
    <m/>
    <m/>
    <m/>
    <m/>
    <m/>
    <m/>
    <m/>
    <m/>
    <m/>
    <m/>
  </r>
  <r>
    <s v="09828869"/>
    <s v="SH ČMS - Okrsek č.9 Držková"/>
    <s v="736"/>
    <x v="0"/>
    <x v="0"/>
    <s v="Držková"/>
    <s v="Držková 59, PSČ 76319"/>
    <s v="84250"/>
    <s v="Činnosti v oblasti protipožární ochrany"/>
    <m/>
    <m/>
    <m/>
    <m/>
    <m/>
    <m/>
    <m/>
    <m/>
    <m/>
    <m/>
    <m/>
    <m/>
    <m/>
    <m/>
    <m/>
    <m/>
    <m/>
  </r>
  <r>
    <s v="75045231"/>
    <s v="SH ČMS - Okrsek Slavičín"/>
    <s v="736"/>
    <x v="0"/>
    <x v="0"/>
    <s v="Slavičín"/>
    <s v="Slavičín, Hasičská 307, PSČ 76321"/>
    <s v="84250"/>
    <s v="Činnosti v oblasti protipožární ochrany"/>
    <m/>
    <m/>
    <m/>
    <m/>
    <m/>
    <m/>
    <m/>
    <m/>
    <m/>
    <m/>
    <m/>
    <m/>
    <m/>
    <m/>
    <m/>
    <m/>
    <m/>
  </r>
  <r>
    <s v="65469241"/>
    <s v="SH ČMS - Sbor dobrovolných hasičů Babice"/>
    <s v="736"/>
    <x v="0"/>
    <x v="1"/>
    <s v="Kelč"/>
    <s v="Kelč 5, PSČ 7564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4790"/>
    <s v="SH ČMS - Sbor dobrovolných hasičů Babice"/>
    <s v="736"/>
    <x v="0"/>
    <x v="2"/>
    <s v="Babice"/>
    <s v="Babice 410, PSČ 68703"/>
    <s v="84250"/>
    <s v="Činnosti v oblasti protipožární ochrany"/>
    <m/>
    <m/>
    <m/>
    <m/>
    <m/>
    <m/>
    <m/>
    <m/>
    <m/>
    <m/>
    <m/>
    <m/>
    <m/>
    <m/>
    <m/>
    <m/>
    <m/>
  </r>
  <r>
    <s v="60383348"/>
    <s v="SH ČMS - Sbor dobrovolných hasičů Bařice"/>
    <s v="736"/>
    <x v="0"/>
    <x v="3"/>
    <s v="Bařice-Velké Těšany"/>
    <s v="Bařice-Velké Těšany, Bařice 8, PSČ 7670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270347"/>
    <s v="SH ČMS - Sbor dobrovolných hasičů Bělov"/>
    <s v="736"/>
    <x v="0"/>
    <x v="0"/>
    <s v="Bělov"/>
    <s v="Bělov 97, PSČ 768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201"/>
    <s v="SH ČMS - Sbor dobrovolných hasičů Bezměrov"/>
    <s v="736"/>
    <x v="0"/>
    <x v="3"/>
    <s v="Bezměrov"/>
    <s v="Bezměrov 120, PSČ 767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0383135"/>
    <s v="SH ČMS - Sbor dobrovolných hasičů Bílany"/>
    <s v="736"/>
    <x v="0"/>
    <x v="3"/>
    <s v="Kroměříž"/>
    <s v="Kroměříž, Bílany 22, PSČ 7670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325125"/>
    <s v="SH ČMS - Sbor dobrovolných hasičů Bílovice"/>
    <s v="736"/>
    <x v="0"/>
    <x v="2"/>
    <s v="Bílovice"/>
    <s v="Bílovice 248, PSČ 687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777"/>
    <s v="SH ČMS - Sbor dobrovolných hasičů Biskupice"/>
    <s v="736"/>
    <x v="0"/>
    <x v="0"/>
    <s v="Biskupice"/>
    <s v="Biskupice 39, PSČ 7634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270151"/>
    <s v="SH ČMS - Sbor dobrovolných hasičů Blišice"/>
    <s v="736"/>
    <x v="0"/>
    <x v="3"/>
    <s v="Koryčany"/>
    <s v="Koryčany, Blišice 152, PSČ 76805"/>
    <s v="84250"/>
    <s v="Činnosti v oblasti protipožární ochrany"/>
    <m/>
    <m/>
    <m/>
    <m/>
    <m/>
    <m/>
    <m/>
    <m/>
    <m/>
    <m/>
    <m/>
    <m/>
    <m/>
    <m/>
    <m/>
    <m/>
    <m/>
  </r>
  <r>
    <s v="75031833"/>
    <s v="SH ČMS - Sbor dobrovolných hasičů Bohuslavice nad Vláří"/>
    <s v="736"/>
    <x v="0"/>
    <x v="0"/>
    <s v="Bohuslavice nad Vláří"/>
    <s v="Bohuslavice nad Vláří 62, PSČ 76321"/>
    <s v="84250"/>
    <s v="Činnosti v oblasti protipožární ochrany"/>
    <m/>
    <m/>
    <m/>
    <m/>
    <m/>
    <m/>
    <m/>
    <m/>
    <m/>
    <m/>
    <m/>
    <m/>
    <m/>
    <m/>
    <m/>
    <m/>
    <m/>
  </r>
  <r>
    <s v="65792866"/>
    <s v="SH ČMS - Sbor dobrovolných hasičů Bohuslavice u Zlína"/>
    <s v="736"/>
    <x v="0"/>
    <x v="0"/>
    <s v="Bohuslavice u Zlína"/>
    <s v="Bohuslavice u Zlína 185, PSČ 76351"/>
    <s v="84250"/>
    <s v="Činnosti v oblasti protipožární ochrany"/>
    <m/>
    <m/>
    <m/>
    <m/>
    <m/>
    <m/>
    <m/>
    <m/>
    <m/>
    <m/>
    <m/>
    <m/>
    <m/>
    <m/>
    <m/>
    <m/>
    <m/>
  </r>
  <r>
    <s v="65325460"/>
    <s v="SH ČMS - Sbor dobrovolných hasičů Bojkovice"/>
    <s v="736"/>
    <x v="0"/>
    <x v="2"/>
    <s v="Bojkovice"/>
    <s v="Bojkovice, Nábř. Svobody 169, PSČ 6877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4986"/>
    <s v="SH ČMS - Sbor dobrovolných hasičů Boršice"/>
    <s v="736"/>
    <x v="0"/>
    <x v="2"/>
    <s v="Boršice"/>
    <s v="Boršice 336, PSČ 68709"/>
    <s v="84250"/>
    <s v="Činnosti v oblasti protipožární ochrany"/>
    <m/>
    <m/>
    <m/>
    <m/>
    <m/>
    <m/>
    <m/>
    <m/>
    <m/>
    <m/>
    <m/>
    <m/>
    <m/>
    <m/>
    <m/>
    <m/>
    <m/>
  </r>
  <r>
    <s v="65325257"/>
    <s v="SH ČMS - Sbor dobrovolných hasičů Boršice u Blatnice"/>
    <s v="736"/>
    <x v="0"/>
    <x v="2"/>
    <s v="Boršice u Blatnice"/>
    <s v="Boršice u Blatnice 288, PSČ 68763"/>
    <s v="84250"/>
    <s v="Činnosti v oblasti protipožární ochrany"/>
    <m/>
    <m/>
    <m/>
    <m/>
    <m/>
    <m/>
    <m/>
    <m/>
    <m/>
    <m/>
    <m/>
    <m/>
    <m/>
    <m/>
    <m/>
    <m/>
    <m/>
  </r>
  <r>
    <s v="60383275"/>
    <s v="SH ČMS - Sbor dobrovolných hasičů Bořenovice"/>
    <s v="736"/>
    <x v="0"/>
    <x v="3"/>
    <s v="Bořenovice"/>
    <s v="Bořenovice 64, PSČ 76901"/>
    <s v="84250"/>
    <s v="Činnosti v oblasti protipožární ochrany"/>
    <s v="Stravování v restauracích, u stánků a v mobilních zařízeních"/>
    <s v="Maloobchod s nápoji"/>
    <m/>
    <m/>
    <m/>
    <m/>
    <m/>
    <m/>
    <m/>
    <m/>
    <m/>
    <m/>
    <m/>
    <m/>
    <m/>
    <m/>
    <m/>
  </r>
  <r>
    <s v="65469208"/>
    <s v="SH ČMS - Sbor dobrovolných hasičů Branky"/>
    <s v="736"/>
    <x v="0"/>
    <x v="1"/>
    <s v="Branky"/>
    <s v="Branky 6, PSČ 75645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375"/>
    <s v="SH ČMS - Sbor dobrovolných hasičů Bratřejov"/>
    <s v="736"/>
    <x v="0"/>
    <x v="0"/>
    <s v="Bratřejov"/>
    <s v="Bratřejov 282, PSČ 763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2307"/>
    <s v="SH ČMS - Sbor dobrovolných hasičů Brumov"/>
    <s v="736"/>
    <x v="0"/>
    <x v="0"/>
    <s v="Brumov-Bylnice"/>
    <s v="Brumov-Bylnice, Brumov, H. Synkové 942, PSČ 76331"/>
    <s v="84250"/>
    <s v="Činnosti v oblasti protipožární ochrany"/>
    <m/>
    <m/>
    <m/>
    <m/>
    <m/>
    <m/>
    <m/>
    <m/>
    <m/>
    <m/>
    <m/>
    <m/>
    <m/>
    <m/>
    <m/>
    <m/>
    <m/>
  </r>
  <r>
    <s v="60383976"/>
    <s v="SH ČMS - Sbor dobrovolných hasičů Brusné"/>
    <s v="736"/>
    <x v="0"/>
    <x v="3"/>
    <s v="Brusné"/>
    <s v="Brusné 108, PSČ 7686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3459574"/>
    <s v="SH ČMS - Sbor dobrovolných hasičů Břest"/>
    <s v="736"/>
    <x v="0"/>
    <x v="3"/>
    <s v="Břest"/>
    <s v="Břest 86, PSČ 7682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383"/>
    <s v="SH ČMS - Sbor dobrovolných hasičů Březnice"/>
    <s v="736"/>
    <x v="0"/>
    <x v="0"/>
    <s v="Březnice"/>
    <s v="Březnice 90, PSČ 760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052"/>
    <s v="SH ČMS - Sbor dobrovolných hasičů Březolupy"/>
    <s v="736"/>
    <x v="0"/>
    <x v="2"/>
    <s v="Březolupy"/>
    <s v="Březolupy 434, PSČ 68713"/>
    <s v="84250"/>
    <s v="Činnosti v oblasti protipožární ochrany"/>
    <m/>
    <m/>
    <m/>
    <m/>
    <m/>
    <m/>
    <m/>
    <m/>
    <m/>
    <m/>
    <m/>
    <m/>
    <m/>
    <m/>
    <m/>
    <m/>
    <m/>
  </r>
  <r>
    <s v="65324951"/>
    <s v="SH ČMS - Sbor dobrovolných hasičů Březová"/>
    <s v="736"/>
    <x v="0"/>
    <x v="2"/>
    <s v="Březová"/>
    <s v="Březová 390, PSČ 68767"/>
    <s v="84250"/>
    <s v="Činnosti v oblasti protipožární ochrany"/>
    <m/>
    <m/>
    <m/>
    <m/>
    <m/>
    <m/>
    <m/>
    <m/>
    <m/>
    <m/>
    <m/>
    <m/>
    <m/>
    <m/>
    <m/>
    <m/>
    <m/>
  </r>
  <r>
    <s v="65793048"/>
    <s v="SH ČMS - Sbor dobrovolných hasičů Březová"/>
    <s v="736"/>
    <x v="0"/>
    <x v="0"/>
    <s v="Březová"/>
    <s v="Březová 93, PSČ 76315"/>
    <s v="84250"/>
    <s v="Činnosti v oblasti protipožární ochrany"/>
    <s v="Stravování v restauracích, u stánků a v mobilních zařízeních"/>
    <s v="Maloobchod s nápoji"/>
    <s v="Ostatní sportovní činnosti"/>
    <m/>
    <m/>
    <m/>
    <m/>
    <m/>
    <m/>
    <m/>
    <m/>
    <m/>
    <m/>
    <m/>
    <m/>
    <m/>
    <m/>
  </r>
  <r>
    <s v="65792793"/>
    <s v="SH ČMS - Sbor dobrovolných hasičů Březůvky"/>
    <s v="736"/>
    <x v="0"/>
    <x v="0"/>
    <s v="Březůvky"/>
    <s v="Březůvky 1, PSČ 76345"/>
    <s v="84250"/>
    <s v="Činnosti v oblasti protipožární ochrany"/>
    <m/>
    <m/>
    <m/>
    <m/>
    <m/>
    <m/>
    <m/>
    <m/>
    <m/>
    <m/>
    <m/>
    <m/>
    <m/>
    <m/>
    <m/>
    <m/>
    <m/>
  </r>
  <r>
    <s v="65324889"/>
    <s v="SH ČMS - Sbor dobrovolných hasičů Buchlovice"/>
    <s v="736"/>
    <x v="0"/>
    <x v="2"/>
    <s v="Buchlovice"/>
    <s v="Buchlovice, Kostelní 7, PSČ 68708"/>
    <s v="84250"/>
    <s v="Činnosti v oblasti protipožární ochrany"/>
    <m/>
    <m/>
    <m/>
    <m/>
    <m/>
    <m/>
    <m/>
    <m/>
    <m/>
    <m/>
    <m/>
    <m/>
    <m/>
    <m/>
    <m/>
    <m/>
    <m/>
  </r>
  <r>
    <s v="65792955"/>
    <s v="SH ČMS - Sbor dobrovolných hasičů Bylnice"/>
    <s v="736"/>
    <x v="0"/>
    <x v="0"/>
    <s v="Brumov-Bylnice"/>
    <s v="Brumov-Bylnice, Bylnice, Mýto 463, PSČ 76331"/>
    <s v="84250"/>
    <s v="Činnosti v oblasti protipožární ochrany"/>
    <m/>
    <m/>
    <m/>
    <m/>
    <m/>
    <m/>
    <m/>
    <m/>
    <m/>
    <m/>
    <m/>
    <m/>
    <m/>
    <m/>
    <m/>
    <m/>
    <m/>
  </r>
  <r>
    <s v="60383992"/>
    <s v="SH ČMS - Sbor dobrovolných hasičů Bystřice pod Hostýnem"/>
    <s v="736"/>
    <x v="0"/>
    <x v="3"/>
    <s v="Bystřice pod Hostýnem"/>
    <s v="Bystřice pod Hostýnem, Kamenec 849, PSČ 768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176"/>
    <s v="SH ČMS - Sbor dobrovolných hasičů Bystřice pod Lopeníkem"/>
    <s v="736"/>
    <x v="0"/>
    <x v="2"/>
    <s v="Bystřice pod Lopeníkem"/>
    <s v="Bystřice pod Lopeníkem 262, PSČ 68755"/>
    <s v="84250"/>
    <s v="Činnosti v oblasti protipožární ochrany"/>
    <m/>
    <m/>
    <m/>
    <m/>
    <m/>
    <m/>
    <m/>
    <m/>
    <m/>
    <m/>
    <m/>
    <m/>
    <m/>
    <m/>
    <m/>
    <m/>
    <m/>
  </r>
  <r>
    <s v="63701952"/>
    <s v="SH ČMS - Sbor dobrovolných hasičů Bystřička"/>
    <s v="736"/>
    <x v="0"/>
    <x v="1"/>
    <s v="Bystřička"/>
    <s v="Bystřička 82, PSČ 75624"/>
    <s v="84250"/>
    <s v="Činnosti v oblasti protipožární ochrany"/>
    <m/>
    <m/>
    <m/>
    <m/>
    <m/>
    <m/>
    <m/>
    <m/>
    <m/>
    <m/>
    <m/>
    <m/>
    <m/>
    <m/>
    <m/>
    <m/>
    <m/>
  </r>
  <r>
    <s v="65325443"/>
    <s v="SH ČMS - Sbor dobrovolných hasičů Bzová"/>
    <s v="736"/>
    <x v="0"/>
    <x v="2"/>
    <s v="Bojkovice"/>
    <s v="Bojkovice, Bzová 116, PSČ 68771"/>
    <s v="84250"/>
    <s v="Činnosti v oblasti protipožární ochrany"/>
    <m/>
    <m/>
    <m/>
    <m/>
    <m/>
    <m/>
    <m/>
    <m/>
    <m/>
    <m/>
    <m/>
    <m/>
    <m/>
    <m/>
    <m/>
    <m/>
    <m/>
  </r>
  <r>
    <s v="63414449"/>
    <s v="SH ČMS - Sbor dobrovolných hasičů Cetechovice"/>
    <s v="736"/>
    <x v="0"/>
    <x v="3"/>
    <s v="Cetechovice"/>
    <s v="Cetechovice 114, PSČ 76802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3414147"/>
    <s v="SH ČMS - Sbor dobrovolných hasičů Chomýž"/>
    <s v="736"/>
    <x v="0"/>
    <x v="3"/>
    <s v="Chomýž"/>
    <s v="Chomýž 82, PSČ 768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259"/>
    <s v="SH ČMS - Sbor dobrovolných hasičů Choryně"/>
    <s v="736"/>
    <x v="0"/>
    <x v="1"/>
    <s v="Choryně"/>
    <s v="Choryně 200, PSČ 7564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481"/>
    <s v="SH ČMS - Sbor dobrovolných hasičů Chrastěšov"/>
    <s v="736"/>
    <x v="0"/>
    <x v="0"/>
    <s v="Vizovice"/>
    <s v="Vizovice, Chrastěšov 1, PSČ 763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9531"/>
    <s v="SH ČMS - Sbor dobrovolných hasičů Chropyně"/>
    <s v="736"/>
    <x v="0"/>
    <x v="3"/>
    <s v="Chropyně"/>
    <s v="Chropyně, Palackého 347, PSČ 76811"/>
    <s v="84250"/>
    <s v="Činnosti v oblasti protipožární ochrany"/>
    <m/>
    <m/>
    <m/>
    <m/>
    <m/>
    <m/>
    <m/>
    <m/>
    <m/>
    <m/>
    <m/>
    <m/>
    <m/>
    <m/>
    <m/>
    <m/>
    <m/>
  </r>
  <r>
    <s v="65270266"/>
    <s v="SH ČMS - Sbor dobrovolných hasičů Chvalčov"/>
    <s v="736"/>
    <x v="0"/>
    <x v="3"/>
    <s v="Chvalčov"/>
    <s v="Chvalčov, Obřanská 145, PSČ 7687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72055511"/>
    <s v="SH ČMS - Sbor dobrovolných hasičů Chvalnov - Lísky"/>
    <s v="736"/>
    <x v="0"/>
    <x v="3"/>
    <s v="Chvalnov-Lísky"/>
    <s v="Chvalnov-Lísky, Chvalnov 46, PSČ 76805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490"/>
    <s v="SH ČMS - Sbor dobrovolných hasičů Cvrčovice"/>
    <s v="736"/>
    <x v="0"/>
    <x v="3"/>
    <s v="Zdounky"/>
    <s v="Zdounky, Cvrčovice 58, PSČ 76802"/>
    <s v="84250"/>
    <s v="Činnosti v oblasti protipožární ochrany"/>
    <m/>
    <m/>
    <m/>
    <m/>
    <m/>
    <m/>
    <m/>
    <m/>
    <m/>
    <m/>
    <m/>
    <m/>
    <m/>
    <m/>
    <m/>
    <m/>
    <m/>
  </r>
  <r>
    <s v="65325117"/>
    <s v="SH ČMS - Sbor dobrovolných hasičů Částkov"/>
    <s v="736"/>
    <x v="0"/>
    <x v="2"/>
    <s v="Částkov"/>
    <s v="Částkov 86, PSČ 687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432"/>
    <s v="SH ČMS - Sbor dobrovolných hasičů Divnice"/>
    <s v="736"/>
    <x v="0"/>
    <x v="0"/>
    <s v="Slavičín"/>
    <s v="Slavičín, Divnice 30, PSČ 76321"/>
    <s v="84250"/>
    <s v="Činnosti v oblasti protipožární ochrany"/>
    <m/>
    <m/>
    <m/>
    <m/>
    <m/>
    <m/>
    <m/>
    <m/>
    <m/>
    <m/>
    <m/>
    <m/>
    <m/>
    <m/>
    <m/>
    <m/>
    <m/>
  </r>
  <r>
    <s v="65270258"/>
    <s v="SH ČMS - Sbor dobrovolných hasičů Divoky"/>
    <s v="736"/>
    <x v="0"/>
    <x v="3"/>
    <s v="Zdounky"/>
    <s v="Zdounky, Divoky 72, PSČ 76802"/>
    <s v="84250"/>
    <s v="Činnosti v oblasti protipožární ochrany"/>
    <m/>
    <m/>
    <m/>
    <m/>
    <m/>
    <m/>
    <m/>
    <m/>
    <m/>
    <m/>
    <m/>
    <m/>
    <m/>
    <m/>
    <m/>
    <m/>
    <m/>
  </r>
  <r>
    <s v="68729405"/>
    <s v="SH ČMS - Sbor dobrovolných hasičů Dobrkovice"/>
    <s v="736"/>
    <x v="0"/>
    <x v="0"/>
    <s v="Dobrkovice"/>
    <s v="Dobrkovice 61, PSČ 76307"/>
    <s v="84250"/>
    <s v="Činnosti v oblasti protipožární ochrany"/>
    <m/>
    <m/>
    <m/>
    <m/>
    <m/>
    <m/>
    <m/>
    <m/>
    <m/>
    <m/>
    <m/>
    <m/>
    <m/>
    <m/>
    <m/>
    <m/>
    <m/>
  </r>
  <r>
    <s v="65270339"/>
    <s v="SH ČMS - Sbor dobrovolných hasičů Dobrotice"/>
    <s v="736"/>
    <x v="0"/>
    <x v="3"/>
    <s v="Holešov"/>
    <s v="Holešov, Dobrotice 159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642"/>
    <s v="SH ČMS - Sbor dobrovolných hasičů Dolní Bečva"/>
    <s v="736"/>
    <x v="0"/>
    <x v="1"/>
    <s v="Dolní Bečva"/>
    <s v="Dolní Bečva 340, PSČ 75655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4439186"/>
    <s v="SH ČMS - Sbor dobrovolných hasičů Dolní Lhota"/>
    <s v="736"/>
    <x v="0"/>
    <x v="0"/>
    <s v="Dolní Lhota"/>
    <s v="Dolní Lhota 129, PSČ 7632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281"/>
    <s v="SH ČMS - Sbor dobrovolných hasičů Dolní Němčí"/>
    <s v="736"/>
    <x v="0"/>
    <x v="2"/>
    <s v="Dolní Němčí"/>
    <s v="Dolní Němčí, Na Okluku 534, PSČ 68762"/>
    <s v="84250"/>
    <s v="Činnosti v oblasti protipožární ochrany"/>
    <s v="Výroba, obchod a služby neuvedené v přílohách 1 až 3 živnostenského zákona"/>
    <m/>
    <m/>
    <m/>
    <m/>
    <m/>
    <m/>
    <m/>
    <m/>
    <m/>
    <m/>
    <m/>
    <m/>
    <m/>
    <m/>
    <m/>
    <m/>
  </r>
  <r>
    <s v="68729421"/>
    <s v="SH ČMS - Sbor dobrovolných hasičů Doubravy"/>
    <s v="736"/>
    <x v="0"/>
    <x v="0"/>
    <s v="Doubravy"/>
    <s v="Doubravy 45, PSČ 76345"/>
    <s v="84250"/>
    <s v="Činnosti v oblasti protipožární ochrany"/>
    <m/>
    <m/>
    <m/>
    <m/>
    <m/>
    <m/>
    <m/>
    <m/>
    <m/>
    <m/>
    <m/>
    <m/>
    <m/>
    <m/>
    <m/>
    <m/>
    <m/>
  </r>
  <r>
    <s v="65792998"/>
    <s v="SH ČMS - Sbor dobrovolných hasičů Drnovice"/>
    <s v="736"/>
    <x v="0"/>
    <x v="0"/>
    <s v="Drnovice"/>
    <s v="Drnovice 86, PSČ 76325"/>
    <s v="84250"/>
    <s v="Činnosti v oblasti protipožární ochrany"/>
    <m/>
    <m/>
    <m/>
    <m/>
    <m/>
    <m/>
    <m/>
    <m/>
    <m/>
    <m/>
    <m/>
    <m/>
    <m/>
    <m/>
    <m/>
    <m/>
    <m/>
  </r>
  <r>
    <s v="65325320"/>
    <s v="SH ČMS - Sbor dobrovolných hasičů Drslavice"/>
    <s v="736"/>
    <x v="0"/>
    <x v="2"/>
    <s v="Drslavice"/>
    <s v="Drslavice 93, PSČ 68733"/>
    <s v="84250"/>
    <s v="Činnosti v oblasti protipožární ochrany"/>
    <m/>
    <m/>
    <m/>
    <m/>
    <m/>
    <m/>
    <m/>
    <m/>
    <m/>
    <m/>
    <m/>
    <m/>
    <m/>
    <m/>
    <m/>
    <m/>
    <m/>
  </r>
  <r>
    <s v="66599091"/>
    <s v="SH ČMS - Sbor dobrovolných hasičů Držková"/>
    <s v="736"/>
    <x v="0"/>
    <x v="0"/>
    <s v="Držková"/>
    <s v="Držková 59, PSČ 76319"/>
    <s v="84250"/>
    <s v="Činnosti v oblasti protipožární ochrany"/>
    <m/>
    <m/>
    <m/>
    <m/>
    <m/>
    <m/>
    <m/>
    <m/>
    <m/>
    <m/>
    <m/>
    <m/>
    <m/>
    <m/>
    <m/>
    <m/>
    <m/>
  </r>
  <r>
    <s v="63701464"/>
    <s v="SH ČMS - Sbor dobrovolných hasičů Dušná"/>
    <s v="736"/>
    <x v="0"/>
    <x v="1"/>
    <s v="Vsetín"/>
    <s v="Vsetín, Horní Jasenka 145, PSČ 755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855"/>
    <s v="SH ČMS - Sbor dobrovolných hasičů Francova Lhota"/>
    <s v="736"/>
    <x v="0"/>
    <x v="1"/>
    <s v="Francova Lhota"/>
    <s v="Francova Lhota 46, PSČ 75614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8729430"/>
    <s v="SH ČMS - Sbor dobrovolných hasičů Fryšták"/>
    <s v="736"/>
    <x v="0"/>
    <x v="0"/>
    <s v="Fryšták"/>
    <s v="Fryšták, Lúčky 438, PSČ 76316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774"/>
    <s v="SH ČMS - Sbor dobrovolných hasičů Halenkov"/>
    <s v="736"/>
    <x v="0"/>
    <x v="1"/>
    <s v="Halenkov"/>
    <s v="Halenkov 343, PSČ 75603"/>
    <s v="84250"/>
    <s v="Činnosti v oblasti protipožární ochrany"/>
    <m/>
    <m/>
    <m/>
    <m/>
    <m/>
    <m/>
    <m/>
    <m/>
    <m/>
    <m/>
    <m/>
    <m/>
    <m/>
    <m/>
    <m/>
    <m/>
    <m/>
  </r>
  <r>
    <s v="68729448"/>
    <s v="SH ČMS - Sbor dobrovolných hasičů Halenkovice"/>
    <s v="736"/>
    <x v="0"/>
    <x v="0"/>
    <s v="Halenkovice"/>
    <s v="Halenkovice 673, PSČ 76363"/>
    <s v="84250"/>
    <s v="Činnosti v oblasti protipožární ochrany"/>
    <m/>
    <m/>
    <m/>
    <m/>
    <m/>
    <m/>
    <m/>
    <m/>
    <m/>
    <m/>
    <m/>
    <m/>
    <m/>
    <m/>
    <m/>
    <m/>
    <m/>
  </r>
  <r>
    <s v="65822323"/>
    <s v="SH ČMS - Sbor dobrovolných hasičů Haluzice"/>
    <s v="736"/>
    <x v="0"/>
    <x v="0"/>
    <s v="Haluzice"/>
    <s v="Haluzice 19, PSČ 76324"/>
    <s v="84250"/>
    <s v="Činnosti v oblasti protipožární ochrany"/>
    <m/>
    <m/>
    <m/>
    <m/>
    <m/>
    <m/>
    <m/>
    <m/>
    <m/>
    <m/>
    <m/>
    <m/>
    <m/>
    <m/>
    <m/>
    <m/>
    <m/>
  </r>
  <r>
    <s v="65324749"/>
    <s v="SH ČMS - Sbor dobrovolných hasičů Havřice"/>
    <s v="736"/>
    <x v="0"/>
    <x v="2"/>
    <s v="Uherský Brod"/>
    <s v="Uherský Brod, Havřice, Průhon 412, PSČ 68801"/>
    <s v="84250"/>
    <s v="Činnosti v oblasti protipožární ochrany"/>
    <m/>
    <m/>
    <m/>
    <m/>
    <m/>
    <m/>
    <m/>
    <m/>
    <m/>
    <m/>
    <m/>
    <m/>
    <m/>
    <m/>
    <m/>
    <m/>
    <m/>
  </r>
  <r>
    <s v="65888375"/>
    <s v="SH ČMS - Sbor dobrovolných hasičů Hážovice"/>
    <s v="736"/>
    <x v="0"/>
    <x v="1"/>
    <s v="Rožnov pod Radhoštěm"/>
    <s v="Rožnov pod Radhoštěm, Hážovice 2152, PSČ 756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274491"/>
    <s v="SH ČMS - Sbor dobrovolných hasičů Hlinsko pod Hostýnem"/>
    <s v="736"/>
    <x v="0"/>
    <x v="3"/>
    <s v="Bystřice pod Hostýnem"/>
    <s v="Bystřice pod Hostýnem, Hlinsko pod Hostýnem 106, PSČ 7684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082"/>
    <s v="SH ČMS - Sbor dobrovolných hasičů Holešov"/>
    <s v="736"/>
    <x v="0"/>
    <x v="3"/>
    <s v="Holešov"/>
    <s v="Holešov, Bořenovská 1422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651"/>
    <s v="SH ČMS - Sbor dobrovolných hasičů Horní Bečva"/>
    <s v="736"/>
    <x v="0"/>
    <x v="1"/>
    <s v="Horní Bečva"/>
    <s v="Horní Bečva 656, PSČ 75657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3414104"/>
    <s v="SH ČMS - Sbor dobrovolných hasičů Horní Lapač"/>
    <s v="736"/>
    <x v="0"/>
    <x v="3"/>
    <s v="Horní Lapač"/>
    <s v="Horní Lapač 22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7025544"/>
    <s v="SH ČMS - Sbor dobrovolných hasičů Horní Lhota"/>
    <s v="736"/>
    <x v="0"/>
    <x v="0"/>
    <s v="Horní Lhota"/>
    <s v="Horní Lhota 158, PSČ 76323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3701821"/>
    <s v="SH ČMS - Sbor dobrovolných hasičů Horní Lideč"/>
    <s v="736"/>
    <x v="0"/>
    <x v="1"/>
    <s v="Horní Lideč"/>
    <s v="Horní Lideč 153, PSČ 75612"/>
    <s v="84250"/>
    <s v="Činnosti v oblasti protipožární ochrany"/>
    <m/>
    <m/>
    <m/>
    <m/>
    <m/>
    <m/>
    <m/>
    <m/>
    <m/>
    <m/>
    <m/>
    <m/>
    <m/>
    <m/>
    <m/>
    <m/>
    <m/>
  </r>
  <r>
    <s v="65325265"/>
    <s v="SH ČMS - Sbor dobrovolných hasičů Horní Němčí"/>
    <s v="736"/>
    <x v="0"/>
    <x v="2"/>
    <s v="Horní Němčí"/>
    <s v="Horní Němčí 113, PSČ 68764"/>
    <s v="84250"/>
    <s v="Činnosti v oblasti protipožární ochrany"/>
    <m/>
    <m/>
    <m/>
    <m/>
    <m/>
    <m/>
    <m/>
    <m/>
    <m/>
    <m/>
    <m/>
    <m/>
    <m/>
    <m/>
    <m/>
    <m/>
    <m/>
  </r>
  <r>
    <s v="65325001"/>
    <s v="SH ČMS - Sbor dobrovolných hasičů Hostějov"/>
    <s v="736"/>
    <x v="0"/>
    <x v="2"/>
    <s v="Hostějov"/>
    <s v="Hostějov 3, PSČ 68741"/>
    <s v="84250"/>
    <s v="Činnosti v oblasti protipožární ochrany"/>
    <m/>
    <m/>
    <m/>
    <m/>
    <m/>
    <m/>
    <m/>
    <m/>
    <m/>
    <m/>
    <m/>
    <m/>
    <m/>
    <m/>
    <m/>
    <m/>
    <m/>
  </r>
  <r>
    <s v="65325401"/>
    <s v="SH ČMS - Sbor dobrovolných hasičů Hostětín"/>
    <s v="736"/>
    <x v="0"/>
    <x v="2"/>
    <s v="Hostětín"/>
    <s v="Hostětín 75, PSČ 6877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3150"/>
    <s v="SH ČMS - Sbor dobrovolných hasičů Hostišová"/>
    <s v="736"/>
    <x v="0"/>
    <x v="0"/>
    <s v="Hostišová"/>
    <s v="Hostišová, Hostišová - Horňák 85, PSČ 76301"/>
    <s v="84250"/>
    <s v="Činnosti v oblasti protipožární ochrany"/>
    <m/>
    <m/>
    <m/>
    <m/>
    <m/>
    <m/>
    <m/>
    <m/>
    <m/>
    <m/>
    <m/>
    <m/>
    <m/>
    <m/>
    <m/>
    <m/>
    <m/>
  </r>
  <r>
    <s v="63701898"/>
    <s v="SH ČMS - Sbor dobrovolných hasičů Hošťálková"/>
    <s v="736"/>
    <x v="0"/>
    <x v="1"/>
    <s v="Hošťálková"/>
    <s v="Hošťálková 409, PSČ 75622"/>
    <s v="84250"/>
    <s v="Činnosti v oblasti protipožární ochrany"/>
    <m/>
    <m/>
    <m/>
    <m/>
    <m/>
    <m/>
    <m/>
    <m/>
    <m/>
    <m/>
    <m/>
    <m/>
    <m/>
    <m/>
    <m/>
    <m/>
    <m/>
  </r>
  <r>
    <s v="65274440"/>
    <s v="SH ČMS - Sbor dobrovolných hasičů Hoštice"/>
    <s v="736"/>
    <x v="0"/>
    <x v="3"/>
    <s v="Hoštice"/>
    <s v="Hoštice 74, PSČ 76813"/>
    <s v="84250"/>
    <s v="Činnosti v oblasti protipožární ochrany"/>
    <m/>
    <m/>
    <m/>
    <m/>
    <m/>
    <m/>
    <m/>
    <m/>
    <m/>
    <m/>
    <m/>
    <m/>
    <m/>
    <m/>
    <m/>
    <m/>
    <m/>
  </r>
  <r>
    <s v="63701782"/>
    <s v="SH ČMS - Sbor dobrovolných hasičů Hovězí"/>
    <s v="736"/>
    <x v="0"/>
    <x v="1"/>
    <s v="Hovězí"/>
    <s v="Hovězí 2, PSČ 7560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4123677"/>
    <s v="SH ČMS - Sbor dobrovolných hasičů Hrachovec"/>
    <s v="736"/>
    <x v="0"/>
    <x v="1"/>
    <s v="Valašské Meziříčí"/>
    <s v="Valašské Meziříčí, Hrachovec 200, PSČ 75701"/>
    <s v="84250"/>
    <s v="Činnosti v oblasti protipožární ochrany"/>
    <m/>
    <m/>
    <m/>
    <m/>
    <m/>
    <m/>
    <m/>
    <m/>
    <m/>
    <m/>
    <m/>
    <m/>
    <m/>
    <m/>
    <m/>
    <m/>
    <m/>
  </r>
  <r>
    <s v="65325346"/>
    <s v="SH ČMS - Sbor dobrovolných hasičů Hradčovice"/>
    <s v="736"/>
    <x v="0"/>
    <x v="2"/>
    <s v="Hradčovice"/>
    <s v="Hradčovice 6, PSČ 68733"/>
    <s v="84250"/>
    <s v="Činnosti v oblasti protipožární ochrany"/>
    <s v="Stravování v restauracích, u stánků a v mobilních zařízeních"/>
    <s v="Maloobchod s nápoji"/>
    <m/>
    <m/>
    <m/>
    <m/>
    <m/>
    <m/>
    <m/>
    <m/>
    <m/>
    <m/>
    <m/>
    <m/>
    <m/>
    <m/>
    <m/>
  </r>
  <r>
    <s v="65792459"/>
    <s v="SH ČMS - Sbor dobrovolných hasičů Hrádek na Vlárské dráze"/>
    <s v="736"/>
    <x v="0"/>
    <x v="0"/>
    <s v="Slavičín"/>
    <s v="Slavičín, Hrádek na Vlárské dráze, Nádražní 113, PSČ 76321"/>
    <s v="84250"/>
    <s v="Činnosti v oblasti protipožární ochrany"/>
    <m/>
    <m/>
    <m/>
    <m/>
    <m/>
    <m/>
    <m/>
    <m/>
    <m/>
    <m/>
    <m/>
    <m/>
    <m/>
    <m/>
    <m/>
    <m/>
    <m/>
  </r>
  <r>
    <s v="65270118"/>
    <s v="SH ČMS - Sbor dobrovolných hasičů Hradisko"/>
    <s v="736"/>
    <x v="0"/>
    <x v="3"/>
    <s v="Kroměříž"/>
    <s v="Kroměříž, Hradisko 4, PSČ 767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3072"/>
    <s v="SH ČMS - Sbor dobrovolných hasičů Hrobice"/>
    <s v="736"/>
    <x v="0"/>
    <x v="0"/>
    <s v="Hrobice"/>
    <s v="Hrobice 126, PSČ 76315"/>
    <s v="84250"/>
    <s v="Činnosti v oblasti protipožární ochrany"/>
    <m/>
    <m/>
    <m/>
    <m/>
    <m/>
    <m/>
    <m/>
    <m/>
    <m/>
    <m/>
    <m/>
    <m/>
    <m/>
    <m/>
    <m/>
    <m/>
    <m/>
  </r>
  <r>
    <s v="68729456"/>
    <s v="SH ČMS - Sbor dobrovolných hasičů Hřivínův Újezd"/>
    <s v="736"/>
    <x v="0"/>
    <x v="0"/>
    <s v="Hřivínův Újezd"/>
    <s v="Hřivínův Újezd 50, PSČ 76307"/>
    <s v="84250"/>
    <s v="Činnosti v oblasti protipožární ochrany"/>
    <m/>
    <m/>
    <m/>
    <m/>
    <m/>
    <m/>
    <m/>
    <m/>
    <m/>
    <m/>
    <m/>
    <m/>
    <m/>
    <m/>
    <m/>
    <m/>
    <m/>
  </r>
  <r>
    <s v="63458772"/>
    <s v="SH ČMS - Sbor dobrovolných hasičů Hulín"/>
    <s v="736"/>
    <x v="0"/>
    <x v="3"/>
    <s v="Hulín"/>
    <s v="Hulín, Kostelní 988, PSČ 76824"/>
    <s v="84250"/>
    <s v="Činnosti v oblasti protipožární ochrany"/>
    <m/>
    <m/>
    <m/>
    <m/>
    <m/>
    <m/>
    <m/>
    <m/>
    <m/>
    <m/>
    <m/>
    <m/>
    <m/>
    <m/>
    <m/>
    <m/>
    <m/>
  </r>
  <r>
    <s v="63701791"/>
    <s v="SH ČMS - Sbor dobrovolných hasičů Huslenky"/>
    <s v="736"/>
    <x v="0"/>
    <x v="1"/>
    <s v="Huslenky"/>
    <s v="Huslenky 494, PSČ 75602"/>
    <s v="84250"/>
    <s v="Činnosti v oblasti protipožární ochrany"/>
    <m/>
    <m/>
    <m/>
    <m/>
    <m/>
    <m/>
    <m/>
    <m/>
    <m/>
    <m/>
    <m/>
    <m/>
    <m/>
    <m/>
    <m/>
    <m/>
    <m/>
  </r>
  <r>
    <s v="65888367"/>
    <s v="SH ČMS - Sbor dobrovolných hasičů Hutisko-Solanec"/>
    <s v="736"/>
    <x v="0"/>
    <x v="1"/>
    <s v="Hutisko-Solanec"/>
    <s v="Hutisko-Solanec, Hutisko 512, PSČ 7566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464"/>
    <s v="SH ČMS - Sbor dobrovolných hasičů Hvozdná"/>
    <s v="736"/>
    <x v="0"/>
    <x v="0"/>
    <s v="Hvozdná"/>
    <s v="Hvozdná, Záhumení 325, PSČ 76310"/>
    <s v="84250"/>
    <s v="Činnosti v oblasti protipožární ochrany"/>
    <m/>
    <m/>
    <m/>
    <m/>
    <m/>
    <m/>
    <m/>
    <m/>
    <m/>
    <m/>
    <m/>
    <m/>
    <m/>
    <m/>
    <m/>
    <m/>
    <m/>
  </r>
  <r>
    <s v="63701901"/>
    <s v="SH ČMS - Sbor dobrovolných hasičů Jablůnka"/>
    <s v="736"/>
    <x v="0"/>
    <x v="1"/>
    <s v="Jablůnka"/>
    <s v="Jablůnka 207, PSČ 75623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324803"/>
    <s v="SH ČMS - Sbor dobrovolných hasičů Jalubí"/>
    <s v="736"/>
    <x v="0"/>
    <x v="2"/>
    <s v="Jalubí"/>
    <s v="Jalubí 135, PSČ 68705"/>
    <s v="84250"/>
    <s v="Činnosti v oblasti protipožární ochrany"/>
    <m/>
    <m/>
    <m/>
    <m/>
    <m/>
    <m/>
    <m/>
    <m/>
    <m/>
    <m/>
    <m/>
    <m/>
    <m/>
    <m/>
    <m/>
    <m/>
    <m/>
  </r>
  <r>
    <s v="65324838"/>
    <s v="SH ČMS - Sbor dobrovolných hasičů Jankovice"/>
    <s v="736"/>
    <x v="0"/>
    <x v="2"/>
    <s v="Jankovice"/>
    <s v="Jankovice 15, PSČ 68704"/>
    <s v="84250"/>
    <s v="Činnosti v oblasti protipožární ochrany"/>
    <m/>
    <m/>
    <m/>
    <m/>
    <m/>
    <m/>
    <m/>
    <m/>
    <m/>
    <m/>
    <m/>
    <m/>
    <m/>
    <m/>
    <m/>
    <m/>
    <m/>
  </r>
  <r>
    <s v="63414341"/>
    <s v="SH ČMS - Sbor dobrovolných hasičů Jankovice"/>
    <s v="736"/>
    <x v="0"/>
    <x v="3"/>
    <s v="Jankovice"/>
    <s v="Jankovice 101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472"/>
    <s v="SH ČMS - Sbor dobrovolných hasičů Janová"/>
    <s v="736"/>
    <x v="0"/>
    <x v="1"/>
    <s v="Janová"/>
    <s v="Janová 200, PSČ 75501"/>
    <s v="84250"/>
    <s v="Činnosti v oblasti protipožární ochrany"/>
    <m/>
    <m/>
    <m/>
    <m/>
    <m/>
    <m/>
    <m/>
    <m/>
    <m/>
    <m/>
    <m/>
    <m/>
    <m/>
    <m/>
    <m/>
    <m/>
    <m/>
  </r>
  <r>
    <s v="63701961"/>
    <s v="SH ČMS - Sbor dobrovolných hasičů Jarcová"/>
    <s v="736"/>
    <x v="0"/>
    <x v="1"/>
    <s v="Jarcová"/>
    <s v="Jarcová 200, PSČ 757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270410"/>
    <s v="SH ČMS - Sbor dobrovolných hasičů Jarohněvice"/>
    <s v="736"/>
    <x v="0"/>
    <x v="3"/>
    <s v="Jarohněvice"/>
    <s v="Jarohněvice 83, PSČ 76801"/>
    <s v="84250"/>
    <s v="Činnosti v oblasti protipožární ochrany"/>
    <m/>
    <m/>
    <m/>
    <m/>
    <m/>
    <m/>
    <m/>
    <m/>
    <m/>
    <m/>
    <m/>
    <m/>
    <m/>
    <m/>
    <m/>
    <m/>
    <m/>
  </r>
  <r>
    <s v="62833065"/>
    <s v="SH ČMS - Sbor dobrovolných hasičů Jarošov"/>
    <s v="736"/>
    <x v="0"/>
    <x v="2"/>
    <s v="Uherské Hradiště"/>
    <s v="Uherské Hradiště, Jarošov, Pivovarská 509, PSČ 686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461"/>
    <s v="SH ČMS - Sbor dobrovolných hasičů Jasenice"/>
    <s v="736"/>
    <x v="0"/>
    <x v="1"/>
    <s v="Lešná"/>
    <s v="Lešná, Jasenice 20, PSČ 75641"/>
    <s v="84250"/>
    <s v="Činnosti v oblasti protipožární ochrany"/>
    <m/>
    <m/>
    <m/>
    <m/>
    <m/>
    <m/>
    <m/>
    <m/>
    <m/>
    <m/>
    <m/>
    <m/>
    <m/>
    <m/>
    <m/>
    <m/>
    <m/>
  </r>
  <r>
    <s v="63701481"/>
    <s v="SH ČMS - Sbor dobrovolných hasičů Jasenka"/>
    <s v="736"/>
    <x v="0"/>
    <x v="1"/>
    <s v="Vsetín"/>
    <s v="Vsetín, Horní Jasenka 331, PSČ 755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499"/>
    <s v="SH ČMS - Sbor dobrovolných hasičů Jasenná"/>
    <s v="736"/>
    <x v="0"/>
    <x v="0"/>
    <s v="Jasenná"/>
    <s v="Jasenná 265, PSČ 76313"/>
    <s v="84250"/>
    <s v="Činnosti v oblasti protipožární ochrany"/>
    <m/>
    <m/>
    <m/>
    <m/>
    <m/>
    <m/>
    <m/>
    <m/>
    <m/>
    <m/>
    <m/>
    <m/>
    <m/>
    <m/>
    <m/>
    <m/>
    <m/>
  </r>
  <r>
    <s v="68729502"/>
    <s v="SH ČMS - Sbor dobrovolných hasičů Jestřabí"/>
    <s v="736"/>
    <x v="0"/>
    <x v="0"/>
    <s v="Jestřabí"/>
    <s v="Jestřabí 1, PSČ 7633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553"/>
    <s v="SH ČMS - Sbor dobrovolných hasičů Juřinka"/>
    <s v="736"/>
    <x v="0"/>
    <x v="1"/>
    <s v="Valašské Meziříčí"/>
    <s v="Valašské Meziříčí, Juřinka 10, PSČ 75701"/>
    <s v="84250"/>
    <s v="Činnosti v oblasti protipožární ochrany"/>
    <s v="Maloobchod s nápoji"/>
    <s v="Stravování v restauracích, u stánků a v mobilních zařízeních"/>
    <m/>
    <m/>
    <m/>
    <m/>
    <m/>
    <m/>
    <m/>
    <m/>
    <m/>
    <m/>
    <m/>
    <m/>
    <m/>
    <m/>
    <m/>
  </r>
  <r>
    <s v="65822765"/>
    <s v="SH ČMS - Sbor dobrovolných hasičů Kaňovice"/>
    <s v="736"/>
    <x v="0"/>
    <x v="0"/>
    <s v="Kaňovice"/>
    <s v="Kaňovice 44, PSČ 7634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472"/>
    <s v="SH ČMS - Sbor dobrovolných hasičů Karlovice"/>
    <s v="736"/>
    <x v="0"/>
    <x v="0"/>
    <s v="Karlovice"/>
    <s v="Karlovice 47, PSČ 76302"/>
    <s v="84250"/>
    <s v="Činnosti v oblasti protipožární ochrany"/>
    <m/>
    <m/>
    <m/>
    <m/>
    <m/>
    <m/>
    <m/>
    <m/>
    <m/>
    <m/>
    <m/>
    <m/>
    <m/>
    <m/>
    <m/>
    <m/>
    <m/>
  </r>
  <r>
    <s v="65270126"/>
    <s v="SH ČMS - Sbor dobrovolných hasičů Karlovice"/>
    <s v="736"/>
    <x v="0"/>
    <x v="3"/>
    <s v="Kostelec u Holešova"/>
    <s v="Kostelec u Holešova, Karlovice 350, PSČ 76843"/>
    <s v="84250"/>
    <s v="Činnosti v oblasti protipožární ochrany"/>
    <m/>
    <m/>
    <m/>
    <m/>
    <m/>
    <m/>
    <m/>
    <m/>
    <m/>
    <m/>
    <m/>
    <m/>
    <m/>
    <m/>
    <m/>
    <m/>
    <m/>
  </r>
  <r>
    <s v="65274504"/>
    <s v="SH ČMS - Sbor dobrovolných hasičů Karolín"/>
    <s v="736"/>
    <x v="0"/>
    <x v="3"/>
    <s v="Karolín"/>
    <s v="Karolín 82, PSČ 768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2731"/>
    <s v="SH ČMS - Sbor dobrovolných hasičů Kašava"/>
    <s v="736"/>
    <x v="0"/>
    <x v="0"/>
    <s v="Kašava"/>
    <s v="Kašava 181, PSČ 76319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910"/>
    <s v="SH ČMS - Sbor dobrovolných hasičů Kateřinice"/>
    <s v="736"/>
    <x v="0"/>
    <x v="1"/>
    <s v="Kateřinice"/>
    <s v="Kateřinice 242, PSČ 756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232"/>
    <s v="SH ČMS - Sbor dobrovolných hasičů Kelč"/>
    <s v="736"/>
    <x v="0"/>
    <x v="1"/>
    <s v="Kelč"/>
    <s v="Kelč 241, PSČ 75643"/>
    <s v="84250"/>
    <s v="Činnosti v oblasti protipožární ochrany"/>
    <m/>
    <m/>
    <m/>
    <m/>
    <m/>
    <m/>
    <m/>
    <m/>
    <m/>
    <m/>
    <m/>
    <m/>
    <m/>
    <m/>
    <m/>
    <m/>
    <m/>
  </r>
  <r>
    <s v="68729511"/>
    <s v="SH ČMS - Sbor dobrovolných hasičů Kelníky"/>
    <s v="736"/>
    <x v="0"/>
    <x v="0"/>
    <s v="Kelníky"/>
    <s v="Kelníky 1, PSČ 76307"/>
    <s v="84250"/>
    <s v="Činnosti v oblasti protipožární ochrany"/>
    <m/>
    <m/>
    <m/>
    <m/>
    <m/>
    <m/>
    <m/>
    <m/>
    <m/>
    <m/>
    <m/>
    <m/>
    <m/>
    <m/>
    <m/>
    <m/>
    <m/>
  </r>
  <r>
    <s v="65891317"/>
    <s v="SH ČMS - Sbor dobrovolných hasičů Kladeruby"/>
    <s v="736"/>
    <x v="0"/>
    <x v="1"/>
    <s v="Kladeruby"/>
    <s v="Kladeruby 72, PSČ 75643"/>
    <s v="84250"/>
    <s v="Činnosti v oblasti protipožární ochrany"/>
    <m/>
    <m/>
    <m/>
    <m/>
    <m/>
    <m/>
    <m/>
    <m/>
    <m/>
    <m/>
    <m/>
    <m/>
    <m/>
    <m/>
    <m/>
    <m/>
    <m/>
  </r>
  <r>
    <s v="68729529"/>
    <s v="SH ČMS - Sbor dobrovolných hasičů Kladná Žilín"/>
    <s v="736"/>
    <x v="0"/>
    <x v="0"/>
    <s v="Luhačovice"/>
    <s v="Luhačovice, Kladná Žilín 1, PSČ 76326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677"/>
    <s v="SH ČMS - Sbor dobrovolných hasičů Kněhyně"/>
    <s v="736"/>
    <x v="0"/>
    <x v="1"/>
    <s v="Prostřední Bečva"/>
    <s v="Prostřední Bečva 412, PSČ 75656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095"/>
    <s v="SH ČMS - Sbor dobrovolných hasičů Kněžpole"/>
    <s v="736"/>
    <x v="0"/>
    <x v="2"/>
    <s v="Kněžpole"/>
    <s v="Kněžpole 125, PSČ 687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368"/>
    <s v="SH ČMS - Sbor dobrovolných hasičů Količín"/>
    <s v="736"/>
    <x v="0"/>
    <x v="3"/>
    <s v="Holešov"/>
    <s v="Holešov, Količín 93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8713"/>
    <s v="SH ČMS - Sbor dobrovolných hasičů Komárno"/>
    <s v="736"/>
    <x v="0"/>
    <x v="3"/>
    <s v="Komárno"/>
    <s v="Komárno 17, PSČ 7687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553"/>
    <s v="SH ČMS - Sbor dobrovolných hasičů Komárov"/>
    <s v="736"/>
    <x v="0"/>
    <x v="0"/>
    <s v="Komárov"/>
    <s v="Komárov 124, PSČ 763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91376"/>
    <s v="SH ČMS - Sbor dobrovolných hasičů Komárovice"/>
    <s v="736"/>
    <x v="0"/>
    <x v="1"/>
    <s v="Kelč"/>
    <s v="Kelč, Komárovice 37, PSČ 75643"/>
    <s v="84250"/>
    <s v="Činnosti v oblasti protipožární ochrany"/>
    <m/>
    <m/>
    <m/>
    <m/>
    <m/>
    <m/>
    <m/>
    <m/>
    <m/>
    <m/>
    <m/>
    <m/>
    <m/>
    <m/>
    <m/>
    <m/>
    <m/>
  </r>
  <r>
    <s v="65325435"/>
    <s v="SH ČMS - Sbor dobrovolných hasičů Komňa"/>
    <s v="736"/>
    <x v="0"/>
    <x v="2"/>
    <s v="Komňa"/>
    <s v="Komňa 42, PSČ 6877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274431"/>
    <s v="SH ČMS - Sbor dobrovolných hasičů Koryčany"/>
    <s v="736"/>
    <x v="0"/>
    <x v="3"/>
    <s v="Koryčany"/>
    <s v="Koryčany, Kyjovská 82, PSČ 76805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133"/>
    <s v="SH ČMS - Sbor dobrovolných hasičů Korytná"/>
    <s v="736"/>
    <x v="0"/>
    <x v="2"/>
    <s v="Korytná"/>
    <s v="Korytná 64, PSČ 68752"/>
    <s v="84250"/>
    <s v="Činnosti v oblasti protipožární ochrany"/>
    <m/>
    <m/>
    <m/>
    <m/>
    <m/>
    <m/>
    <m/>
    <m/>
    <m/>
    <m/>
    <m/>
    <m/>
    <m/>
    <m/>
    <m/>
    <m/>
    <m/>
  </r>
  <r>
    <s v="65270142"/>
    <s v="SH ČMS - Sbor dobrovolných hasičů Kostelany"/>
    <s v="736"/>
    <x v="0"/>
    <x v="3"/>
    <s v="Kostelany"/>
    <s v="Kostelany 129, PSČ 76701"/>
    <s v="84250"/>
    <s v="Činnosti v oblasti protipožární ochrany"/>
    <m/>
    <m/>
    <m/>
    <m/>
    <m/>
    <m/>
    <m/>
    <m/>
    <m/>
    <m/>
    <m/>
    <m/>
    <m/>
    <m/>
    <m/>
    <m/>
    <m/>
  </r>
  <r>
    <s v="65324897"/>
    <s v="SH ČMS - Sbor dobrovolných hasičů Kostelany nad Moravou"/>
    <s v="736"/>
    <x v="0"/>
    <x v="2"/>
    <s v="Kostelany nad Moravou"/>
    <s v="Kostelany nad Moravou 19, PSČ 68601"/>
    <s v="84250"/>
    <s v="Činnosti v oblasti protipožární ochrany"/>
    <m/>
    <m/>
    <m/>
    <m/>
    <m/>
    <m/>
    <m/>
    <m/>
    <m/>
    <m/>
    <m/>
    <m/>
    <m/>
    <m/>
    <m/>
    <m/>
    <m/>
  </r>
  <r>
    <s v="65270371"/>
    <s v="SH ČMS - Sbor dobrovolných hasičů Kostelec u Holešova"/>
    <s v="736"/>
    <x v="0"/>
    <x v="3"/>
    <s v="Kostelec u Holešova"/>
    <s v="Kostelec u Holešova 58, PSČ 76843"/>
    <s v="84250"/>
    <s v="Činnosti v oblasti protipožární ochrany"/>
    <m/>
    <m/>
    <m/>
    <m/>
    <m/>
    <m/>
    <m/>
    <m/>
    <m/>
    <m/>
    <m/>
    <m/>
    <m/>
    <m/>
    <m/>
    <m/>
    <m/>
  </r>
  <r>
    <s v="65324811"/>
    <s v="SH ČMS - Sbor dobrovolných hasičů Košíky"/>
    <s v="736"/>
    <x v="0"/>
    <x v="2"/>
    <s v="Košíky"/>
    <s v="Košíky 172, PSČ 6870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04779401"/>
    <s v="SH ČMS - Sbor dobrovolných hasičů Krhová"/>
    <s v="736"/>
    <x v="0"/>
    <x v="1"/>
    <s v="Krhová"/>
    <s v="Krhová, Bří Podmolů 441, PSČ 75663"/>
    <s v="84250"/>
    <s v="Činnosti v oblasti protipožární ochrany"/>
    <m/>
    <m/>
    <m/>
    <m/>
    <m/>
    <m/>
    <m/>
    <m/>
    <m/>
    <m/>
    <m/>
    <m/>
    <m/>
    <m/>
    <m/>
    <m/>
    <m/>
  </r>
  <r>
    <s v="47930331"/>
    <s v="SH ČMS - Sbor dobrovolných hasičů Kroměříž"/>
    <s v="736"/>
    <x v="0"/>
    <x v="3"/>
    <s v="Kroměříž"/>
    <s v="Kroměříž, Hanácké náměstí 463/7, PSČ 76701"/>
    <s v="84250"/>
    <s v="Činnosti v oblasti protipožární ochrany"/>
    <m/>
    <m/>
    <m/>
    <m/>
    <m/>
    <m/>
    <m/>
    <m/>
    <m/>
    <m/>
    <m/>
    <m/>
    <m/>
    <m/>
    <m/>
    <m/>
    <m/>
  </r>
  <r>
    <s v="65792815"/>
    <s v="SH ČMS - Sbor dobrovolných hasičů Křekov"/>
    <s v="736"/>
    <x v="0"/>
    <x v="0"/>
    <s v="Křekov"/>
    <s v="Křekov 80, PSČ 76601"/>
    <s v="84250"/>
    <s v="Činnosti v oblasti protipožární ochrany"/>
    <m/>
    <m/>
    <m/>
    <m/>
    <m/>
    <m/>
    <m/>
    <m/>
    <m/>
    <m/>
    <m/>
    <m/>
    <m/>
    <m/>
    <m/>
    <m/>
    <m/>
  </r>
  <r>
    <s v="65324765"/>
    <s v="SH ČMS - Sbor dobrovolných hasičů Kudlovice"/>
    <s v="736"/>
    <x v="0"/>
    <x v="2"/>
    <s v="Kudlovice"/>
    <s v="Kudlovice 39, PSČ 6870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4123936"/>
    <s v="SH ČMS - Sbor dobrovolných hasičů Kunovice"/>
    <s v="736"/>
    <x v="0"/>
    <x v="1"/>
    <s v="Kunovice"/>
    <s v="Kunovice 153, PSČ 7564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1703389"/>
    <s v="SH ČMS - Sbor dobrovolných hasičů Kunovice"/>
    <s v="736"/>
    <x v="0"/>
    <x v="2"/>
    <s v="Kunovice"/>
    <s v="Kunovice, náměstí Svobody 364, PSČ 6860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9060"/>
    <s v="SH ČMS - Sbor dobrovolných hasičů Kurovice"/>
    <s v="736"/>
    <x v="0"/>
    <x v="3"/>
    <s v="Kurovice"/>
    <s v="Kurovice 68, PSČ 7685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75065258"/>
    <s v="SH ČMS - Sbor dobrovolných hasičů Kvasice"/>
    <s v="736"/>
    <x v="0"/>
    <x v="3"/>
    <s v="Kvasice"/>
    <s v="Kvasice, Družstevní 397, PSČ 768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3056"/>
    <s v="SH ČMS - Sbor dobrovolných hasičů Kvítkovice"/>
    <s v="736"/>
    <x v="0"/>
    <x v="0"/>
    <s v="Otrokovice"/>
    <s v="Otrokovice, Kvítkovice, Bartošova 104, PSČ 7650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724"/>
    <s v="SH ČMS - Sbor dobrovolných hasičů Kyselovice"/>
    <s v="736"/>
    <x v="0"/>
    <x v="3"/>
    <s v="Kyselovice"/>
    <s v="Kyselovice 189, PSČ 7681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847"/>
    <s v="SH ČMS - Sbor dobrovolných hasičů Lačnov"/>
    <s v="736"/>
    <x v="0"/>
    <x v="1"/>
    <s v="Lačnov"/>
    <s v="Lačnov 290, PSČ 75612"/>
    <s v="84250"/>
    <s v="Činnosti v oblasti protipožární ochrany"/>
    <m/>
    <m/>
    <m/>
    <m/>
    <m/>
    <m/>
    <m/>
    <m/>
    <m/>
    <m/>
    <m/>
    <m/>
    <m/>
    <m/>
    <m/>
    <m/>
    <m/>
  </r>
  <r>
    <s v="63459442"/>
    <s v="SH ČMS - Sbor dobrovolných hasičů Lechotice"/>
    <s v="736"/>
    <x v="0"/>
    <x v="3"/>
    <s v="Lechotice"/>
    <s v="Lechotice 100, PSČ 7685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812"/>
    <s v="SH ČMS - Sbor dobrovolných hasičů Leskovec"/>
    <s v="736"/>
    <x v="0"/>
    <x v="1"/>
    <s v="Leskovec"/>
    <s v="Leskovec 67, PSČ 7561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469275"/>
    <s v="SH ČMS - Sbor dobrovolných hasičů Lešná"/>
    <s v="736"/>
    <x v="0"/>
    <x v="1"/>
    <s v="Lešná"/>
    <s v="Lešná 36, PSČ 7564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548"/>
    <s v="SH ČMS - Sbor dobrovolných hasičů Lhota"/>
    <s v="736"/>
    <x v="0"/>
    <x v="0"/>
    <s v="Lhota"/>
    <s v="Lhota 265, PSČ 7630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473"/>
    <s v="SH ČMS - Sbor dobrovolných hasičů Lhota"/>
    <s v="736"/>
    <x v="0"/>
    <x v="3"/>
    <s v="Pačlavice"/>
    <s v="Pačlavice, Lhota 108, PSČ 7683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91368"/>
    <s v="SH ČMS - Sbor dobrovolných hasičů Lhota"/>
    <s v="736"/>
    <x v="0"/>
    <x v="1"/>
    <s v="Kelč"/>
    <s v="Kelč, Lhota 46, PSČ 7564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499"/>
    <s v="SH ČMS - Sbor dobrovolných hasičů Lhota u Vsetína"/>
    <s v="736"/>
    <x v="0"/>
    <x v="1"/>
    <s v="Lhota u Vsetína"/>
    <s v="Lhota u Vsetína 211, PSČ 755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338"/>
    <s v="SH ČMS - Sbor dobrovolných hasičů Lhotka"/>
    <s v="736"/>
    <x v="0"/>
    <x v="2"/>
    <s v="Hradčovice"/>
    <s v="Hradčovice, Lhotka 62, PSČ 68733"/>
    <s v="84250"/>
    <s v="Činnosti v oblasti protipožární ochrany"/>
    <m/>
    <m/>
    <m/>
    <m/>
    <m/>
    <m/>
    <m/>
    <m/>
    <m/>
    <m/>
    <m/>
    <m/>
    <m/>
    <m/>
    <m/>
    <m/>
    <m/>
  </r>
  <r>
    <s v="65469283"/>
    <s v="SH ČMS - Sbor dobrovolných hasičů Lhotka nad Bečvou"/>
    <s v="736"/>
    <x v="0"/>
    <x v="1"/>
    <s v="Lešná"/>
    <s v="Lešná, Lhotka nad Bečvou 10, PSČ 75641"/>
    <s v="84250"/>
    <s v="Činnosti v oblasti protipožární ochrany"/>
    <m/>
    <m/>
    <m/>
    <m/>
    <m/>
    <m/>
    <m/>
    <m/>
    <m/>
    <m/>
    <m/>
    <m/>
    <m/>
    <m/>
    <m/>
    <m/>
    <m/>
  </r>
  <r>
    <s v="65822714"/>
    <s v="SH ČMS - Sbor dobrovolných hasičů Lhotsko"/>
    <s v="736"/>
    <x v="0"/>
    <x v="0"/>
    <s v="Lhotsko"/>
    <s v="Lhotsko 57, PSČ 76312"/>
    <s v="84250"/>
    <s v="Činnosti v oblasti protipožární ochrany"/>
    <m/>
    <m/>
    <m/>
    <m/>
    <m/>
    <m/>
    <m/>
    <m/>
    <m/>
    <m/>
    <m/>
    <m/>
    <m/>
    <m/>
    <m/>
    <m/>
    <m/>
  </r>
  <r>
    <s v="63414031"/>
    <s v="SH ČMS - Sbor dobrovolných hasičů Libosváry"/>
    <s v="736"/>
    <x v="0"/>
    <x v="3"/>
    <s v="Loukov"/>
    <s v="Loukov, Libosváry 57, PSČ 76861"/>
    <s v="84250"/>
    <s v="Činnosti v oblasti protipožární ochrany"/>
    <m/>
    <m/>
    <m/>
    <m/>
    <m/>
    <m/>
    <m/>
    <m/>
    <m/>
    <m/>
    <m/>
    <m/>
    <m/>
    <m/>
    <m/>
    <m/>
    <m/>
  </r>
  <r>
    <s v="63701839"/>
    <s v="SH ČMS - Sbor dobrovolných hasičů Lidečko"/>
    <s v="736"/>
    <x v="0"/>
    <x v="1"/>
    <s v="Lidečko"/>
    <s v="Lidečko 32, PSČ 75612"/>
    <s v="84250"/>
    <s v="Činnosti v oblasti protipožární ochrany"/>
    <m/>
    <m/>
    <m/>
    <m/>
    <m/>
    <m/>
    <m/>
    <m/>
    <m/>
    <m/>
    <m/>
    <m/>
    <m/>
    <m/>
    <m/>
    <m/>
    <m/>
  </r>
  <r>
    <s v="65822331"/>
    <s v="SH ČMS - Sbor dobrovolných hasičů Lípa"/>
    <s v="736"/>
    <x v="0"/>
    <x v="0"/>
    <s v="Lípa"/>
    <s v="Lípa 118, PSČ 76311"/>
    <s v="84250"/>
    <s v="Činnosti v oblasti protipožární ochrany"/>
    <m/>
    <m/>
    <m/>
    <m/>
    <m/>
    <m/>
    <m/>
    <m/>
    <m/>
    <m/>
    <m/>
    <m/>
    <m/>
    <m/>
    <m/>
    <m/>
    <m/>
  </r>
  <r>
    <s v="65792734"/>
    <s v="SH ČMS - Sbor dobrovolných hasičů Lipina"/>
    <s v="736"/>
    <x v="0"/>
    <x v="0"/>
    <s v="Valašské Klobouky"/>
    <s v="Valašské Klobouky, Lipina 58, PSČ 766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2528"/>
    <s v="SH ČMS - Sbor dobrovolných hasičů Lipová"/>
    <s v="736"/>
    <x v="0"/>
    <x v="0"/>
    <s v="Lipová"/>
    <s v="Lipová 48, PSČ 763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537"/>
    <s v="SH ČMS - Sbor dobrovolných hasičů Liptál"/>
    <s v="736"/>
    <x v="0"/>
    <x v="1"/>
    <s v="Liptál"/>
    <s v="Liptál 408, PSČ 75631"/>
    <s v="84250"/>
    <s v="Činnosti v oblasti protipožární ochrany"/>
    <s v="Výroba, obchod a služby neuvedené v přílohách 1 až 3 živnostenského zákona"/>
    <s v="Výroba pekařských, cukrářských a jiných moučných výrobků"/>
    <s v="Stravování v restauracích, u stánků a v mobilních zařízeních"/>
    <s v="Maloobchod s nápoji"/>
    <m/>
    <m/>
    <m/>
    <m/>
    <m/>
    <m/>
    <m/>
    <m/>
    <m/>
    <m/>
    <m/>
    <m/>
    <m/>
  </r>
  <r>
    <s v="60383313"/>
    <s v="SH ČMS - Sbor dobrovolných hasičů Lískovec"/>
    <s v="736"/>
    <x v="0"/>
    <x v="3"/>
    <s v="Koryčany"/>
    <s v="Koryčany, Lískovec 131, PSČ 76805"/>
    <s v="84250"/>
    <s v="Činnosti v oblasti protipožární ochrany"/>
    <s v="Stravování v restauracích, u stánků a v mobilních zařízeních"/>
    <s v="Maloobchod s nápoji"/>
    <m/>
    <m/>
    <m/>
    <m/>
    <m/>
    <m/>
    <m/>
    <m/>
    <m/>
    <m/>
    <m/>
    <m/>
    <m/>
    <m/>
    <m/>
  </r>
  <r>
    <s v="71221417"/>
    <s v="SH ČMS - Sbor dobrovolných hasičů Litenčice"/>
    <s v="736"/>
    <x v="0"/>
    <x v="3"/>
    <s v="Litenčice"/>
    <s v="Litenčice 97, PSČ 7681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995"/>
    <s v="SH ČMS - Sbor dobrovolných hasičů Loučka"/>
    <s v="736"/>
    <x v="0"/>
    <x v="1"/>
    <s v="Loučka"/>
    <s v="Loučka 46, PSČ 75644"/>
    <s v="84250"/>
    <s v="Činnosti v oblasti protipožární ochrany"/>
    <m/>
    <m/>
    <m/>
    <m/>
    <m/>
    <m/>
    <m/>
    <m/>
    <m/>
    <m/>
    <m/>
    <m/>
    <m/>
    <m/>
    <m/>
    <m/>
    <m/>
  </r>
  <r>
    <s v="68729570"/>
    <s v="SH ČMS - Sbor dobrovolných hasičů Loučka"/>
    <s v="736"/>
    <x v="0"/>
    <x v="0"/>
    <s v="Loučka"/>
    <s v="Loučka 44, PSČ 76325"/>
    <s v="84250"/>
    <s v="Činnosti v oblasti protipožární ochrany"/>
    <m/>
    <m/>
    <m/>
    <m/>
    <m/>
    <m/>
    <m/>
    <m/>
    <m/>
    <m/>
    <m/>
    <m/>
    <m/>
    <m/>
    <m/>
    <m/>
    <m/>
  </r>
  <r>
    <s v="63414414"/>
    <s v="SH ČMS - Sbor dobrovolných hasičů Loukov"/>
    <s v="736"/>
    <x v="0"/>
    <x v="3"/>
    <s v="Loukov"/>
    <s v="Loukov 161, PSČ 76875"/>
    <s v="8425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9477"/>
    <s v="SH ČMS - Sbor dobrovolných hasičů Lubná"/>
    <s v="736"/>
    <x v="0"/>
    <x v="3"/>
    <s v="Lubná"/>
    <s v="Lubná 52, PSČ 767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874"/>
    <s v="SH ČMS - Sbor dobrovolných hasičů Ludkovice"/>
    <s v="736"/>
    <x v="0"/>
    <x v="0"/>
    <s v="Ludkovice"/>
    <s v="Ludkovice 44, PSČ 7634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902"/>
    <s v="SH ČMS - Sbor dobrovolných hasičů Ludslavice"/>
    <s v="736"/>
    <x v="0"/>
    <x v="3"/>
    <s v="Ludslavice"/>
    <s v="Ludslavice 97, PSČ 76852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792556"/>
    <s v="SH ČMS - Sbor dobrovolných hasičů Luhačovice"/>
    <s v="736"/>
    <x v="0"/>
    <x v="0"/>
    <s v="Luhačovice"/>
    <s v="Luhačovice, Uherskobrodská 877, PSČ 76326"/>
    <s v="84250"/>
    <s v="Činnosti v oblasti protipožární ochrany"/>
    <m/>
    <m/>
    <m/>
    <m/>
    <m/>
    <m/>
    <m/>
    <m/>
    <m/>
    <m/>
    <m/>
    <m/>
    <m/>
    <m/>
    <m/>
    <m/>
    <m/>
  </r>
  <r>
    <s v="65822510"/>
    <s v="SH ČMS - Sbor dobrovolných hasičů Lukov"/>
    <s v="736"/>
    <x v="0"/>
    <x v="0"/>
    <s v="Lukov"/>
    <s v="Lukov, K Lůčkám 350, PSČ 76317"/>
    <s v="84250"/>
    <s v="Činnosti v oblasti protipožární ochrany"/>
    <m/>
    <m/>
    <m/>
    <m/>
    <m/>
    <m/>
    <m/>
    <m/>
    <m/>
    <m/>
    <m/>
    <m/>
    <m/>
    <m/>
    <m/>
    <m/>
    <m/>
  </r>
  <r>
    <s v="75045214"/>
    <s v="SH ČMS - Sbor dobrovolných hasičů Lukoveček"/>
    <s v="736"/>
    <x v="0"/>
    <x v="0"/>
    <s v="Lukoveček"/>
    <s v="Lukoveček, Přílepská 120, PSČ 76316"/>
    <s v="84250"/>
    <s v="Činnosti v oblasti protipožární ochrany"/>
    <m/>
    <m/>
    <m/>
    <m/>
    <m/>
    <m/>
    <m/>
    <m/>
    <m/>
    <m/>
    <m/>
    <m/>
    <m/>
    <m/>
    <m/>
    <m/>
    <m/>
  </r>
  <r>
    <s v="65792416"/>
    <s v="SH ČMS - Sbor dobrovolných hasičů Lutonina"/>
    <s v="736"/>
    <x v="0"/>
    <x v="0"/>
    <s v="Lutonina"/>
    <s v="Lutonina 153, PSČ 76312"/>
    <s v="84250"/>
    <s v="Činnosti v oblasti protipožární ochrany"/>
    <m/>
    <m/>
    <m/>
    <m/>
    <m/>
    <m/>
    <m/>
    <m/>
    <m/>
    <m/>
    <m/>
    <m/>
    <m/>
    <m/>
    <m/>
    <m/>
    <m/>
  </r>
  <r>
    <s v="60383224"/>
    <s v="SH ČMS - Sbor dobrovolných hasičů Lutopecny"/>
    <s v="736"/>
    <x v="0"/>
    <x v="3"/>
    <s v="Lutopecny"/>
    <s v="Lutopecny 1, PSČ 767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402"/>
    <s v="SH ČMS - Sbor dobrovolných hasičů Lužná"/>
    <s v="736"/>
    <x v="0"/>
    <x v="1"/>
    <s v="Lužná"/>
    <s v="Lužná 92, PSČ 7561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2180690"/>
    <s v="SH ČMS - Sbor dobrovolných hasičů Machová"/>
    <s v="736"/>
    <x v="0"/>
    <x v="0"/>
    <s v="Machová"/>
    <s v="Machová 120, PSČ 76301"/>
    <s v="84250"/>
    <s v="Činnosti v oblasti protipožární ochrany"/>
    <m/>
    <m/>
    <m/>
    <m/>
    <m/>
    <m/>
    <m/>
    <m/>
    <m/>
    <m/>
    <m/>
    <m/>
    <m/>
    <m/>
    <m/>
    <m/>
    <m/>
  </r>
  <r>
    <s v="04940547"/>
    <s v="SH ČMS - Sbor dobrovolných hasičů Malá Bystřice"/>
    <s v="736"/>
    <x v="0"/>
    <x v="1"/>
    <s v="Malá Bystřice"/>
    <s v="Malá Bystřice 55, PSČ 75627"/>
    <s v="8425"/>
    <s v="Činnosti v oblasti protipožární ochrany"/>
    <m/>
    <m/>
    <m/>
    <m/>
    <m/>
    <m/>
    <m/>
    <m/>
    <m/>
    <m/>
    <m/>
    <m/>
    <m/>
    <m/>
    <m/>
    <m/>
    <m/>
  </r>
  <r>
    <s v="63701600"/>
    <s v="SH ČMS - Sbor dobrovolných hasičů Malá Lhota"/>
    <s v="736"/>
    <x v="0"/>
    <x v="1"/>
    <s v="Velká Lhota"/>
    <s v="Velká Lhota, Malá Lhota 67, PSČ 75701"/>
    <s v="84250"/>
    <s v="Činnosti v oblasti protipožární ochrany"/>
    <m/>
    <m/>
    <m/>
    <m/>
    <m/>
    <m/>
    <m/>
    <m/>
    <m/>
    <m/>
    <m/>
    <m/>
    <m/>
    <m/>
    <m/>
    <m/>
    <m/>
  </r>
  <r>
    <s v="63414112"/>
    <s v="SH ČMS - Sbor dobrovolných hasičů Martinice"/>
    <s v="736"/>
    <x v="0"/>
    <x v="3"/>
    <s v="Martinice"/>
    <s v="Martinice 16, PSČ 76901"/>
    <s v="84250"/>
    <s v="Činnosti v oblasti protipožární ochrany"/>
    <m/>
    <m/>
    <m/>
    <m/>
    <m/>
    <m/>
    <m/>
    <m/>
    <m/>
    <m/>
    <m/>
    <m/>
    <m/>
    <m/>
    <m/>
    <m/>
    <m/>
  </r>
  <r>
    <s v="13692313"/>
    <s v="SH ČMS - Sbor dobrovolných hasičů Mařatice"/>
    <s v="736"/>
    <x v="0"/>
    <x v="2"/>
    <s v="Uherské Hradiště"/>
    <s v="Uherské Hradiště, Mařatice, 1. máje 96, PSČ 68605"/>
    <s v="84250"/>
    <s v="Činnosti v oblasti protipožární ochrany"/>
    <m/>
    <m/>
    <m/>
    <m/>
    <m/>
    <m/>
    <m/>
    <m/>
    <m/>
    <m/>
    <m/>
    <m/>
    <m/>
    <m/>
    <m/>
    <m/>
    <m/>
  </r>
  <r>
    <s v="63459469"/>
    <s v="SH ČMS - Sbor dobrovolných hasičů Medlov"/>
    <s v="736"/>
    <x v="0"/>
    <x v="3"/>
    <s v="Zborovice"/>
    <s v="Zborovice, Medlov 24, PSČ 76802"/>
    <s v="84250"/>
    <s v="Činnosti v oblasti protipožární ochrany"/>
    <m/>
    <m/>
    <m/>
    <m/>
    <m/>
    <m/>
    <m/>
    <m/>
    <m/>
    <m/>
    <m/>
    <m/>
    <m/>
    <m/>
    <m/>
    <m/>
    <m/>
  </r>
  <r>
    <s v="68687737"/>
    <s v="SH ČMS - Sbor dobrovolných hasičů Měrůtky"/>
    <s v="736"/>
    <x v="0"/>
    <x v="3"/>
    <s v="Lutopecny"/>
    <s v="Lutopecny, Měrůtky 22, PSČ 76701"/>
    <s v="84250"/>
    <s v="Činnosti v oblasti protipožární ochrany"/>
    <m/>
    <m/>
    <m/>
    <m/>
    <m/>
    <m/>
    <m/>
    <m/>
    <m/>
    <m/>
    <m/>
    <m/>
    <m/>
    <m/>
    <m/>
    <m/>
    <m/>
  </r>
  <r>
    <s v="62833073"/>
    <s v="SH ČMS - Sbor dobrovolných hasičů Míkovice"/>
    <s v="736"/>
    <x v="0"/>
    <x v="2"/>
    <s v="Uherské Hradiště"/>
    <s v="Uherské Hradiště, Míkovice, Na Příkopě 217, PSČ 68609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979"/>
    <s v="SH ČMS - Sbor dobrovolných hasičů Mikulůvka"/>
    <s v="736"/>
    <x v="0"/>
    <x v="1"/>
    <s v="Mikulůvka"/>
    <s v="Mikulůvka 164, PSČ 75624"/>
    <s v="84250"/>
    <s v="Činnosti v oblasti protipožární ochrany"/>
    <m/>
    <m/>
    <m/>
    <m/>
    <m/>
    <m/>
    <m/>
    <m/>
    <m/>
    <m/>
    <m/>
    <m/>
    <m/>
    <m/>
    <m/>
    <m/>
    <m/>
  </r>
  <r>
    <s v="68729588"/>
    <s v="SH ČMS - Sbor dobrovolných hasičů Mirošov"/>
    <s v="736"/>
    <x v="0"/>
    <x v="0"/>
    <s v="Valašské Klobouky"/>
    <s v="Valašské Klobouky, Mirošov 29, PSČ 7660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325079"/>
    <s v="SH ČMS - Sbor dobrovolných hasičů Mistřice"/>
    <s v="736"/>
    <x v="0"/>
    <x v="2"/>
    <s v="Mistřice"/>
    <s v="Mistřice 9, PSČ 68712"/>
    <s v="84250"/>
    <s v="Činnosti v oblasti protipožární ochrany"/>
    <m/>
    <m/>
    <m/>
    <m/>
    <m/>
    <m/>
    <m/>
    <m/>
    <m/>
    <m/>
    <m/>
    <m/>
    <m/>
    <m/>
    <m/>
    <m/>
    <m/>
  </r>
  <r>
    <s v="60383305"/>
    <s v="SH ČMS - Sbor dobrovolných hasičů Míškovice"/>
    <s v="736"/>
    <x v="0"/>
    <x v="3"/>
    <s v="Míškovice"/>
    <s v="Míškovice 46, PSČ 76852"/>
    <s v="84250"/>
    <s v="Činnosti v oblasti protipožární ochrany"/>
    <s v="Stravování v restauracích, u stánků a v mobilních zařízeních"/>
    <s v="Maloobchod s nápoji"/>
    <m/>
    <m/>
    <m/>
    <m/>
    <m/>
    <m/>
    <m/>
    <m/>
    <m/>
    <m/>
    <m/>
    <m/>
    <m/>
    <m/>
    <m/>
  </r>
  <r>
    <s v="65325036"/>
    <s v="SH ČMS - Sbor dobrovolných hasičů Modrá"/>
    <s v="736"/>
    <x v="0"/>
    <x v="2"/>
    <s v="Modrá"/>
    <s v="Modrá 170, PSČ 68706"/>
    <s v="84250"/>
    <s v="Činnosti v oblasti protipožární ochrany"/>
    <m/>
    <m/>
    <m/>
    <m/>
    <m/>
    <m/>
    <m/>
    <m/>
    <m/>
    <m/>
    <m/>
    <m/>
    <m/>
    <m/>
    <m/>
    <m/>
    <m/>
  </r>
  <r>
    <s v="60383216"/>
    <s v="SH ČMS - Sbor dobrovolných hasičů Morkovice"/>
    <s v="736"/>
    <x v="0"/>
    <x v="3"/>
    <s v="Morkovice-Slížany"/>
    <s v="Morkovice-Slížany, Morkovice, Kolaříkova 559, PSČ 76833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8729596"/>
    <s v="SH ČMS - Sbor dobrovolných hasičů Mysločovice"/>
    <s v="736"/>
    <x v="0"/>
    <x v="0"/>
    <s v="Mysločovice"/>
    <s v="Mysločovice 82, PSČ 76301"/>
    <s v="8425"/>
    <s v="Činnosti v oblasti protipožární ochrany"/>
    <m/>
    <m/>
    <m/>
    <m/>
    <m/>
    <m/>
    <m/>
    <m/>
    <m/>
    <m/>
    <m/>
    <m/>
    <m/>
    <m/>
    <m/>
    <m/>
    <m/>
  </r>
  <r>
    <s v="68729618"/>
    <s v="SH ČMS - Sbor dobrovolných hasičů Napajedla"/>
    <s v="736"/>
    <x v="0"/>
    <x v="0"/>
    <s v="Napajedla"/>
    <s v="Napajedla, Masarykovo náměstí 89, PSČ 763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3030"/>
    <s v="SH ČMS - Sbor dobrovolných hasičů Návojná"/>
    <s v="736"/>
    <x v="0"/>
    <x v="0"/>
    <s v="Návojná"/>
    <s v="Návojná 101, PSČ 76332"/>
    <s v="84250"/>
    <s v="Činnosti v oblasti protipožární ochrany"/>
    <m/>
    <m/>
    <m/>
    <m/>
    <m/>
    <m/>
    <m/>
    <m/>
    <m/>
    <m/>
    <m/>
    <m/>
    <m/>
    <m/>
    <m/>
    <m/>
    <m/>
  </r>
  <r>
    <s v="65325109"/>
    <s v="SH ČMS - Sbor dobrovolných hasičů Nedachlebice"/>
    <s v="736"/>
    <x v="0"/>
    <x v="2"/>
    <s v="Nedachlebice"/>
    <s v="Nedachlebice 250, PSČ 68712"/>
    <s v="84250"/>
    <s v="Činnosti v oblasti protipožární ochrany"/>
    <m/>
    <m/>
    <m/>
    <m/>
    <m/>
    <m/>
    <m/>
    <m/>
    <m/>
    <m/>
    <m/>
    <m/>
    <m/>
    <m/>
    <m/>
    <m/>
    <m/>
  </r>
  <r>
    <s v="65324901"/>
    <s v="SH ČMS - Sbor dobrovolných hasičů Nedakonice"/>
    <s v="736"/>
    <x v="0"/>
    <x v="2"/>
    <s v="Nedakonice"/>
    <s v="Nedakonice 33, PSČ 68738"/>
    <s v="84250"/>
    <s v="Činnosti v oblasti protipožární ochrany"/>
    <m/>
    <m/>
    <m/>
    <m/>
    <m/>
    <m/>
    <m/>
    <m/>
    <m/>
    <m/>
    <m/>
    <m/>
    <m/>
    <m/>
    <m/>
    <m/>
    <m/>
  </r>
  <r>
    <s v="65822391"/>
    <s v="SH ČMS - Sbor dobrovolných hasičů Nedašov"/>
    <s v="736"/>
    <x v="0"/>
    <x v="0"/>
    <s v="Nedašov"/>
    <s v="Nedašov 61, PSČ 76332"/>
    <s v="84250"/>
    <s v="Činnosti v oblasti protipožární ochrany"/>
    <m/>
    <m/>
    <m/>
    <m/>
    <m/>
    <m/>
    <m/>
    <m/>
    <m/>
    <m/>
    <m/>
    <m/>
    <m/>
    <m/>
    <m/>
    <m/>
    <m/>
  </r>
  <r>
    <s v="65793021"/>
    <s v="SH ČMS - Sbor dobrovolných hasičů Nedašova Lhota"/>
    <s v="736"/>
    <x v="0"/>
    <x v="0"/>
    <s v="Nedašova Lhota"/>
    <s v="Nedašova Lhota 57, PSČ 7633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71195858"/>
    <s v="SH ČMS - Sbor dobrovolných hasičů Němčice"/>
    <s v="736"/>
    <x v="0"/>
    <x v="3"/>
    <s v="Němčice"/>
    <s v="Němčice 63, PSČ 7684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267"/>
    <s v="SH ČMS - Sbor dobrovolných hasičů Němetice"/>
    <s v="736"/>
    <x v="0"/>
    <x v="1"/>
    <s v="Kelč"/>
    <s v="Kelč, Němetice 75, PSČ 7564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198"/>
    <s v="SH ČMS - Sbor dobrovolných hasičů Nětčice"/>
    <s v="736"/>
    <x v="0"/>
    <x v="3"/>
    <s v="Zdounky"/>
    <s v="Zdounky, Nětčice 50, PSČ 76802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8729626"/>
    <s v="SH ČMS - Sbor dobrovolných hasičů Neubuz"/>
    <s v="736"/>
    <x v="0"/>
    <x v="0"/>
    <s v="Neubuz"/>
    <s v="Neubuz 91, PSČ 76315"/>
    <s v="84250"/>
    <s v="Činnosti v oblasti protipožární ochrany"/>
    <m/>
    <m/>
    <m/>
    <m/>
    <m/>
    <m/>
    <m/>
    <m/>
    <m/>
    <m/>
    <m/>
    <m/>
    <m/>
    <m/>
    <m/>
    <m/>
    <m/>
  </r>
  <r>
    <s v="65792343"/>
    <s v="SH ČMS - Sbor dobrovolných hasičů Nevšová"/>
    <s v="736"/>
    <x v="0"/>
    <x v="0"/>
    <s v="Slavičín"/>
    <s v="Slavičín, Nevšová 95, PSČ 763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397"/>
    <s v="SH ČMS - Sbor dobrovolných hasičů Nezdenice"/>
    <s v="736"/>
    <x v="0"/>
    <x v="2"/>
    <s v="Nezdenice"/>
    <s v="Nezdenice 72, PSČ 68732"/>
    <s v="84250"/>
    <s v="Činnosti v oblasti protipožární ochrany"/>
    <m/>
    <m/>
    <m/>
    <m/>
    <m/>
    <m/>
    <m/>
    <m/>
    <m/>
    <m/>
    <m/>
    <m/>
    <m/>
    <m/>
    <m/>
    <m/>
    <m/>
  </r>
  <r>
    <s v="65325141"/>
    <s v="SH ČMS - Sbor dobrovolných hasičů Nivnice"/>
    <s v="736"/>
    <x v="0"/>
    <x v="2"/>
    <s v="Nivnice"/>
    <s v="Nivnice, náměstí Míru 177, PSČ 68751"/>
    <s v="84250"/>
    <s v="Činnosti v oblasti protipožární ochrany"/>
    <m/>
    <m/>
    <m/>
    <m/>
    <m/>
    <m/>
    <m/>
    <m/>
    <m/>
    <m/>
    <m/>
    <m/>
    <m/>
    <m/>
    <m/>
    <m/>
    <m/>
  </r>
  <r>
    <s v="65274555"/>
    <s v="SH ČMS - Sbor dobrovolných hasičů Nová Dědina"/>
    <s v="736"/>
    <x v="0"/>
    <x v="3"/>
    <s v="Nová Dědina"/>
    <s v="Nová Dědina 12, PSČ 768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731"/>
    <s v="SH ČMS - Sbor dobrovolných hasičů Nový Hrozenkov"/>
    <s v="736"/>
    <x v="0"/>
    <x v="1"/>
    <s v="Nový Hrozenkov"/>
    <s v="Nový Hrozenkov 458, PSČ 75604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8729634"/>
    <s v="SH ČMS - Sbor dobrovolných hasičů Oldřichovice"/>
    <s v="736"/>
    <x v="0"/>
    <x v="0"/>
    <s v="Oldřichovice"/>
    <s v="Oldřichovice 86, PSČ 763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4919"/>
    <s v="SH ČMS - Sbor dobrovolných hasičů Ořechov"/>
    <s v="736"/>
    <x v="0"/>
    <x v="2"/>
    <s v="Ořechov"/>
    <s v="Ořechov 105, PSČ 68737"/>
    <s v="84250"/>
    <s v="Činnosti v oblasti protipožární ochrany"/>
    <m/>
    <m/>
    <m/>
    <m/>
    <m/>
    <m/>
    <m/>
    <m/>
    <m/>
    <m/>
    <m/>
    <m/>
    <m/>
    <m/>
    <m/>
    <m/>
    <m/>
  </r>
  <r>
    <s v="63459078"/>
    <s v="SH ČMS - Sbor dobrovolných hasičů Osíčko"/>
    <s v="736"/>
    <x v="0"/>
    <x v="3"/>
    <s v="Osíčko"/>
    <s v="Osíčko 130, PSČ 76861"/>
    <s v="84250"/>
    <s v="Činnosti v oblasti protipožární ochrany"/>
    <m/>
    <m/>
    <m/>
    <m/>
    <m/>
    <m/>
    <m/>
    <m/>
    <m/>
    <m/>
    <m/>
    <m/>
    <m/>
    <m/>
    <m/>
    <m/>
    <m/>
  </r>
  <r>
    <s v="68729642"/>
    <s v="SH ČMS - Sbor dobrovolných hasičů Ostrata"/>
    <s v="736"/>
    <x v="0"/>
    <x v="0"/>
    <s v="Ostrata"/>
    <s v="Ostrata 23, PSČ 7631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214"/>
    <s v="SH ČMS - Sbor dobrovolných hasičů Ostrožská Lhota"/>
    <s v="736"/>
    <x v="0"/>
    <x v="2"/>
    <s v="Ostrožská Lhota"/>
    <s v="Ostrožská Lhota 530, PSČ 68723"/>
    <s v="84250"/>
    <s v="Činnosti v oblasti protipožární ochrany"/>
    <s v="Maloobchod s nápoji"/>
    <s v="Stravování v restauracích, u stánků a v mobilních zařízeních"/>
    <m/>
    <m/>
    <m/>
    <m/>
    <m/>
    <m/>
    <m/>
    <m/>
    <m/>
    <m/>
    <m/>
    <m/>
    <m/>
    <m/>
    <m/>
  </r>
  <r>
    <s v="65325206"/>
    <s v="SH ČMS - Sbor dobrovolných hasičů Ostrožská Nová Ves"/>
    <s v="736"/>
    <x v="0"/>
    <x v="2"/>
    <s v="Ostrožská Nová Ves"/>
    <s v="Ostrožská Nová Ves, Chylice, Na lapači 142, PSČ 6872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028"/>
    <s v="SH ČMS - Sbor dobrovolných hasičů Osvětimany"/>
    <s v="736"/>
    <x v="0"/>
    <x v="2"/>
    <s v="Osvětimany"/>
    <s v="Osvětimany 43, PSČ 6874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661"/>
    <s v="SH ČMS - Sbor dobrovolných hasičů Otrokovice"/>
    <s v="736"/>
    <x v="0"/>
    <x v="0"/>
    <s v="Otrokovice"/>
    <s v="Otrokovice, Kvítkovice, Příčná 1614, PSČ 76502"/>
    <s v="84250"/>
    <s v="Činnosti v oblasti protipožární ochrany"/>
    <m/>
    <m/>
    <m/>
    <m/>
    <m/>
    <m/>
    <m/>
    <m/>
    <m/>
    <m/>
    <m/>
    <m/>
    <m/>
    <m/>
    <m/>
    <m/>
    <m/>
  </r>
  <r>
    <s v="63701987"/>
    <s v="SH ČMS - Sbor dobrovolných hasičů Oznice"/>
    <s v="736"/>
    <x v="0"/>
    <x v="1"/>
    <s v="Oznice"/>
    <s v="Oznice 109, PSČ 7562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9264"/>
    <s v="SH ČMS - Sbor dobrovolných hasičů Pacetluky"/>
    <s v="736"/>
    <x v="0"/>
    <x v="3"/>
    <s v="Pacetluky"/>
    <s v="Pacetluky 10, PSČ 76843"/>
    <s v="84250"/>
    <s v="Činnosti v oblasti protipožární ochrany"/>
    <m/>
    <m/>
    <m/>
    <m/>
    <m/>
    <m/>
    <m/>
    <m/>
    <m/>
    <m/>
    <m/>
    <m/>
    <m/>
    <m/>
    <m/>
    <m/>
    <m/>
  </r>
  <r>
    <s v="63414406"/>
    <s v="SH ČMS - Sbor dobrovolných hasičů Pačlavice"/>
    <s v="736"/>
    <x v="0"/>
    <x v="3"/>
    <s v="Pačlavice"/>
    <s v="Pačlavice 8, PSČ 76834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324722"/>
    <s v="SH ČMS - Sbor dobrovolných hasičů Pašovice"/>
    <s v="736"/>
    <x v="0"/>
    <x v="2"/>
    <s v="Pašovice"/>
    <s v="Pašovice 100, PSČ 68756"/>
    <s v="84250"/>
    <s v="Činnosti v oblasti protipožární ochrany"/>
    <m/>
    <m/>
    <m/>
    <m/>
    <m/>
    <m/>
    <m/>
    <m/>
    <m/>
    <m/>
    <m/>
    <m/>
    <m/>
    <m/>
    <m/>
    <m/>
    <m/>
  </r>
  <r>
    <s v="65469470"/>
    <s v="SH ČMS - Sbor dobrovolných hasičů Perná"/>
    <s v="736"/>
    <x v="0"/>
    <x v="1"/>
    <s v="Lešná"/>
    <s v="Lešná, Perná 70, PSČ 7564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651"/>
    <s v="SH ČMS - Sbor dobrovolných hasičů Petrůvka"/>
    <s v="736"/>
    <x v="0"/>
    <x v="0"/>
    <s v="Petrůvka"/>
    <s v="Petrůvka 90, PSČ 763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419"/>
    <s v="SH ČMS - Sbor dobrovolných hasičů Pitín"/>
    <s v="736"/>
    <x v="0"/>
    <x v="2"/>
    <s v="Pitín"/>
    <s v="Pitín 18, PSČ 68771"/>
    <s v="84250"/>
    <s v="Činnosti v oblasti protipožární ochrany"/>
    <m/>
    <m/>
    <m/>
    <m/>
    <m/>
    <m/>
    <m/>
    <m/>
    <m/>
    <m/>
    <m/>
    <m/>
    <m/>
    <m/>
    <m/>
    <m/>
    <m/>
  </r>
  <r>
    <s v="63414597"/>
    <s v="SH ČMS - Sbor dobrovolných hasičů Plešovec"/>
    <s v="736"/>
    <x v="0"/>
    <x v="3"/>
    <s v="Chropyně"/>
    <s v="Chropyně, Plešovec 1, PSČ 76811"/>
    <s v="84250"/>
    <s v="Činnosti v oblasti protipožární ochrany"/>
    <m/>
    <m/>
    <m/>
    <m/>
    <m/>
    <m/>
    <m/>
    <m/>
    <m/>
    <m/>
    <m/>
    <m/>
    <m/>
    <m/>
    <m/>
    <m/>
    <m/>
  </r>
  <r>
    <s v="63414694"/>
    <s v="SH ČMS - Sbor dobrovolných hasičů Počenice"/>
    <s v="736"/>
    <x v="0"/>
    <x v="3"/>
    <s v="Počenice-Tetětice"/>
    <s v="Počenice-Tetětice, Počenice 74, PSČ 76833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8729677"/>
    <s v="SH ČMS - Sbor dobrovolných hasičů Podhradí"/>
    <s v="736"/>
    <x v="0"/>
    <x v="0"/>
    <s v="Podhradí"/>
    <s v="Podhradí 41, PSČ 76326"/>
    <s v="84250"/>
    <s v="Činnosti v oblasti protipožární ochrany"/>
    <m/>
    <m/>
    <m/>
    <m/>
    <m/>
    <m/>
    <m/>
    <m/>
    <m/>
    <m/>
    <m/>
    <m/>
    <m/>
    <m/>
    <m/>
    <m/>
    <m/>
  </r>
  <r>
    <s v="47930381"/>
    <s v="SH ČMS - Sbor dobrovolných hasičů Podhradní Lhota"/>
    <s v="736"/>
    <x v="0"/>
    <x v="3"/>
    <s v="Podhradní Lhota"/>
    <s v="Podhradní Lhota 175, PSČ 76871"/>
    <s v="84250"/>
    <s v="Činnosti v oblasti protipožární ochrany"/>
    <s v="Výroba, obchod a služby neuvedené v přílohách 1 až 3 živnostenského zákona"/>
    <s v="Maloobchod s nápoji"/>
    <s v="Ostatní maloobchod v nespecializovaných prodejnách"/>
    <s v="Stravování v restauracích, u stánků a v mobilních zařízeních"/>
    <m/>
    <m/>
    <m/>
    <m/>
    <m/>
    <m/>
    <m/>
    <m/>
    <m/>
    <m/>
    <m/>
    <m/>
    <m/>
  </r>
  <r>
    <s v="68729669"/>
    <s v="SH ČMS - Sbor dobrovolných hasičů Podkopná Lhota"/>
    <s v="736"/>
    <x v="0"/>
    <x v="0"/>
    <s v="Podkopná Lhota"/>
    <s v="Podkopná Lhota 37, PSČ 76318"/>
    <s v="84250"/>
    <s v="Činnosti v oblasti protipožární ochrany"/>
    <m/>
    <m/>
    <m/>
    <m/>
    <m/>
    <m/>
    <m/>
    <m/>
    <m/>
    <m/>
    <m/>
    <m/>
    <m/>
    <m/>
    <m/>
    <m/>
    <m/>
  </r>
  <r>
    <s v="63701570"/>
    <s v="SH ČMS - Sbor dobrovolných hasičů Podlesí - Křivé"/>
    <s v="736"/>
    <x v="0"/>
    <x v="1"/>
    <s v="Valašské Meziříčí"/>
    <s v="Valašské Meziříčí, Krásno nad Bečvou, Zašovská 784, PSČ 75701"/>
    <s v="84250"/>
    <s v="Činnosti v oblasti protipožární ochrany"/>
    <s v="Stravování v restauracích, u stánků a v mobilních zařízeních"/>
    <s v="Maloobchod s nápoji"/>
    <m/>
    <m/>
    <m/>
    <m/>
    <m/>
    <m/>
    <m/>
    <m/>
    <m/>
    <m/>
    <m/>
    <m/>
    <m/>
    <m/>
    <m/>
  </r>
  <r>
    <s v="65469224"/>
    <s v="SH ČMS - Sbor dobrovolných hasičů Podolí"/>
    <s v="736"/>
    <x v="0"/>
    <x v="1"/>
    <s v="Podolí"/>
    <s v="Podolí 33, PSČ 7564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685"/>
    <s v="SH ČMS - Sbor dobrovolných hasičů Pohořelice"/>
    <s v="736"/>
    <x v="0"/>
    <x v="0"/>
    <s v="Pohořelice"/>
    <s v="Pohořelice, Náves 300, PSČ 76361"/>
    <s v="84250"/>
    <s v="Činnosti v oblasti protipožární ochrany"/>
    <m/>
    <m/>
    <m/>
    <m/>
    <m/>
    <m/>
    <m/>
    <m/>
    <m/>
    <m/>
    <m/>
    <m/>
    <m/>
    <m/>
    <m/>
    <m/>
    <m/>
  </r>
  <r>
    <s v="65324943"/>
    <s v="SH ČMS - Sbor dobrovolných hasičů Polešovice"/>
    <s v="736"/>
    <x v="0"/>
    <x v="2"/>
    <s v="Polešovice"/>
    <s v="Polešovice 20, PSČ 68737"/>
    <s v="84250"/>
    <s v="Činnosti v oblasti protipožární ochrany"/>
    <m/>
    <m/>
    <m/>
    <m/>
    <m/>
    <m/>
    <m/>
    <m/>
    <m/>
    <m/>
    <m/>
    <m/>
    <m/>
    <m/>
    <m/>
    <m/>
    <m/>
  </r>
  <r>
    <s v="04796519"/>
    <s v="SH ČMS - Sbor dobrovolných hasičů Polešovice II."/>
    <s v="736"/>
    <x v="0"/>
    <x v="2"/>
    <s v="Polešovice"/>
    <s v="Polešovice 782, PSČ 68737"/>
    <s v="8425"/>
    <s v="Činnosti v oblasti protipožární ochrany"/>
    <m/>
    <m/>
    <m/>
    <m/>
    <m/>
    <m/>
    <m/>
    <m/>
    <m/>
    <m/>
    <m/>
    <m/>
    <m/>
    <m/>
    <m/>
    <m/>
    <m/>
  </r>
  <r>
    <s v="65469453"/>
    <s v="SH ČMS - Sbor dobrovolných hasičů Police"/>
    <s v="736"/>
    <x v="0"/>
    <x v="1"/>
    <s v="Police"/>
    <s v="Police 142, PSČ 7564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921"/>
    <s v="SH ČMS - Sbor dobrovolných hasičů Polichno"/>
    <s v="736"/>
    <x v="0"/>
    <x v="0"/>
    <s v="Luhačovice"/>
    <s v="Luhačovice, Polichno 1, PSČ 76341"/>
    <s v="84250"/>
    <s v="Činnosti v oblasti protipožární ochrany"/>
    <m/>
    <m/>
    <m/>
    <m/>
    <m/>
    <m/>
    <m/>
    <m/>
    <m/>
    <m/>
    <m/>
    <m/>
    <m/>
    <m/>
    <m/>
    <m/>
    <m/>
  </r>
  <r>
    <s v="63701588"/>
    <s v="SH ČMS - Sbor dobrovolných hasičů Poličná"/>
    <s v="736"/>
    <x v="0"/>
    <x v="1"/>
    <s v="Poličná"/>
    <s v="Poličná 545, PSČ 75701"/>
    <s v="84250"/>
    <s v="Činnosti v oblasti protipožární ochrany"/>
    <m/>
    <m/>
    <m/>
    <m/>
    <m/>
    <m/>
    <m/>
    <m/>
    <m/>
    <m/>
    <m/>
    <m/>
    <m/>
    <m/>
    <m/>
    <m/>
    <m/>
  </r>
  <r>
    <s v="65792751"/>
    <s v="SH ČMS - Sbor dobrovolných hasičů Popov"/>
    <s v="736"/>
    <x v="0"/>
    <x v="0"/>
    <s v="Štítná nad Vláří-Popov"/>
    <s v="Štítná nad Vláří-Popov, Popov 20, PSČ 7633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9183"/>
    <s v="SH ČMS - Sbor dobrovolných hasičů Pornice"/>
    <s v="736"/>
    <x v="0"/>
    <x v="3"/>
    <s v="Pačlavice"/>
    <s v="Pačlavice, Pornice 27, PSČ 7683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9566"/>
    <s v="SH ČMS - Sbor dobrovolných hasičů Postoupky"/>
    <s v="736"/>
    <x v="0"/>
    <x v="3"/>
    <s v="Kroměříž"/>
    <s v="Kroměříž, Postoupky 69, PSČ 76701"/>
    <s v="84250"/>
    <s v="Činnosti v oblasti protipožární ochrany"/>
    <m/>
    <m/>
    <m/>
    <m/>
    <m/>
    <m/>
    <m/>
    <m/>
    <m/>
    <m/>
    <m/>
    <m/>
    <m/>
    <m/>
    <m/>
    <m/>
    <m/>
  </r>
  <r>
    <s v="65823214"/>
    <s v="SH ČMS - Sbor dobrovolných hasičů Poteč"/>
    <s v="736"/>
    <x v="0"/>
    <x v="0"/>
    <s v="Poteč"/>
    <s v="Poteč 250, PSČ 76601"/>
    <s v="84250"/>
    <s v="Činnosti v oblasti protipožární ochrany"/>
    <m/>
    <m/>
    <m/>
    <m/>
    <m/>
    <m/>
    <m/>
    <m/>
    <m/>
    <m/>
    <m/>
    <m/>
    <m/>
    <m/>
    <m/>
    <m/>
    <m/>
  </r>
  <r>
    <s v="44740921"/>
    <s v="SH ČMS - Sbor dobrovolných hasičů Pozděchov"/>
    <s v="736"/>
    <x v="0"/>
    <x v="1"/>
    <s v="Pozděchov"/>
    <s v="Pozděchov 237, PSČ 75611"/>
    <s v="84250"/>
    <s v="Činnosti v oblasti protipožární ochrany"/>
    <m/>
    <m/>
    <m/>
    <m/>
    <m/>
    <m/>
    <m/>
    <m/>
    <m/>
    <m/>
    <m/>
    <m/>
    <m/>
    <m/>
    <m/>
    <m/>
    <m/>
  </r>
  <r>
    <s v="65823249"/>
    <s v="SH ČMS - Sbor dobrovolných hasičů Pozlovice"/>
    <s v="736"/>
    <x v="0"/>
    <x v="0"/>
    <s v="Pozlovice"/>
    <s v="Pozlovice, Hlavní 333, PSČ 76326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696"/>
    <s v="SH ČMS - Sbor dobrovolných hasičů Pradlisko"/>
    <s v="736"/>
    <x v="0"/>
    <x v="0"/>
    <s v="Ludkovice"/>
    <s v="Ludkovice 44, PSČ 76341"/>
    <s v="84250"/>
    <s v="Činnosti v oblasti protipožární ochrany"/>
    <m/>
    <m/>
    <m/>
    <m/>
    <m/>
    <m/>
    <m/>
    <m/>
    <m/>
    <m/>
    <m/>
    <m/>
    <m/>
    <m/>
    <m/>
    <m/>
    <m/>
  </r>
  <r>
    <s v="65324731"/>
    <s v="SH ČMS - Sbor dobrovolných hasičů Prakšice"/>
    <s v="736"/>
    <x v="0"/>
    <x v="2"/>
    <s v="Prakšice"/>
    <s v="Prakšice 190, PSČ 68756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0383321"/>
    <s v="SH ČMS - Sbor dobrovolných hasičů Prasklice"/>
    <s v="736"/>
    <x v="0"/>
    <x v="3"/>
    <s v="Prasklice"/>
    <s v="Prasklice 51, PSČ 7683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274458"/>
    <s v="SH ČMS - Sbor dobrovolných hasičů Pravčice"/>
    <s v="736"/>
    <x v="0"/>
    <x v="3"/>
    <s v="Pravčice"/>
    <s v="Pravčice 208, PSČ 7682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399"/>
    <s v="SH ČMS - Sbor dobrovolných hasičů Prlov"/>
    <s v="736"/>
    <x v="0"/>
    <x v="1"/>
    <s v="Prlov"/>
    <s v="Prlov 141, PSČ 75611"/>
    <s v="84250"/>
    <s v="Činnosti v oblasti protipožární ochrany"/>
    <m/>
    <m/>
    <m/>
    <m/>
    <m/>
    <m/>
    <m/>
    <m/>
    <m/>
    <m/>
    <m/>
    <m/>
    <m/>
    <m/>
    <m/>
    <m/>
    <m/>
  </r>
  <r>
    <s v="63701669"/>
    <s v="SH ČMS - Sbor dobrovolných hasičů Prostřední Bečva"/>
    <s v="736"/>
    <x v="0"/>
    <x v="1"/>
    <s v="Prostřední Bečva"/>
    <s v="Prostřední Bečva 350, PSČ 75656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4467171"/>
    <s v="SH ČMS - Sbor dobrovolných hasičů Provodov"/>
    <s v="736"/>
    <x v="0"/>
    <x v="0"/>
    <s v="Provodov"/>
    <s v="Provodov 233, PSČ 76345"/>
    <s v="84250"/>
    <s v="Činnosti v oblasti protipožární ochrany"/>
    <m/>
    <m/>
    <m/>
    <m/>
    <m/>
    <m/>
    <m/>
    <m/>
    <m/>
    <m/>
    <m/>
    <m/>
    <m/>
    <m/>
    <m/>
    <m/>
    <m/>
  </r>
  <r>
    <s v="65270169"/>
    <s v="SH ČMS - Sbor dobrovolných hasičů Prusinovice"/>
    <s v="736"/>
    <x v="0"/>
    <x v="3"/>
    <s v="Prusinovice"/>
    <s v="Prusinovice, Zámčisko 351, PSČ 7684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928"/>
    <s v="SH ČMS - Sbor dobrovolných hasičů Pržno"/>
    <s v="736"/>
    <x v="0"/>
    <x v="1"/>
    <s v="Pržno"/>
    <s v="Pržno 7, PSČ 7562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4422445"/>
    <s v="SH ČMS - Sbor dobrovolných hasičů Přílepy"/>
    <s v="736"/>
    <x v="0"/>
    <x v="3"/>
    <s v="Přílepy"/>
    <s v="Přílepy 4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488"/>
    <s v="SH ČMS - Sbor dobrovolných hasičů Příluky"/>
    <s v="736"/>
    <x v="0"/>
    <x v="1"/>
    <s v="Lešná"/>
    <s v="Lešná, Příluky 52, PSČ 75641"/>
    <s v="84250"/>
    <s v="Činnosti v oblasti protipožární ochrany"/>
    <m/>
    <m/>
    <m/>
    <m/>
    <m/>
    <m/>
    <m/>
    <m/>
    <m/>
    <m/>
    <m/>
    <m/>
    <m/>
    <m/>
    <m/>
    <m/>
    <m/>
  </r>
  <r>
    <s v="65469437"/>
    <s v="SH ČMS - Sbor dobrovolných hasičů Pulčín"/>
    <s v="736"/>
    <x v="0"/>
    <x v="1"/>
    <s v="Francova Lhota"/>
    <s v="Francova Lhota, Pulčín 13, PSČ 756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2182609"/>
    <s v="SH ČMS - Sbor dobrovolných hasičů Racková"/>
    <s v="736"/>
    <x v="0"/>
    <x v="0"/>
    <s v="Racková"/>
    <s v="Racková 45, PSČ 76001"/>
    <s v="84250"/>
    <s v="Činnosti v oblasti protipožární ochrany"/>
    <m/>
    <m/>
    <m/>
    <m/>
    <m/>
    <m/>
    <m/>
    <m/>
    <m/>
    <m/>
    <m/>
    <m/>
    <m/>
    <m/>
    <m/>
    <m/>
    <m/>
  </r>
  <r>
    <s v="63414376"/>
    <s v="SH ČMS - Sbor dobrovolných hasičů Rajnochovice"/>
    <s v="736"/>
    <x v="0"/>
    <x v="3"/>
    <s v="Rajnochovice"/>
    <s v="Rajnochovice 144, PSČ 7687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688"/>
    <s v="SH ČMS - Sbor dobrovolných hasičů Raková"/>
    <s v="736"/>
    <x v="0"/>
    <x v="0"/>
    <s v="Zádveřice-Raková"/>
    <s v="Zádveřice-Raková, Raková 77, PSČ 763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270428"/>
    <s v="SH ČMS - Sbor dobrovolných hasičů Rataje"/>
    <s v="736"/>
    <x v="0"/>
    <x v="3"/>
    <s v="Rataje"/>
    <s v="Rataje 139, PSČ 76812"/>
    <s v="84250"/>
    <s v="Činnosti v oblasti protipožární ochrany"/>
    <m/>
    <m/>
    <m/>
    <m/>
    <m/>
    <m/>
    <m/>
    <m/>
    <m/>
    <m/>
    <m/>
    <m/>
    <m/>
    <m/>
    <m/>
    <m/>
    <m/>
  </r>
  <r>
    <s v="63701936"/>
    <s v="SH ČMS - Sbor dobrovolných hasičů Ratiboř"/>
    <s v="736"/>
    <x v="0"/>
    <x v="1"/>
    <s v="Ratiboř"/>
    <s v="Ratiboř 435, PSČ 756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707"/>
    <s v="SH ČMS - Sbor dobrovolných hasičů Rokytnice"/>
    <s v="736"/>
    <x v="0"/>
    <x v="0"/>
    <s v="Rokytnice"/>
    <s v="Rokytnice 58, PSČ 76321"/>
    <s v="84250"/>
    <s v="Činnosti v oblasti protipožární ochrany"/>
    <m/>
    <m/>
    <m/>
    <m/>
    <m/>
    <m/>
    <m/>
    <m/>
    <m/>
    <m/>
    <m/>
    <m/>
    <m/>
    <m/>
    <m/>
    <m/>
    <m/>
  </r>
  <r>
    <s v="63701511"/>
    <s v="SH ČMS - Sbor dobrovolných hasičů Rokytnice"/>
    <s v="736"/>
    <x v="0"/>
    <x v="1"/>
    <s v="Vsetín"/>
    <s v="Vsetín, Rokytnice 510, PSČ 755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171"/>
    <s v="SH ČMS - Sbor dobrovolných hasičů Roštění"/>
    <s v="736"/>
    <x v="0"/>
    <x v="3"/>
    <s v="Roštění"/>
    <s v="Roštění 141, PSČ 7684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71179968"/>
    <s v="SH ČMS - Sbor dobrovolných hasičů Roštín"/>
    <s v="736"/>
    <x v="0"/>
    <x v="3"/>
    <s v="Roštín"/>
    <s v="Roštín 450, PSČ 7680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48773590"/>
    <s v="SH ČMS - Sbor dobrovolných hasičů Rožnov pod Radhoštěm"/>
    <s v="736"/>
    <x v="0"/>
    <x v="1"/>
    <s v="Rožnov pod Radhoštěm"/>
    <s v="Rožnov pod Radhoštěm, Jiřího Wolkera 1144, PSČ 75661"/>
    <s v="84250"/>
    <s v="Činnosti v oblasti protipožární ochrany"/>
    <m/>
    <m/>
    <m/>
    <m/>
    <m/>
    <m/>
    <m/>
    <m/>
    <m/>
    <m/>
    <m/>
    <m/>
    <m/>
    <m/>
    <m/>
    <m/>
    <m/>
  </r>
  <r>
    <s v="65325371"/>
    <s v="SH ČMS - Sbor dobrovolných hasičů Rudice"/>
    <s v="736"/>
    <x v="0"/>
    <x v="2"/>
    <s v="Rudice"/>
    <s v="Rudice 227, PSČ 68732"/>
    <s v="84250"/>
    <s v="Činnosti v oblasti protipožární ochrany"/>
    <m/>
    <m/>
    <m/>
    <m/>
    <m/>
    <m/>
    <m/>
    <m/>
    <m/>
    <m/>
    <m/>
    <m/>
    <m/>
    <m/>
    <m/>
    <m/>
    <m/>
  </r>
  <r>
    <s v="65792319"/>
    <s v="SH ČMS - Sbor dobrovolných hasičů Rudimov"/>
    <s v="736"/>
    <x v="0"/>
    <x v="0"/>
    <s v="Rudimov"/>
    <s v="Rudimov 123, PSČ 763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422"/>
    <s v="SH ČMS - Sbor dobrovolných hasičů Rusava"/>
    <s v="736"/>
    <x v="0"/>
    <x v="3"/>
    <s v="Rusava"/>
    <s v="Rusava 248, PSČ 7684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891309"/>
    <s v="SH ČMS - Sbor dobrovolných hasičů Růžďka"/>
    <s v="736"/>
    <x v="0"/>
    <x v="1"/>
    <s v="Růžďka"/>
    <s v="Růžďka 295, PSČ 75625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228"/>
    <s v="SH ČMS - Sbor dobrovolných hasičů Rychlov"/>
    <s v="736"/>
    <x v="0"/>
    <x v="3"/>
    <s v="Bystřice pod Hostýnem"/>
    <s v="Bystřice pod Hostýnem, Rychlov, Přerovská 33, PSČ 768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0383381"/>
    <s v="SH ČMS - Sbor dobrovolných hasičů Rymice"/>
    <s v="736"/>
    <x v="0"/>
    <x v="3"/>
    <s v="Rymice"/>
    <s v="Rymice 173, PSČ 7690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792360"/>
    <s v="SH ČMS - Sbor dobrovolných hasičů Řetechov"/>
    <s v="736"/>
    <x v="0"/>
    <x v="0"/>
    <s v="Luhačovice"/>
    <s v="Luhačovice, Řetechov 81, PSČ 76326"/>
    <s v="84250"/>
    <s v="Činnosti v oblasti protipožární ochrany"/>
    <m/>
    <m/>
    <m/>
    <m/>
    <m/>
    <m/>
    <m/>
    <m/>
    <m/>
    <m/>
    <m/>
    <m/>
    <m/>
    <m/>
    <m/>
    <m/>
    <m/>
  </r>
  <r>
    <s v="70942820"/>
    <s v="SH ČMS - Sbor dobrovolných hasičů Salaš"/>
    <s v="736"/>
    <x v="0"/>
    <x v="2"/>
    <s v="Salaš"/>
    <s v="Salaš 85, PSČ 68706"/>
    <s v="84250"/>
    <s v="Činnosti v oblasti protipožární ochrany"/>
    <m/>
    <m/>
    <m/>
    <m/>
    <m/>
    <m/>
    <m/>
    <m/>
    <m/>
    <m/>
    <m/>
    <m/>
    <m/>
    <m/>
    <m/>
    <m/>
    <m/>
  </r>
  <r>
    <s v="64438848"/>
    <s v="SH ČMS - Sbor dobrovolných hasičů Sazovice"/>
    <s v="736"/>
    <x v="0"/>
    <x v="0"/>
    <s v="Sazovice"/>
    <s v="Sazovice 180, PSČ 763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723"/>
    <s v="SH ČMS - Sbor dobrovolných hasičů Sehradice"/>
    <s v="736"/>
    <x v="0"/>
    <x v="0"/>
    <s v="Sehradice"/>
    <s v="Sehradice 64, PSČ 76323"/>
    <s v="84250"/>
    <s v="Činnosti v oblasti protipožární ochrany"/>
    <m/>
    <m/>
    <m/>
    <m/>
    <m/>
    <m/>
    <m/>
    <m/>
    <m/>
    <m/>
    <m/>
    <m/>
    <m/>
    <m/>
    <m/>
    <m/>
    <m/>
  </r>
  <r>
    <s v="63701502"/>
    <s v="SH ČMS - Sbor dobrovolných hasičů Semetín"/>
    <s v="736"/>
    <x v="0"/>
    <x v="1"/>
    <s v="Vsetín"/>
    <s v="Vsetín, Semetín 2276, PSČ 75501"/>
    <s v="84250"/>
    <s v="Činnosti v oblasti protipožární ochrany"/>
    <m/>
    <m/>
    <m/>
    <m/>
    <m/>
    <m/>
    <m/>
    <m/>
    <m/>
    <m/>
    <m/>
    <m/>
    <m/>
    <m/>
    <m/>
    <m/>
    <m/>
  </r>
  <r>
    <s v="65469411"/>
    <s v="SH ČMS - Sbor dobrovolných hasičů Seninka"/>
    <s v="736"/>
    <x v="0"/>
    <x v="1"/>
    <s v="Seninka"/>
    <s v="Seninka 112, PSČ 7561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766"/>
    <s v="SH ČMS - Sbor dobrovolných hasičů Sklárny Karolinka"/>
    <s v="736"/>
    <x v="0"/>
    <x v="1"/>
    <s v="Karolinka"/>
    <s v="Karolinka, Pod Horů 184, PSČ 75605"/>
    <s v="84250"/>
    <s v="Činnosti v oblasti protipožární ochrany"/>
    <s v="Ostatní profesní, vědecké a technické činnosti"/>
    <s v="Maloobchod s nápoji"/>
    <s v="Stravování v restauracích, u stánků a v mobilních zařízeních"/>
    <m/>
    <m/>
    <m/>
    <m/>
    <m/>
    <m/>
    <m/>
    <m/>
    <m/>
    <m/>
    <m/>
    <m/>
    <m/>
    <m/>
  </r>
  <r>
    <s v="65792441"/>
    <s v="SH ČMS - Sbor dobrovolných hasičů Slavičín"/>
    <s v="736"/>
    <x v="0"/>
    <x v="0"/>
    <s v="Slavičín"/>
    <s v="Slavičín, Hasičská 307, PSČ 763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273"/>
    <s v="SH ČMS - Sbor dobrovolných hasičů Slavkov"/>
    <s v="736"/>
    <x v="0"/>
    <x v="2"/>
    <s v="Slavkov"/>
    <s v="Slavkov 114, PSČ 68764"/>
    <s v="84250"/>
    <s v="Činnosti v oblasti protipožární ochrany"/>
    <m/>
    <m/>
    <m/>
    <m/>
    <m/>
    <m/>
    <m/>
    <m/>
    <m/>
    <m/>
    <m/>
    <m/>
    <m/>
    <m/>
    <m/>
    <m/>
    <m/>
  </r>
  <r>
    <s v="60383283"/>
    <s v="SH ČMS - Sbor dobrovolných hasičů Slavkov pod Hostýnem"/>
    <s v="736"/>
    <x v="0"/>
    <x v="3"/>
    <s v="Slavkov pod Hostýnem"/>
    <s v="Slavkov pod Hostýnem 188, PSČ 768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3303"/>
    <s v="SH ČMS - Sbor dobrovolných hasičů Slopné"/>
    <s v="736"/>
    <x v="0"/>
    <x v="0"/>
    <s v="Slopné"/>
    <s v="Slopné 124, PSČ 76323"/>
    <s v="84250"/>
    <s v="Činnosti v oblasti protipožární ochrany"/>
    <m/>
    <m/>
    <m/>
    <m/>
    <m/>
    <m/>
    <m/>
    <m/>
    <m/>
    <m/>
    <m/>
    <m/>
    <m/>
    <m/>
    <m/>
    <m/>
    <m/>
  </r>
  <r>
    <s v="68729731"/>
    <s v="SH ČMS - Sbor dobrovolných hasičů Slušovice"/>
    <s v="736"/>
    <x v="0"/>
    <x v="0"/>
    <s v="Slušovice"/>
    <s v="Slušovice, Dlouhá 144, PSČ 76315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740"/>
    <s v="SH ČMS - Sbor dobrovolných hasičů Smolina"/>
    <s v="736"/>
    <x v="0"/>
    <x v="0"/>
    <s v="Valašské Klobouky"/>
    <s v="Valašské Klobouky, Smolina 96, PSČ 76601"/>
    <s v="84250"/>
    <s v="Činnosti v oblasti protipožární ochrany"/>
    <m/>
    <m/>
    <m/>
    <m/>
    <m/>
    <m/>
    <m/>
    <m/>
    <m/>
    <m/>
    <m/>
    <m/>
    <m/>
    <m/>
    <m/>
    <m/>
    <m/>
  </r>
  <r>
    <s v="65270231"/>
    <s v="SH ČMS - Sbor dobrovolných hasičů Sobělice"/>
    <s v="736"/>
    <x v="0"/>
    <x v="3"/>
    <s v="Rataje"/>
    <s v="Rataje, Sobělice 8, PSČ 768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04777468"/>
    <s v="SH ČMS - Sbor dobrovolných hasičů Soběsuky"/>
    <s v="736"/>
    <x v="0"/>
    <x v="3"/>
    <s v="Soběsuky"/>
    <s v="Soběsuky 23, PSČ 76802"/>
    <s v="8425"/>
    <s v="Činnosti v oblasti protipožární ochrany"/>
    <m/>
    <m/>
    <m/>
    <m/>
    <m/>
    <m/>
    <m/>
    <m/>
    <m/>
    <m/>
    <m/>
    <m/>
    <m/>
    <m/>
    <m/>
    <m/>
    <m/>
  </r>
  <r>
    <s v="68729766"/>
    <s v="SH ČMS - Sbor dobrovolných hasičů Spytihněv"/>
    <s v="736"/>
    <x v="0"/>
    <x v="0"/>
    <s v="Spytihněv"/>
    <s v="Spytihněv 567, PSČ 76364"/>
    <s v="84250"/>
    <s v="Činnosti v oblasti protipožární ochrany"/>
    <m/>
    <m/>
    <m/>
    <m/>
    <m/>
    <m/>
    <m/>
    <m/>
    <m/>
    <m/>
    <m/>
    <m/>
    <m/>
    <m/>
    <m/>
    <m/>
    <m/>
  </r>
  <r>
    <s v="63701758"/>
    <s v="SH ČMS - Sbor dobrovolných hasičů Stanovnice"/>
    <s v="736"/>
    <x v="0"/>
    <x v="1"/>
    <s v="Karolinka"/>
    <s v="Karolinka, Stanovnice 420, PSČ 75605"/>
    <s v="84250"/>
    <s v="Činnosti v oblasti protipožární ochrany"/>
    <m/>
    <m/>
    <m/>
    <m/>
    <m/>
    <m/>
    <m/>
    <m/>
    <m/>
    <m/>
    <m/>
    <m/>
    <m/>
    <m/>
    <m/>
    <m/>
    <m/>
  </r>
  <r>
    <s v="65324862"/>
    <s v="SH ČMS - Sbor dobrovolných hasičů Staré Hutě"/>
    <s v="736"/>
    <x v="0"/>
    <x v="2"/>
    <s v="Staré Hutě"/>
    <s v="Staré Hutě 70, PSČ 686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2833081"/>
    <s v="SH ČMS - Sbor dobrovolných hasičů Staré Město"/>
    <s v="736"/>
    <x v="0"/>
    <x v="2"/>
    <s v="Staré Město"/>
    <s v="Staré Město, Za Mlýnem 313, PSČ 6860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88316"/>
    <s v="SH ČMS - Sbor dobrovolných hasičů Staré Zubří"/>
    <s v="736"/>
    <x v="0"/>
    <x v="1"/>
    <s v="Zubří"/>
    <s v="Zubří, Starozuberská 352, PSČ 7565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150"/>
    <s v="SH ČMS - Sbor dobrovolných hasičů Starý Hrozenkov"/>
    <s v="736"/>
    <x v="0"/>
    <x v="2"/>
    <s v="Starý Hrozenkov"/>
    <s v="Starý Hrozenkov 329, PSČ 68774"/>
    <s v="84250"/>
    <s v="Činnosti v oblasti protipožární ochrany"/>
    <m/>
    <m/>
    <m/>
    <m/>
    <m/>
    <m/>
    <m/>
    <m/>
    <m/>
    <m/>
    <m/>
    <m/>
    <m/>
    <m/>
    <m/>
    <m/>
    <m/>
  </r>
  <r>
    <s v="65324960"/>
    <s v="SH ČMS - Sbor dobrovolných hasičů Strání"/>
    <s v="736"/>
    <x v="0"/>
    <x v="2"/>
    <s v="Strání"/>
    <s v="Strání, Na kopci 156, PSČ 68765"/>
    <s v="84250"/>
    <s v="Činnosti v oblasti protipožární ochrany"/>
    <m/>
    <m/>
    <m/>
    <m/>
    <m/>
    <m/>
    <m/>
    <m/>
    <m/>
    <m/>
    <m/>
    <m/>
    <m/>
    <m/>
    <m/>
    <m/>
    <m/>
  </r>
  <r>
    <s v="63701863"/>
    <s v="SH ČMS - Sbor dobrovolných hasičů Střelná"/>
    <s v="736"/>
    <x v="0"/>
    <x v="1"/>
    <s v="Střelná"/>
    <s v="Střelná 38, PSČ 75612"/>
    <s v="84250"/>
    <s v="Činnosti v oblasti protipožární ochrany"/>
    <s v="Sportovní činnosti"/>
    <m/>
    <m/>
    <m/>
    <m/>
    <m/>
    <m/>
    <m/>
    <m/>
    <m/>
    <m/>
    <m/>
    <m/>
    <m/>
    <m/>
    <m/>
    <m/>
  </r>
  <r>
    <s v="65324978"/>
    <s v="SH ČMS - Sbor dobrovolných hasičů Stříbrnice"/>
    <s v="736"/>
    <x v="0"/>
    <x v="2"/>
    <s v="Stříbrnice"/>
    <s v="Stříbrnice 124, PSČ 68709"/>
    <s v="84250"/>
    <s v="Činnosti v oblasti protipožární ochrany"/>
    <m/>
    <m/>
    <m/>
    <m/>
    <m/>
    <m/>
    <m/>
    <m/>
    <m/>
    <m/>
    <m/>
    <m/>
    <m/>
    <m/>
    <m/>
    <m/>
    <m/>
  </r>
  <r>
    <s v="63414236"/>
    <s v="SH ČMS - Sbor dobrovolných hasičů Střílky"/>
    <s v="736"/>
    <x v="0"/>
    <x v="3"/>
    <s v="Střílky"/>
    <s v="Střílky, Koryčanská 47, PSČ 76804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469305"/>
    <s v="SH ČMS - Sbor dobrovolných hasičů Střítež nad Bečvou"/>
    <s v="736"/>
    <x v="0"/>
    <x v="1"/>
    <s v="Střítež nad Bečvou"/>
    <s v="Střítež nad Bečvou 197, PSČ 75652"/>
    <s v="84250"/>
    <s v="Činnosti v oblasti protipožární ochrany"/>
    <m/>
    <m/>
    <m/>
    <m/>
    <m/>
    <m/>
    <m/>
    <m/>
    <m/>
    <m/>
    <m/>
    <m/>
    <m/>
    <m/>
    <m/>
    <m/>
    <m/>
  </r>
  <r>
    <s v="65324871"/>
    <s v="SH ČMS - Sbor dobrovolných hasičů Stupava"/>
    <s v="736"/>
    <x v="0"/>
    <x v="2"/>
    <s v="Stupava"/>
    <s v="Stupava 22, PSČ 6860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325168"/>
    <s v="SH ČMS - Sbor dobrovolných hasičů Suchá Loz"/>
    <s v="736"/>
    <x v="0"/>
    <x v="2"/>
    <s v="Suchá Loz"/>
    <s v="Suchá Loz 265, PSČ 68753"/>
    <s v="84250"/>
    <s v="Činnosti v oblasti protipožární ochrany"/>
    <m/>
    <m/>
    <m/>
    <m/>
    <m/>
    <m/>
    <m/>
    <m/>
    <m/>
    <m/>
    <m/>
    <m/>
    <m/>
    <m/>
    <m/>
    <m/>
    <m/>
  </r>
  <r>
    <s v="63414155"/>
    <s v="SH ČMS - Sbor dobrovolných hasičů Sulimov"/>
    <s v="736"/>
    <x v="0"/>
    <x v="3"/>
    <s v="Sulimov"/>
    <s v="Sulimov 51, PSČ 768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4773"/>
    <s v="SH ČMS - Sbor dobrovolných hasičů Sušice"/>
    <s v="736"/>
    <x v="0"/>
    <x v="2"/>
    <s v="Sušice"/>
    <s v="Sušice 21, PSČ 68704"/>
    <s v="84250"/>
    <s v="Činnosti v oblasti protipožární ochrany"/>
    <m/>
    <m/>
    <m/>
    <m/>
    <m/>
    <m/>
    <m/>
    <m/>
    <m/>
    <m/>
    <m/>
    <m/>
    <m/>
    <m/>
    <m/>
    <m/>
    <m/>
  </r>
  <r>
    <s v="65792785"/>
    <s v="SH ČMS - Sbor dobrovolných hasičů Svatý Štěpán"/>
    <s v="736"/>
    <x v="0"/>
    <x v="0"/>
    <s v="Brumov-Bylnice"/>
    <s v="Brumov-Bylnice, Svatý Štěpán 110, PSČ 76334"/>
    <s v="84250"/>
    <s v="Činnosti v oblasti protipožární ochrany"/>
    <m/>
    <m/>
    <m/>
    <m/>
    <m/>
    <m/>
    <m/>
    <m/>
    <m/>
    <m/>
    <m/>
    <m/>
    <m/>
    <m/>
    <m/>
    <m/>
    <m/>
  </r>
  <r>
    <s v="65792530"/>
    <s v="SH ČMS - Sbor dobrovolných hasičů Šanov"/>
    <s v="736"/>
    <x v="0"/>
    <x v="0"/>
    <s v="Šanov"/>
    <s v="Šanov 156, PSČ 7632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774"/>
    <s v="SH ČMS - Sbor dobrovolných hasičů Šarovy"/>
    <s v="736"/>
    <x v="0"/>
    <x v="0"/>
    <s v="Šarovy"/>
    <s v="Šarovy 35, PSČ 76351"/>
    <s v="84250"/>
    <s v="Činnosti v oblasti protipožární ochrany"/>
    <s v="Maloobchod s nápoji"/>
    <s v="Stravování v restauracích, u stánků a v mobilních zařízeních"/>
    <m/>
    <m/>
    <m/>
    <m/>
    <m/>
    <m/>
    <m/>
    <m/>
    <m/>
    <m/>
    <m/>
    <m/>
    <m/>
    <m/>
    <m/>
  </r>
  <r>
    <s v="63458802"/>
    <s v="SH ČMS - Sbor dobrovolných hasičů Šelešovice"/>
    <s v="736"/>
    <x v="0"/>
    <x v="3"/>
    <s v="Šelešovice"/>
    <s v="Šelešovice 93, PSČ 76701"/>
    <s v="84250"/>
    <s v="Činnosti v oblasti protipožární ochrany"/>
    <m/>
    <m/>
    <m/>
    <m/>
    <m/>
    <m/>
    <m/>
    <m/>
    <m/>
    <m/>
    <m/>
    <m/>
    <m/>
    <m/>
    <m/>
    <m/>
    <m/>
  </r>
  <r>
    <s v="65792823"/>
    <s v="SH ČMS - Sbor dobrovolných hasičů Štítná nad Vláří"/>
    <s v="736"/>
    <x v="0"/>
    <x v="0"/>
    <s v="Štítná nad Vláří-Popov"/>
    <s v="Štítná nad Vláří-Popov, Štítná nad Vláří 76, PSČ 76333"/>
    <s v="84250"/>
    <s v="Činnosti v oblasti protipožární ochrany"/>
    <m/>
    <m/>
    <m/>
    <m/>
    <m/>
    <m/>
    <m/>
    <m/>
    <m/>
    <m/>
    <m/>
    <m/>
    <m/>
    <m/>
    <m/>
    <m/>
    <m/>
  </r>
  <r>
    <s v="63701871"/>
    <s v="SH ČMS - Sbor dobrovolných hasičů Študlov"/>
    <s v="736"/>
    <x v="0"/>
    <x v="0"/>
    <s v="Študlov"/>
    <s v="Študlov 149, PSČ 75612"/>
    <s v="84250"/>
    <s v="Činnosti v oblasti protipožární ochrany"/>
    <m/>
    <m/>
    <m/>
    <m/>
    <m/>
    <m/>
    <m/>
    <m/>
    <m/>
    <m/>
    <m/>
    <m/>
    <m/>
    <m/>
    <m/>
    <m/>
    <m/>
  </r>
  <r>
    <s v="65325354"/>
    <s v="SH ČMS - Sbor dobrovolných hasičů Šumice"/>
    <s v="736"/>
    <x v="0"/>
    <x v="2"/>
    <s v="Šumice"/>
    <s v="Šumice 400, PSČ 6873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791"/>
    <s v="SH ČMS - Sbor dobrovolných hasičů Tečovice"/>
    <s v="736"/>
    <x v="0"/>
    <x v="0"/>
    <s v="Tečovice"/>
    <s v="Tečovice 240, PSČ 76302"/>
    <s v="84250"/>
    <s v="Činnosti v oblasti protipožární ochrany"/>
    <m/>
    <m/>
    <m/>
    <m/>
    <m/>
    <m/>
    <m/>
    <m/>
    <m/>
    <m/>
    <m/>
    <m/>
    <m/>
    <m/>
    <m/>
    <m/>
    <m/>
  </r>
  <r>
    <s v="70980501"/>
    <s v="SH ČMS - Sbor dobrovolných hasičů Těšov"/>
    <s v="736"/>
    <x v="0"/>
    <x v="2"/>
    <s v="Uherský Brod"/>
    <s v="Uherský Brod, Těšov, Dr. Horáka 102, PSČ 6873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75109255"/>
    <s v="SH ČMS - Sbor dobrovolných hasičů Tetětice"/>
    <s v="736"/>
    <x v="0"/>
    <x v="3"/>
    <s v="Počenice-Tetětice"/>
    <s v="Počenice-Tetětice, Tetětice 74, PSČ 7683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2358"/>
    <s v="SH ČMS - Sbor dobrovolných hasičů Tichov"/>
    <s v="736"/>
    <x v="0"/>
    <x v="0"/>
    <s v="Tichov"/>
    <s v="Tichov 105, PSČ 76601"/>
    <s v="84250"/>
    <s v="Činnosti v oblasti protipožární ochrany"/>
    <m/>
    <m/>
    <m/>
    <m/>
    <m/>
    <m/>
    <m/>
    <m/>
    <m/>
    <m/>
    <m/>
    <m/>
    <m/>
    <m/>
    <m/>
    <m/>
    <m/>
  </r>
  <r>
    <s v="68729804"/>
    <s v="SH ČMS - Sbor dobrovolných hasičů Tlumačov"/>
    <s v="736"/>
    <x v="0"/>
    <x v="0"/>
    <s v="Tlumačov"/>
    <s v="Tlumačov, Masarykova 285, PSČ 7636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5087"/>
    <s v="SH ČMS - Sbor dobrovolných hasičů Topolná"/>
    <s v="736"/>
    <x v="0"/>
    <x v="2"/>
    <s v="Topolná"/>
    <s v="Topolná 82, PSČ 68711"/>
    <s v="84250"/>
    <s v="Činnosti v oblasti protipožární ochrany"/>
    <m/>
    <m/>
    <m/>
    <m/>
    <m/>
    <m/>
    <m/>
    <m/>
    <m/>
    <m/>
    <m/>
    <m/>
    <m/>
    <m/>
    <m/>
    <m/>
    <m/>
  </r>
  <r>
    <s v="65324820"/>
    <s v="SH ČMS - Sbor dobrovolných hasičů Traplice"/>
    <s v="736"/>
    <x v="0"/>
    <x v="2"/>
    <s v="Traplice"/>
    <s v="Traplice 373, PSČ 68704"/>
    <s v="84250"/>
    <s v="Činnosti v oblasti protipožární ochrany"/>
    <m/>
    <m/>
    <m/>
    <m/>
    <m/>
    <m/>
    <m/>
    <m/>
    <m/>
    <m/>
    <m/>
    <m/>
    <m/>
    <m/>
    <m/>
    <m/>
    <m/>
  </r>
  <r>
    <s v="60383372"/>
    <s v="SH ČMS - Sbor dobrovolných hasičů Trávník"/>
    <s v="736"/>
    <x v="0"/>
    <x v="3"/>
    <s v="Kroměříž"/>
    <s v="Kroměříž, Trávník 138, PSČ 767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3451"/>
    <s v="SH ČMS - Sbor dobrovolných hasičů Trnava"/>
    <s v="736"/>
    <x v="0"/>
    <x v="0"/>
    <s v="Trnava"/>
    <s v="Trnava 161, PSČ 76318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270321"/>
    <s v="SH ČMS - Sbor dobrovolných hasičů Troubky"/>
    <s v="736"/>
    <x v="0"/>
    <x v="3"/>
    <s v="Troubky-Zdislavice"/>
    <s v="Troubky-Zdislavice, Troubky 10, PSČ 7680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4935"/>
    <s v="SH ČMS - Sbor dobrovolných hasičů Tučapy"/>
    <s v="736"/>
    <x v="0"/>
    <x v="2"/>
    <s v="Tučapy"/>
    <s v="Tučapy 30, PSČ 68709"/>
    <s v="84250"/>
    <s v="Činnosti v oblasti protipožární ochrany"/>
    <m/>
    <m/>
    <m/>
    <m/>
    <m/>
    <m/>
    <m/>
    <m/>
    <m/>
    <m/>
    <m/>
    <m/>
    <m/>
    <m/>
    <m/>
    <m/>
    <m/>
  </r>
  <r>
    <s v="65270355"/>
    <s v="SH ČMS - Sbor dobrovolných hasičů Tučapy"/>
    <s v="736"/>
    <x v="0"/>
    <x v="3"/>
    <s v="Holešov"/>
    <s v="Holešov, Tučapy 68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4846"/>
    <s v="SH ČMS - Sbor dobrovolných hasičů Tupesy"/>
    <s v="736"/>
    <x v="0"/>
    <x v="2"/>
    <s v="Tupesy"/>
    <s v="Tupesy 135, PSČ 68707"/>
    <s v="84250"/>
    <s v="Činnosti v oblasti protipožární ochrany"/>
    <m/>
    <m/>
    <m/>
    <m/>
    <m/>
    <m/>
    <m/>
    <m/>
    <m/>
    <m/>
    <m/>
    <m/>
    <m/>
    <m/>
    <m/>
    <m/>
    <m/>
  </r>
  <r>
    <s v="63701634"/>
    <s v="SH ČMS - Sbor dobrovolných hasičů Tylovice"/>
    <s v="736"/>
    <x v="0"/>
    <x v="1"/>
    <s v="Rožnov pod Radhoštěm"/>
    <s v="Rožnov pod Radhoštěm, Tylovice 1828, PSČ 75661"/>
    <s v="84250"/>
    <s v="Činnosti v oblasti protipožární ochrany"/>
    <s v="Výroba, obchod a služby neuvedené v přílohách 1 až 3 živnostenského zákona"/>
    <s v="Sportovní činnosti"/>
    <s v="Maloobchod s nápoji"/>
    <s v="Stravování v restauracích, u stánků a v mobilních zařízeních"/>
    <m/>
    <m/>
    <m/>
    <m/>
    <m/>
    <m/>
    <m/>
    <m/>
    <m/>
    <m/>
    <m/>
    <m/>
    <m/>
  </r>
  <r>
    <s v="68729812"/>
    <s v="SH ČMS - Sbor dobrovolných hasičů Ublo"/>
    <s v="736"/>
    <x v="0"/>
    <x v="0"/>
    <s v="Ublo"/>
    <s v="Ublo 74, PSČ 7631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2833111"/>
    <s v="SH ČMS - Sbor dobrovolných hasičů Uherské Hradiště"/>
    <s v="736"/>
    <x v="0"/>
    <x v="2"/>
    <s v="Uherské Hradiště"/>
    <s v="Uherské Hradiště, Palackého náměstí 293, PSČ 68601"/>
    <s v="84250"/>
    <s v="Činnosti v oblasti protipožární ochrany"/>
    <m/>
    <m/>
    <m/>
    <m/>
    <m/>
    <m/>
    <m/>
    <m/>
    <m/>
    <m/>
    <m/>
    <m/>
    <m/>
    <m/>
    <m/>
    <m/>
    <m/>
  </r>
  <r>
    <s v="65324757"/>
    <s v="SH ČMS - Sbor dobrovolných hasičů Uherský Brod"/>
    <s v="736"/>
    <x v="0"/>
    <x v="2"/>
    <s v="Uherský Brod"/>
    <s v="Uherský Brod, Pod Dvorkem 379, PSČ 68801"/>
    <s v="84250"/>
    <s v="Činnosti v oblasti protipožární ochrany"/>
    <m/>
    <m/>
    <m/>
    <m/>
    <m/>
    <m/>
    <m/>
    <m/>
    <m/>
    <m/>
    <m/>
    <m/>
    <m/>
    <m/>
    <m/>
    <m/>
    <m/>
  </r>
  <r>
    <s v="65325231"/>
    <s v="SH ČMS - Sbor dobrovolných hasičů Uherský Ostroh I."/>
    <s v="736"/>
    <x v="0"/>
    <x v="2"/>
    <s v="Uherský Ostroh"/>
    <s v="Uherský Ostroh, Ostrožské Předměstí, Veselská 844, PSČ 68724"/>
    <s v="84250"/>
    <s v="Činnosti v oblasti protipožární ochrany"/>
    <m/>
    <m/>
    <m/>
    <m/>
    <m/>
    <m/>
    <m/>
    <m/>
    <m/>
    <m/>
    <m/>
    <m/>
    <m/>
    <m/>
    <m/>
    <m/>
    <m/>
  </r>
  <r>
    <s v="63414503"/>
    <s v="SH ČMS - Sbor dobrovolných hasičů Uhřice"/>
    <s v="736"/>
    <x v="0"/>
    <x v="3"/>
    <s v="Uhřice"/>
    <s v="Uhřice 39, PSČ 76833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8729821"/>
    <s v="SH ČMS - Sbor dobrovolných hasičů Újezd"/>
    <s v="736"/>
    <x v="0"/>
    <x v="0"/>
    <s v="Újezd"/>
    <s v="Újezd 369, PSČ 76325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324994"/>
    <s v="SH ČMS - Sbor dobrovolných hasičů Újezdec u Medlovic"/>
    <s v="736"/>
    <x v="0"/>
    <x v="2"/>
    <s v="Újezdec"/>
    <s v="Újezdec 122, PSČ 68741"/>
    <s v="84250"/>
    <s v="Činnosti v oblasti protipožární ochrany"/>
    <m/>
    <m/>
    <m/>
    <m/>
    <m/>
    <m/>
    <m/>
    <m/>
    <m/>
    <m/>
    <m/>
    <m/>
    <m/>
    <m/>
    <m/>
    <m/>
    <m/>
  </r>
  <r>
    <s v="63701529"/>
    <s v="SH ČMS - Sbor dobrovolných hasičů Ústí"/>
    <s v="736"/>
    <x v="0"/>
    <x v="1"/>
    <s v="Ústí"/>
    <s v="Ústí 157, PSČ 75501"/>
    <s v="84250"/>
    <s v="Činnosti v oblasti protipožární ochrany"/>
    <m/>
    <m/>
    <m/>
    <m/>
    <m/>
    <m/>
    <m/>
    <m/>
    <m/>
    <m/>
    <m/>
    <m/>
    <m/>
    <m/>
    <m/>
    <m/>
    <m/>
  </r>
  <r>
    <s v="75124335"/>
    <s v="SH ČMS - Sbor dobrovolných hasičů v Polešovicích II."/>
    <s v="736"/>
    <x v="0"/>
    <x v="2"/>
    <s v="Polešovice"/>
    <s v="Polešovice,"/>
    <s v="84250"/>
    <s v="Činnosti v oblasti protipožární ochrany"/>
    <m/>
    <m/>
    <m/>
    <m/>
    <m/>
    <m/>
    <m/>
    <m/>
    <m/>
    <m/>
    <m/>
    <m/>
    <m/>
    <m/>
    <m/>
    <m/>
    <m/>
  </r>
  <r>
    <s v="65469313"/>
    <s v="SH ČMS - Sbor dobrovolných hasičů Valašská Bystřice"/>
    <s v="736"/>
    <x v="0"/>
    <x v="1"/>
    <s v="Valašská Bystřice"/>
    <s v="Valašská Bystřice 470, PSČ 75627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381"/>
    <s v="SH ČMS - Sbor dobrovolných hasičů Valašská Polanka"/>
    <s v="736"/>
    <x v="0"/>
    <x v="1"/>
    <s v="Valašská Polanka"/>
    <s v="Valašská Polanka 270, PSČ 7561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880"/>
    <s v="SH ČMS - Sbor dobrovolných hasičů Valašská Senice"/>
    <s v="736"/>
    <x v="0"/>
    <x v="1"/>
    <s v="Valašská Senice"/>
    <s v="Valašská Senice 145, PSČ 75614"/>
    <s v="84250"/>
    <s v="Činnosti v oblasti protipožární ochrany"/>
    <m/>
    <m/>
    <m/>
    <m/>
    <m/>
    <m/>
    <m/>
    <m/>
    <m/>
    <m/>
    <m/>
    <m/>
    <m/>
    <m/>
    <m/>
    <m/>
    <m/>
  </r>
  <r>
    <s v="64467449"/>
    <s v="SH ČMS - Sbor dobrovolných hasičů Valašské Klobouky"/>
    <s v="736"/>
    <x v="0"/>
    <x v="0"/>
    <s v="Valašské Klobouky"/>
    <s v="Valašské Klobouky, Brumovská 710, PSČ 76601"/>
    <s v="84250"/>
    <s v="Činnosti v oblasti protipožární ochrany"/>
    <m/>
    <m/>
    <m/>
    <m/>
    <m/>
    <m/>
    <m/>
    <m/>
    <m/>
    <m/>
    <m/>
    <m/>
    <m/>
    <m/>
    <m/>
    <m/>
    <m/>
  </r>
  <r>
    <s v="63701561"/>
    <s v="SH ČMS - Sbor dobrovolných hasičů Valašské Meziřící - Lhota"/>
    <s v="736"/>
    <x v="0"/>
    <x v="1"/>
    <s v="Valašské Meziříčí"/>
    <s v="Valašské Meziříčí, Krásno nad Bečvou, Zašovská 784, PSČ 75701"/>
    <s v="84250"/>
    <s v="Činnosti v oblasti protipožární ochrany"/>
    <m/>
    <m/>
    <m/>
    <m/>
    <m/>
    <m/>
    <m/>
    <m/>
    <m/>
    <m/>
    <m/>
    <m/>
    <m/>
    <m/>
    <m/>
    <m/>
    <m/>
  </r>
  <r>
    <s v="63701545"/>
    <s v="SH ČMS - Sbor dobrovolných hasičů Valašské Meziříčí"/>
    <s v="736"/>
    <x v="0"/>
    <x v="1"/>
    <s v="Valašské Meziříčí"/>
    <s v="Valašské Meziříčí, Krásno nad Bečvou, Zašovská 784, PSČ 75701"/>
    <s v="84250"/>
    <s v="Činnosti v oblasti protipožární ochrany"/>
    <m/>
    <m/>
    <m/>
    <m/>
    <m/>
    <m/>
    <m/>
    <m/>
    <m/>
    <m/>
    <m/>
    <m/>
    <m/>
    <m/>
    <m/>
    <m/>
    <m/>
  </r>
  <r>
    <s v="65469445"/>
    <s v="SH ČMS - Sbor dobrovolných hasičů Valašské Příkazy"/>
    <s v="736"/>
    <x v="0"/>
    <x v="0"/>
    <s v="Valašské Příkazy"/>
    <s v="Valašské Příkazy 21, PSČ 75612"/>
    <s v="84250"/>
    <s v="Činnosti v oblasti protipožární ochrany"/>
    <m/>
    <m/>
    <m/>
    <m/>
    <m/>
    <m/>
    <m/>
    <m/>
    <m/>
    <m/>
    <m/>
    <m/>
    <m/>
    <m/>
    <m/>
    <m/>
    <m/>
  </r>
  <r>
    <s v="65324927"/>
    <s v="SH ČMS - Sbor dobrovolných hasičů Vážany"/>
    <s v="736"/>
    <x v="0"/>
    <x v="2"/>
    <s v="Vážany"/>
    <s v="Vážany 20, PSČ 68737"/>
    <s v="84250"/>
    <s v="Činnosti v oblasti protipožární ochrany"/>
    <m/>
    <m/>
    <m/>
    <m/>
    <m/>
    <m/>
    <m/>
    <m/>
    <m/>
    <m/>
    <m/>
    <m/>
    <m/>
    <m/>
    <m/>
    <m/>
    <m/>
  </r>
  <r>
    <s v="65325044"/>
    <s v="SH ČMS - Sbor dobrovolných hasičů Velehrad"/>
    <s v="736"/>
    <x v="0"/>
    <x v="2"/>
    <s v="Velehrad"/>
    <s v="Velehrad, Salašská 350, PSČ 68706"/>
    <s v="84250"/>
    <s v="Činnosti v oblasti protipožární ochrany"/>
    <m/>
    <m/>
    <m/>
    <m/>
    <m/>
    <m/>
    <m/>
    <m/>
    <m/>
    <m/>
    <m/>
    <m/>
    <m/>
    <m/>
    <m/>
    <m/>
    <m/>
  </r>
  <r>
    <s v="65325311"/>
    <s v="SH ČMS - Sbor dobrovolných hasičů Veletiny"/>
    <s v="736"/>
    <x v="0"/>
    <x v="2"/>
    <s v="Veletiny"/>
    <s v="Veletiny 218, PSČ 68733"/>
    <s v="84250"/>
    <s v="Činnosti v oblasti protipožární ochrany"/>
    <m/>
    <m/>
    <m/>
    <m/>
    <m/>
    <m/>
    <m/>
    <m/>
    <m/>
    <m/>
    <m/>
    <m/>
    <m/>
    <m/>
    <m/>
    <m/>
    <m/>
  </r>
  <r>
    <s v="63701596"/>
    <s v="SH ČMS - Sbor dobrovolných hasičů Velká Lhota"/>
    <s v="736"/>
    <x v="0"/>
    <x v="1"/>
    <s v="Velká Lhota"/>
    <s v="Velká Lhota 146, PSČ 757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693"/>
    <s v="SH ČMS - Sbor dobrovolných hasičů Velké Karlovice U kostela"/>
    <s v="736"/>
    <x v="0"/>
    <x v="1"/>
    <s v="Velké Karlovice"/>
    <s v="Velké Karlovice 14, PSČ 75606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707"/>
    <s v="SH ČMS - Sbor dobrovolných hasičů Velké Karlovice-Jezerné"/>
    <s v="736"/>
    <x v="0"/>
    <x v="1"/>
    <s v="Velké Karlovice"/>
    <s v="Velké Karlovice 1017, PSČ 75606"/>
    <s v="84250"/>
    <s v="Činnosti v oblasti protipožární ochrany"/>
    <m/>
    <m/>
    <m/>
    <m/>
    <m/>
    <m/>
    <m/>
    <m/>
    <m/>
    <m/>
    <m/>
    <m/>
    <m/>
    <m/>
    <m/>
    <m/>
    <m/>
  </r>
  <r>
    <s v="65888359"/>
    <s v="SH ČMS - Sbor dobrovolných hasičů Velké Karlovice-Leskové"/>
    <s v="736"/>
    <x v="0"/>
    <x v="1"/>
    <s v="Velké Karlovice"/>
    <s v="Velké Karlovice 1, PSČ 75606"/>
    <s v="84250"/>
    <s v="Činnosti v oblasti protipožární ochrany"/>
    <m/>
    <m/>
    <m/>
    <m/>
    <m/>
    <m/>
    <m/>
    <m/>
    <m/>
    <m/>
    <m/>
    <m/>
    <m/>
    <m/>
    <m/>
    <m/>
    <m/>
  </r>
  <r>
    <s v="63701715"/>
    <s v="SH ČMS - Sbor dobrovolných hasičů Velké Karlovice-Podťaté"/>
    <s v="736"/>
    <x v="0"/>
    <x v="1"/>
    <s v="Velké Karlovice"/>
    <s v="Velké Karlovice 523, PSČ 75606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888332"/>
    <s v="SH ČMS - Sbor dobrovolných hasičů Velké Karlovice-Tísňavy"/>
    <s v="736"/>
    <x v="0"/>
    <x v="1"/>
    <s v="Velké Karlovice"/>
    <s v="Velké Karlovice 1, PSČ 75606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643"/>
    <s v="SH ČMS - Sbor dobrovolných hasičů Velké Těšany"/>
    <s v="736"/>
    <x v="0"/>
    <x v="3"/>
    <s v="Bařice-Velké Těšany"/>
    <s v="Bařice-Velké Těšany, Bařice 8, PSČ 76701"/>
    <s v="84250"/>
    <s v="Činnosti v oblasti protipožární ochrany"/>
    <m/>
    <m/>
    <m/>
    <m/>
    <m/>
    <m/>
    <m/>
    <m/>
    <m/>
    <m/>
    <m/>
    <m/>
    <m/>
    <m/>
    <m/>
    <m/>
    <m/>
  </r>
  <r>
    <s v="67027288"/>
    <s v="SH ČMS - Sbor dobrovolných hasičů Velký Ořechov"/>
    <s v="736"/>
    <x v="0"/>
    <x v="0"/>
    <s v="Velký Ořechov"/>
    <s v="Velký Ořechov 210, PSČ 76307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2463"/>
    <s v="SH ČMS - Sbor dobrovolných hasičů Veselá"/>
    <s v="736"/>
    <x v="0"/>
    <x v="0"/>
    <s v="Veselá"/>
    <s v="Veselá 130, PSČ 76315"/>
    <s v="84250"/>
    <s v="Činnosti v oblasti protipožární ochrany"/>
    <m/>
    <m/>
    <m/>
    <m/>
    <m/>
    <m/>
    <m/>
    <m/>
    <m/>
    <m/>
    <m/>
    <m/>
    <m/>
    <m/>
    <m/>
    <m/>
    <m/>
  </r>
  <r>
    <s v="65469321"/>
    <s v="SH ČMS - Sbor dobrovolných hasičů Veselá"/>
    <s v="736"/>
    <x v="0"/>
    <x v="1"/>
    <s v="Zašová"/>
    <s v="Zašová, Veselá 76, PSČ 7565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2833057"/>
    <s v="SH ČMS - Sbor dobrovolných hasičů Vésky"/>
    <s v="736"/>
    <x v="0"/>
    <x v="2"/>
    <s v="Uherské Hradiště"/>
    <s v="Uherské Hradiště, Vésky, Na Dědině 137, PSČ 686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684088"/>
    <s v="SH ČMS - Sbor dobrovolných hasičů Věžky"/>
    <s v="736"/>
    <x v="0"/>
    <x v="3"/>
    <s v="Věžky"/>
    <s v="Věžky 43, PSČ 76833"/>
    <s v="84250"/>
    <s v="Činnosti v oblasti protipožární ochrany"/>
    <m/>
    <m/>
    <m/>
    <m/>
    <m/>
    <m/>
    <m/>
    <m/>
    <m/>
    <m/>
    <m/>
    <m/>
    <m/>
    <m/>
    <m/>
    <m/>
    <m/>
  </r>
  <r>
    <s v="65469330"/>
    <s v="SH ČMS - Sbor dobrovolných hasičů Vidče"/>
    <s v="736"/>
    <x v="0"/>
    <x v="1"/>
    <s v="Vidče"/>
    <s v="Vidče 96, PSČ 7565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701685"/>
    <s v="SH ČMS - Sbor dobrovolných hasičů Vigantice"/>
    <s v="736"/>
    <x v="0"/>
    <x v="1"/>
    <s v="Vigantice"/>
    <s v="Vigantice 203, PSČ 7566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0383399"/>
    <s v="SH ČMS - Sbor dobrovolných hasičů Vítonice"/>
    <s v="736"/>
    <x v="0"/>
    <x v="3"/>
    <s v="Vítonice"/>
    <s v="Vítonice 82, PSČ 76861"/>
    <s v="84250"/>
    <s v="Činnosti v oblasti protipožární ochrany"/>
    <s v="Stravování v restauracích, u stánků a v mobilních zařízeních"/>
    <s v="Maloobchod s nápoji"/>
    <m/>
    <m/>
    <m/>
    <m/>
    <m/>
    <m/>
    <m/>
    <m/>
    <m/>
    <m/>
    <m/>
    <m/>
    <m/>
    <m/>
    <m/>
  </r>
  <r>
    <s v="65822706"/>
    <s v="SH ČMS - Sbor dobrovolných hasičů Vizovice"/>
    <s v="736"/>
    <x v="0"/>
    <x v="0"/>
    <s v="Vizovice"/>
    <s v="Vizovice, Nábřežní 993, PSČ 76312"/>
    <s v="84250"/>
    <s v="Činnosti v oblasti protipožární ochrany"/>
    <m/>
    <m/>
    <m/>
    <m/>
    <m/>
    <m/>
    <m/>
    <m/>
    <m/>
    <m/>
    <m/>
    <m/>
    <m/>
    <m/>
    <m/>
    <m/>
    <m/>
  </r>
  <r>
    <s v="68729847"/>
    <s v="SH ČMS - Sbor dobrovolných hasičů Vlachova Lhota"/>
    <s v="736"/>
    <x v="0"/>
    <x v="0"/>
    <s v="Vlachova Lhota"/>
    <s v="Vlachova Lhota 68, PSČ 76601"/>
    <s v="84250"/>
    <s v="Činnosti v oblasti protipožární ochrany"/>
    <m/>
    <m/>
    <m/>
    <m/>
    <m/>
    <m/>
    <m/>
    <m/>
    <m/>
    <m/>
    <m/>
    <m/>
    <m/>
    <m/>
    <m/>
    <m/>
    <m/>
  </r>
  <r>
    <s v="65792700"/>
    <s v="SH ČMS - Sbor dobrovolných hasičů Vlachovice"/>
    <s v="736"/>
    <x v="0"/>
    <x v="0"/>
    <s v="Vlachovice"/>
    <s v="Vlachovice 50, PSČ 76324"/>
    <s v="84250"/>
    <s v="Činnosti v oblasti protipožární ochrany"/>
    <m/>
    <m/>
    <m/>
    <m/>
    <m/>
    <m/>
    <m/>
    <m/>
    <m/>
    <m/>
    <m/>
    <m/>
    <m/>
    <m/>
    <m/>
    <m/>
    <m/>
  </r>
  <r>
    <s v="63458888"/>
    <s v="SH ČMS - Sbor dobrovolných hasičů Vlčí Doly"/>
    <s v="736"/>
    <x v="0"/>
    <x v="3"/>
    <s v="Věžky"/>
    <s v="Věžky, Vlčí Doly 37, PSČ 76833"/>
    <s v="84250"/>
    <s v="Činnosti v oblasti protipožární ochrany"/>
    <m/>
    <m/>
    <m/>
    <m/>
    <m/>
    <m/>
    <m/>
    <m/>
    <m/>
    <m/>
    <m/>
    <m/>
    <m/>
    <m/>
    <m/>
    <m/>
    <m/>
  </r>
  <r>
    <s v="65822811"/>
    <s v="SH ČMS - Sbor dobrovolných hasičů Vlčková"/>
    <s v="736"/>
    <x v="0"/>
    <x v="0"/>
    <s v="Vlčková"/>
    <s v="Vlčková 136, PSČ 76319"/>
    <s v="84250"/>
    <s v="Činnosti v oblasti protipožární ochrany"/>
    <m/>
    <m/>
    <m/>
    <m/>
    <m/>
    <m/>
    <m/>
    <m/>
    <m/>
    <m/>
    <m/>
    <m/>
    <m/>
    <m/>
    <m/>
    <m/>
    <m/>
  </r>
  <r>
    <s v="65325290"/>
    <s v="SH ČMS - Sbor dobrovolných hasičů Vlčnov"/>
    <s v="736"/>
    <x v="0"/>
    <x v="2"/>
    <s v="Vlčnov"/>
    <s v="Vlčnov 9, PSČ 687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386"/>
    <s v="SH ČMS - Sbor dobrovolných hasičů Vrbětice"/>
    <s v="736"/>
    <x v="0"/>
    <x v="0"/>
    <s v="Vlachovice"/>
    <s v="Vlachovice, Vrbětice 43, PSČ 76324"/>
    <s v="84250"/>
    <s v="Činnosti v oblasti protipožární ochrany"/>
    <m/>
    <m/>
    <m/>
    <m/>
    <m/>
    <m/>
    <m/>
    <m/>
    <m/>
    <m/>
    <m/>
    <m/>
    <m/>
    <m/>
    <m/>
    <m/>
    <m/>
  </r>
  <r>
    <s v="65274482"/>
    <s v="SH ČMS - Sbor dobrovolných hasičů Vrbka"/>
    <s v="736"/>
    <x v="0"/>
    <x v="3"/>
    <s v="Vrbka"/>
    <s v="Vrbka 69, PSČ 76821"/>
    <s v="84250"/>
    <s v="Činnosti v oblasti protipožární ochrany"/>
    <s v="Výroba, obchod a služby neuvedené v přílohách 1 až 3 živnostenského zákona"/>
    <s v="Stravování v restauracích, u stánků a v mobilních zařízeních"/>
    <m/>
    <m/>
    <m/>
    <m/>
    <m/>
    <m/>
    <m/>
    <m/>
    <m/>
    <m/>
    <m/>
    <m/>
    <m/>
    <m/>
    <m/>
  </r>
  <r>
    <s v="63701405"/>
    <s v="SH ČMS - Sbor dobrovolných hasičů Vsetín-město"/>
    <s v="736"/>
    <x v="0"/>
    <x v="1"/>
    <s v="Vsetín"/>
    <s v="Vsetín, Havlíčkova 327, PSČ 755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823478"/>
    <s v="SH ČMS - Sbor dobrovolných hasičů Všemina"/>
    <s v="736"/>
    <x v="0"/>
    <x v="0"/>
    <s v="Všemina"/>
    <s v="Všemina 313, PSČ 76315"/>
    <s v="84250"/>
    <s v="Činnosti v oblasti protipožární ochrany"/>
    <m/>
    <m/>
    <m/>
    <m/>
    <m/>
    <m/>
    <m/>
    <m/>
    <m/>
    <m/>
    <m/>
    <m/>
    <m/>
    <m/>
    <m/>
    <m/>
    <m/>
  </r>
  <r>
    <s v="65469496"/>
    <s v="SH ČMS - Sbor dobrovolných hasičů Vysoká"/>
    <s v="736"/>
    <x v="0"/>
    <x v="1"/>
    <s v="Lešná"/>
    <s v="Lešná, Vysoká 44, PSČ 75641"/>
    <s v="84250"/>
    <s v="Činnosti v oblasti protipožární ochrany"/>
    <m/>
    <m/>
    <m/>
    <m/>
    <m/>
    <m/>
    <m/>
    <m/>
    <m/>
    <m/>
    <m/>
    <m/>
    <m/>
    <m/>
    <m/>
    <m/>
    <m/>
  </r>
  <r>
    <s v="65822404"/>
    <s v="SH ČMS - Sbor dobrovolných hasičů Vysoké Pole"/>
    <s v="736"/>
    <x v="0"/>
    <x v="0"/>
    <s v="Vysoké Pole"/>
    <s v="Vysoké Pole 2, PSČ 76325"/>
    <s v="84250"/>
    <s v="Činnosti v oblasti protipožární ochrany"/>
    <m/>
    <m/>
    <m/>
    <m/>
    <m/>
    <m/>
    <m/>
    <m/>
    <m/>
    <m/>
    <m/>
    <m/>
    <m/>
    <m/>
    <m/>
    <m/>
    <m/>
  </r>
  <r>
    <s v="65793081"/>
    <s v="SH ČMS - Sbor dobrovolných hasičů Zádveřice"/>
    <s v="736"/>
    <x v="0"/>
    <x v="0"/>
    <s v="Zádveřice-Raková"/>
    <s v="Zádveřice-Raková, Zádveřice 399, PSČ 76312"/>
    <s v="84250"/>
    <s v="Činnosti v oblasti protipožární ochrany"/>
    <s v="Stravování v restauracích, u stánků a v mobilních zařízeních"/>
    <s v="Maloobchod s nápoji"/>
    <m/>
    <m/>
    <m/>
    <m/>
    <m/>
    <m/>
    <m/>
    <m/>
    <m/>
    <m/>
    <m/>
    <m/>
    <m/>
    <m/>
    <m/>
  </r>
  <r>
    <s v="65270223"/>
    <s v="SH ČMS - Sbor dobrovolných hasičů Záhlinice"/>
    <s v="736"/>
    <x v="0"/>
    <x v="3"/>
    <s v="Hulín"/>
    <s v="Hulín, Záhlinice 18, PSČ 76824"/>
    <s v="84250"/>
    <s v="Činnosti v oblasti protipožární ochrany"/>
    <m/>
    <m/>
    <m/>
    <m/>
    <m/>
    <m/>
    <m/>
    <m/>
    <m/>
    <m/>
    <m/>
    <m/>
    <m/>
    <m/>
    <m/>
    <m/>
    <m/>
  </r>
  <r>
    <s v="63414210"/>
    <s v="SH ČMS - Sbor dobrovolných hasičů Zahnašovice"/>
    <s v="736"/>
    <x v="0"/>
    <x v="3"/>
    <s v="Zahnašovice"/>
    <s v="Zahnašovice 19, PSČ 7690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5325362"/>
    <s v="SH ČMS - Sbor dobrovolných hasičů Záhorovice"/>
    <s v="736"/>
    <x v="0"/>
    <x v="2"/>
    <s v="Záhorovice"/>
    <s v="Záhorovice 382, PSČ 6877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007"/>
    <s v="SH ČMS - Sbor dobrovolných hasičů Záříčí"/>
    <s v="736"/>
    <x v="0"/>
    <x v="3"/>
    <s v="Záříčí"/>
    <s v="Záříčí 25, PSČ 76811"/>
    <s v="84250"/>
    <s v="Činnosti v oblasti protipožární ochrany"/>
    <s v="Výroba, obchod a služby neuvedené v přílohách 1 až 3 živnostenského zákona"/>
    <s v="Maloobchod s nápoji"/>
    <s v="Stravování v restauracích, u stánků a v mobilních zařízeních"/>
    <m/>
    <m/>
    <m/>
    <m/>
    <m/>
    <m/>
    <m/>
    <m/>
    <m/>
    <m/>
    <m/>
    <m/>
    <m/>
    <m/>
  </r>
  <r>
    <s v="63414520"/>
    <s v="SH ČMS - Sbor dobrovolných hasičů Zástřizly"/>
    <s v="736"/>
    <x v="0"/>
    <x v="3"/>
    <s v="Zástřizly"/>
    <s v="Zástřizly 6, PSČ 76805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469348"/>
    <s v="SH ČMS - Sbor dobrovolných hasičů Zašová"/>
    <s v="736"/>
    <x v="0"/>
    <x v="1"/>
    <s v="Zašová"/>
    <s v="Zašová 358, PSČ 75651"/>
    <s v="84250"/>
    <s v="Činnosti v oblasti protipožární ochrany"/>
    <s v="Maloobchod s nápoji"/>
    <s v="Stravování v restauracích, u stánků a v mobilních zařízeních"/>
    <m/>
    <m/>
    <m/>
    <m/>
    <m/>
    <m/>
    <m/>
    <m/>
    <m/>
    <m/>
    <m/>
    <m/>
    <m/>
    <m/>
    <m/>
  </r>
  <r>
    <s v="63414813"/>
    <s v="SH ČMS - Sbor dobrovolných hasičů Zborovice"/>
    <s v="736"/>
    <x v="0"/>
    <x v="3"/>
    <s v="Zborovice"/>
    <s v="Zborovice, Hlavní 37, PSČ 76832"/>
    <s v="84250"/>
    <s v="Činnosti v oblasti protipožární ochrany"/>
    <m/>
    <m/>
    <m/>
    <m/>
    <m/>
    <m/>
    <m/>
    <m/>
    <m/>
    <m/>
    <m/>
    <m/>
    <m/>
    <m/>
    <m/>
    <m/>
    <m/>
  </r>
  <r>
    <s v="63701723"/>
    <s v="SH ČMS - Sbor dobrovolných hasičů ZD Velké Karlovice"/>
    <s v="736"/>
    <x v="0"/>
    <x v="1"/>
    <s v="Velké Karlovice"/>
    <s v="Velké Karlovice 1, PSČ 75606"/>
    <s v="84250"/>
    <s v="Činnosti v oblasti protipožární ochrany"/>
    <m/>
    <m/>
    <m/>
    <m/>
    <m/>
    <m/>
    <m/>
    <m/>
    <m/>
    <m/>
    <m/>
    <m/>
    <m/>
    <m/>
    <m/>
    <m/>
    <m/>
  </r>
  <r>
    <s v="63701804"/>
    <s v="SH ČMS - Sbor dobrovolných hasičů Zděchov"/>
    <s v="736"/>
    <x v="0"/>
    <x v="1"/>
    <s v="Zděchov"/>
    <s v="Zděchov 175, PSČ 75607"/>
    <s v="84250"/>
    <s v="Činnosti v oblasti protipožární ochrany"/>
    <m/>
    <m/>
    <m/>
    <m/>
    <m/>
    <m/>
    <m/>
    <m/>
    <m/>
    <m/>
    <m/>
    <m/>
    <m/>
    <m/>
    <m/>
    <m/>
    <m/>
  </r>
  <r>
    <s v="63414759"/>
    <s v="SH ČMS - Sbor dobrovolných hasičů Zdislavice"/>
    <s v="736"/>
    <x v="0"/>
    <x v="3"/>
    <s v="Troubky-Zdislavice"/>
    <s v="Troubky-Zdislavice, Zdislavice 54, PSČ 7680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8829"/>
    <s v="SH ČMS - Sbor dobrovolných hasičů Zdounky"/>
    <s v="736"/>
    <x v="0"/>
    <x v="3"/>
    <s v="Zdounky"/>
    <s v="Zdounky, Zborovská 216, PSČ 7680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58870"/>
    <s v="SH ČMS - Sbor dobrovolných hasičů Zlámanka"/>
    <s v="736"/>
    <x v="0"/>
    <x v="3"/>
    <s v="Kroměříž"/>
    <s v="Kroměříž, Zlámanka 33, PSČ 76701"/>
    <s v="84250"/>
    <s v="Činnosti v oblasti protipožární ochrany"/>
    <m/>
    <m/>
    <m/>
    <m/>
    <m/>
    <m/>
    <m/>
    <m/>
    <m/>
    <m/>
    <m/>
    <m/>
    <m/>
    <m/>
    <m/>
    <m/>
    <m/>
  </r>
  <r>
    <s v="65324854"/>
    <s v="SH ČMS - Sbor dobrovolných hasičů Zlechov"/>
    <s v="736"/>
    <x v="0"/>
    <x v="2"/>
    <s v="Zlechov"/>
    <s v="Zlechov 19, PSČ 68710"/>
    <s v="84250"/>
    <s v="Činnosti v oblasti protipožární ochrany"/>
    <m/>
    <m/>
    <m/>
    <m/>
    <m/>
    <m/>
    <m/>
    <m/>
    <m/>
    <m/>
    <m/>
    <m/>
    <m/>
    <m/>
    <m/>
    <m/>
    <m/>
  </r>
  <r>
    <s v="65792505"/>
    <s v="SH ČMS - Sbor dobrovolných hasičů Zlín - Jaroslavice"/>
    <s v="736"/>
    <x v="0"/>
    <x v="0"/>
    <s v="Zlín"/>
    <s v="Zlín, Jaroslavice, Anenská 195, PSČ 76001"/>
    <s v="84250"/>
    <s v="Činnosti v oblasti protipožární ochrany"/>
    <s v="Výroba, obchod a služby neuvedené v přílohách 1 až 3 živnostenského zákona"/>
    <s v="Zprostředkování velkoobchodu a velkoobchod v zastoupení"/>
    <s v="Maloobchod s nápoji"/>
    <m/>
    <m/>
    <m/>
    <m/>
    <m/>
    <m/>
    <m/>
    <m/>
    <m/>
    <m/>
    <m/>
    <m/>
    <m/>
    <m/>
  </r>
  <r>
    <s v="68729537"/>
    <s v="SH ČMS - Sbor dobrovolných hasičů Zlín - Klečůvka"/>
    <s v="736"/>
    <x v="0"/>
    <x v="0"/>
    <s v="Zlín"/>
    <s v="Zlín, Klečůvka 16, PSČ 7631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561"/>
    <s v="SH ČMS - Sbor dobrovolných hasičů Zlín - Kostelec"/>
    <s v="736"/>
    <x v="0"/>
    <x v="0"/>
    <s v="Zlín"/>
    <s v="Zlín, Kostelec, Na Rusavě 271, PSČ 76314"/>
    <s v="84250"/>
    <s v="Činnosti v oblasti protipožární ochrany"/>
    <m/>
    <m/>
    <m/>
    <m/>
    <m/>
    <m/>
    <m/>
    <m/>
    <m/>
    <m/>
    <m/>
    <m/>
    <m/>
    <m/>
    <m/>
    <m/>
    <m/>
  </r>
  <r>
    <s v="65792599"/>
    <s v="SH ČMS - Sbor dobrovolných hasičů Zlín - Lhotka"/>
    <s v="736"/>
    <x v="0"/>
    <x v="0"/>
    <s v="Zlín"/>
    <s v="Zlín, Lhotka 89, PSČ 76302"/>
    <s v="84250"/>
    <s v="Činnosti v oblasti protipožární ochrany"/>
    <m/>
    <m/>
    <m/>
    <m/>
    <m/>
    <m/>
    <m/>
    <m/>
    <m/>
    <m/>
    <m/>
    <m/>
    <m/>
    <m/>
    <m/>
    <m/>
    <m/>
  </r>
  <r>
    <s v="65792408"/>
    <s v="SH ČMS - Sbor dobrovolných hasičů Zlín - Louky"/>
    <s v="736"/>
    <x v="0"/>
    <x v="0"/>
    <s v="Zlín"/>
    <s v="Zlín, Louky, Náves Louky 68, PSČ 76302"/>
    <s v="84250"/>
    <s v="Činnosti v oblasti protipožární ochrany"/>
    <m/>
    <m/>
    <m/>
    <m/>
    <m/>
    <m/>
    <m/>
    <m/>
    <m/>
    <m/>
    <m/>
    <m/>
    <m/>
    <m/>
    <m/>
    <m/>
    <m/>
  </r>
  <r>
    <s v="65822536"/>
    <s v="SH ČMS - Sbor dobrovolných hasičů Zlín - Lužkovice"/>
    <s v="736"/>
    <x v="0"/>
    <x v="0"/>
    <s v="Zlín"/>
    <s v="Zlín, Lužkovice, Na Gruntech 117, PSČ 76311"/>
    <s v="84250"/>
    <s v="Činnosti v oblasti protipožární ochrany"/>
    <m/>
    <m/>
    <m/>
    <m/>
    <m/>
    <m/>
    <m/>
    <m/>
    <m/>
    <m/>
    <m/>
    <m/>
    <m/>
    <m/>
    <m/>
    <m/>
    <m/>
  </r>
  <r>
    <s v="65792297"/>
    <s v="SH ČMS - Sbor dobrovolných hasičů Zlín - Malenovice"/>
    <s v="736"/>
    <x v="0"/>
    <x v="0"/>
    <s v="Zlín"/>
    <s v="Zlín, Malenovice, Zabrání 564, PSČ 7630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8729600"/>
    <s v="SH ČMS - Sbor dobrovolných hasičů Zlín - Mladcová"/>
    <s v="736"/>
    <x v="0"/>
    <x v="0"/>
    <s v="Zlín"/>
    <s v="Zlín, Mladcová, Návesní 418, PSČ 76001"/>
    <s v="84250"/>
    <s v="Činnosti v oblasti protipožární ochrany"/>
    <m/>
    <m/>
    <m/>
    <m/>
    <m/>
    <m/>
    <m/>
    <m/>
    <m/>
    <m/>
    <m/>
    <m/>
    <m/>
    <m/>
    <m/>
    <m/>
    <m/>
  </r>
  <r>
    <s v="65792211"/>
    <s v="SH ČMS - Sbor dobrovolných hasičů Zlín - Prštné"/>
    <s v="736"/>
    <x v="0"/>
    <x v="0"/>
    <s v="Zlín"/>
    <s v="Zlín, Prštné, Náves 636, PSČ 760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491"/>
    <s v="SH ČMS - Sbor dobrovolných hasičů Zlín - Salaš"/>
    <s v="736"/>
    <x v="0"/>
    <x v="0"/>
    <s v="Zlín"/>
    <s v="Zlín, Salaš 101, PSČ 76351"/>
    <s v="84250"/>
    <s v="Činnosti v oblasti protipožární ochrany"/>
    <m/>
    <m/>
    <m/>
    <m/>
    <m/>
    <m/>
    <m/>
    <m/>
    <m/>
    <m/>
    <m/>
    <m/>
    <m/>
    <m/>
    <m/>
    <m/>
    <m/>
  </r>
  <r>
    <s v="68729782"/>
    <s v="SH ČMS - Sbor dobrovolných hasičů Zlín - Štípa"/>
    <s v="736"/>
    <x v="0"/>
    <x v="0"/>
    <s v="Zlín"/>
    <s v="Zlín, Štípa, Za Dvorem 59, PSČ 7631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3013"/>
    <s v="SH ČMS - Sbor dobrovolných hasičů Zlín - Veliková"/>
    <s v="736"/>
    <x v="0"/>
    <x v="0"/>
    <s v="Zlín"/>
    <s v="Zlín, Velíková, Dolní konec 53, PSČ 76314"/>
    <s v="84250"/>
    <s v="Činnosti v oblasti protipožární ochrany"/>
    <m/>
    <m/>
    <m/>
    <m/>
    <m/>
    <m/>
    <m/>
    <m/>
    <m/>
    <m/>
    <m/>
    <m/>
    <m/>
    <m/>
    <m/>
    <m/>
    <m/>
  </r>
  <r>
    <s v="60383356"/>
    <s v="SH ČMS - Sbor dobrovolných hasičů Zlobice"/>
    <s v="736"/>
    <x v="0"/>
    <x v="3"/>
    <s v="Zlobice"/>
    <s v="Zlobice 77, PSČ 76831"/>
    <s v="84250"/>
    <s v="Činnosti v oblasti protipožární ochrany"/>
    <m/>
    <m/>
    <m/>
    <m/>
    <m/>
    <m/>
    <m/>
    <m/>
    <m/>
    <m/>
    <m/>
    <m/>
    <m/>
    <m/>
    <m/>
    <m/>
    <m/>
  </r>
  <r>
    <s v="44740522"/>
    <s v="SH ČMS - Sbor dobrovolných hasičů Zubří"/>
    <s v="736"/>
    <x v="0"/>
    <x v="1"/>
    <s v="Zubří"/>
    <s v="Zubří, Hlavní 771, PSČ 75654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0383330"/>
    <s v="SH ČMS - Sbor dobrovolných hasičů Žalkovice"/>
    <s v="736"/>
    <x v="0"/>
    <x v="3"/>
    <s v="Žalkovice"/>
    <s v="Žalkovice 97, PSČ 76823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7026541"/>
    <s v="SH ČMS - Sbor dobrovolných hasičů Želechovice - Paseky"/>
    <s v="736"/>
    <x v="0"/>
    <x v="0"/>
    <s v="Želechovice nad Dřevnicí"/>
    <s v="Želechovice nad Dřevnicí, Paseky 660, PSČ 7631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394"/>
    <s v="SH ČMS - Sbor dobrovolných hasičů Želechovice nad Dřevnicí"/>
    <s v="736"/>
    <x v="0"/>
    <x v="0"/>
    <s v="Želechovice nad Dřevnicí"/>
    <s v="Želechovice nad Dřevnicí, Podřevnická 405, PSČ 7631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023"/>
    <s v="SH ČMS - Sbor dobrovolných hasičů Žeranovice"/>
    <s v="736"/>
    <x v="0"/>
    <x v="3"/>
    <s v="Žeranovice"/>
    <s v="Žeranovice 204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5792564"/>
    <s v="SH ČMS - Sbor dobrovolných hasičů Žlutava"/>
    <s v="736"/>
    <x v="0"/>
    <x v="0"/>
    <s v="Žlutava"/>
    <s v="Žlutava 430, PSČ 7636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75067668"/>
    <s v="SH ČMS - Sbor dobrovolných hasičů Žopy"/>
    <s v="736"/>
    <x v="0"/>
    <x v="3"/>
    <s v="Holešov"/>
    <s v="Holešov, Žopy 63, PSČ 76901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63414805"/>
    <s v="SH ČMS -Sbor dobrovolných hasičů Těšánky"/>
    <s v="736"/>
    <x v="0"/>
    <x v="3"/>
    <s v="Zdounky"/>
    <s v="Zdounky, Těšánky 3, PSČ 76802"/>
    <s v="84250"/>
    <s v="Činnosti v oblasti protipožární ochrany"/>
    <s v="Výroba, obchod a služby neuvedené v přílohách 1 až 3 živnostenského zákona"/>
    <s v="Stravování v restauracích, u stánků a v mobilních zařízeních"/>
    <s v="Maloobchod s nápoji"/>
    <m/>
    <m/>
    <m/>
    <m/>
    <m/>
    <m/>
    <m/>
    <m/>
    <m/>
    <m/>
    <m/>
    <m/>
    <m/>
    <m/>
  </r>
  <r>
    <s v="06330169"/>
    <s v="Shanti, z. s."/>
    <s v="706"/>
    <x v="1"/>
    <x v="2"/>
    <s v="Vlčnov"/>
    <s v="Vlčnov 709, PSČ 68761"/>
    <s v="94999"/>
    <s v="Činnosti ostatních organizací j. n."/>
    <m/>
    <m/>
    <m/>
    <m/>
    <m/>
    <m/>
    <m/>
    <m/>
    <m/>
    <m/>
    <m/>
    <m/>
    <m/>
    <m/>
    <m/>
    <m/>
    <m/>
  </r>
  <r>
    <s v="67341373"/>
    <s v="SHIH - TZU klub EVROPA, z.s."/>
    <s v="706"/>
    <x v="1"/>
    <x v="1"/>
    <s v="Valašské Meziříčí"/>
    <s v="Valašské Meziříčí, Havlíčkova 868/23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22480"/>
    <s v="SHM Klub Fryšták, z. s."/>
    <s v="736"/>
    <x v="0"/>
    <x v="0"/>
    <s v="Fryšták"/>
    <s v="Fryšták, P. I. Stuchlého 26, PSČ 76316"/>
    <s v="94991"/>
    <s v="Činnosti organizací dětí a mládeže"/>
    <m/>
    <m/>
    <m/>
    <m/>
    <m/>
    <m/>
    <m/>
    <m/>
    <m/>
    <m/>
    <m/>
    <m/>
    <m/>
    <m/>
    <m/>
    <m/>
    <m/>
  </r>
  <r>
    <s v="65828101"/>
    <s v="SHM Klub Koryčany, z. s."/>
    <s v="736"/>
    <x v="0"/>
    <x v="3"/>
    <s v="Koryčany"/>
    <s v="Koryčany, Pivodova 813, PSČ 76805"/>
    <s v="94991"/>
    <s v="Činnosti organizací dětí a mládeže"/>
    <m/>
    <m/>
    <m/>
    <m/>
    <m/>
    <m/>
    <m/>
    <m/>
    <m/>
    <m/>
    <m/>
    <m/>
    <m/>
    <m/>
    <m/>
    <m/>
    <m/>
  </r>
  <r>
    <s v="70955107"/>
    <s v="SHM Klub Kroměříž, z. s."/>
    <s v="736"/>
    <x v="0"/>
    <x v="3"/>
    <s v="Kroměříž"/>
    <s v="Kroměříž, Dolnozahradská 2048/59, PSČ 76701"/>
    <s v="94991"/>
    <s v="Činnosti organizací dětí a mládeže"/>
    <m/>
    <m/>
    <m/>
    <m/>
    <m/>
    <m/>
    <m/>
    <m/>
    <m/>
    <m/>
    <m/>
    <m/>
    <m/>
    <m/>
    <m/>
    <m/>
    <m/>
  </r>
  <r>
    <s v="66184258"/>
    <s v="SHŠ CONDUCTI z.s."/>
    <s v="706"/>
    <x v="1"/>
    <x v="1"/>
    <s v="Kelč"/>
    <s v="Kelč 41, PSČ 75643"/>
    <s v="931"/>
    <s v="Sportovní činnosti"/>
    <m/>
    <m/>
    <m/>
    <m/>
    <m/>
    <m/>
    <m/>
    <m/>
    <m/>
    <m/>
    <m/>
    <m/>
    <m/>
    <m/>
    <m/>
    <m/>
    <m/>
  </r>
  <r>
    <s v="22829792"/>
    <s v="SHŠ Solutus, z.s."/>
    <s v="706"/>
    <x v="1"/>
    <x v="0"/>
    <s v="Zlín"/>
    <s v="Zlín, M. Knesla 401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601143"/>
    <s v="Side saddle club, z.s."/>
    <s v="706"/>
    <x v="1"/>
    <x v="3"/>
    <s v="Zdounky"/>
    <s v="Zdounky, Lebedov 108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61545"/>
    <s v="SIGA MTB TEAM"/>
    <s v="706"/>
    <x v="1"/>
    <x v="3"/>
    <s v="Holešov"/>
    <s v="Holešov, Všetuly, Slovenská 295, PSČ 76901"/>
    <s v="931"/>
    <s v="Sportovní činnosti"/>
    <m/>
    <m/>
    <m/>
    <m/>
    <m/>
    <m/>
    <m/>
    <m/>
    <m/>
    <m/>
    <m/>
    <m/>
    <m/>
    <m/>
    <m/>
    <m/>
    <m/>
  </r>
  <r>
    <s v="26635798"/>
    <s v="Signál"/>
    <s v="706"/>
    <x v="1"/>
    <x v="3"/>
    <s v="Lutopecny"/>
    <s v="Lutopecny 43, PSČ 767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335270"/>
    <s v="SINAPSIS - Institut aplikovaných psychosociálních studií z. s."/>
    <s v="706"/>
    <x v="1"/>
    <x v="1"/>
    <s v="Valašské Meziříčí"/>
    <s v="Valašské Meziříčí, Krásno nad Bečvou, Sklářská 646/4, PSČ 75701"/>
    <s v="72200"/>
    <s v="Výzkum a vývoj v oblasti společenských a humanitních věd"/>
    <s v="Ostatní vzdělávání"/>
    <s v="Činnosti ostatních organizací sdružujících osoby za účelem prosazování společných zájmů j. n."/>
    <m/>
    <m/>
    <m/>
    <m/>
    <m/>
    <m/>
    <m/>
    <m/>
    <m/>
    <m/>
    <m/>
    <m/>
    <m/>
    <m/>
    <m/>
  </r>
  <r>
    <s v="08950776"/>
    <s v="Singularisté Kostelec z.s."/>
    <s v="706"/>
    <x v="1"/>
    <x v="0"/>
    <s v="Zlín"/>
    <s v="Zlín, Kostelec, Zlínská 44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773581"/>
    <s v="Singularisté města Vsetína, spolek"/>
    <s v="706"/>
    <x v="1"/>
    <x v="1"/>
    <s v="Vsetín"/>
    <s v="Vsetín, Mostecká 367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118629"/>
    <s v="SINGULARISTÉ NEDAKONICE, spolek"/>
    <s v="706"/>
    <x v="1"/>
    <x v="2"/>
    <s v="Nedakonice"/>
    <s v="Nedakonice 33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467082"/>
    <s v="Singulární domkáři Vítová, z. s."/>
    <s v="706"/>
    <x v="1"/>
    <x v="0"/>
    <s v="Fryšták"/>
    <s v="Fryšták, Horní Ves, Osvobození III 244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956883"/>
    <s v="Singulární les Uh. Ostroh, z.s."/>
    <s v="706"/>
    <x v="1"/>
    <x v="2"/>
    <s v="Uherský Ostroh"/>
    <s v="Uherský Ostroh, Kostelní 184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515561"/>
    <s v="Singulární lesní spolek Hrobice, z.s."/>
    <s v="706"/>
    <x v="1"/>
    <x v="0"/>
    <s v="Hrobice"/>
    <s v="Hrobice 92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736"/>
    <s v="Singulární lesní spolek Štípa"/>
    <s v="706"/>
    <x v="1"/>
    <x v="0"/>
    <s v="Zlín"/>
    <s v="Zlín, Štípa, Velíkovská 142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3995"/>
    <s v="Singulární společnost Bratřejov z.s."/>
    <s v="706"/>
    <x v="1"/>
    <x v="0"/>
    <s v="Bratřejov"/>
    <s v="Bratřejov 226, PSČ 76312"/>
    <s v="9499"/>
    <s v="Činnosti ostatních organizací sdružujících osoby za účelem prosazování společných zájmů j. n."/>
    <s v="Rostlinná a živočišná výroba, myslivost a související činnosti"/>
    <m/>
    <m/>
    <m/>
    <m/>
    <m/>
    <m/>
    <m/>
    <m/>
    <m/>
    <m/>
    <m/>
    <m/>
    <m/>
    <m/>
    <m/>
    <m/>
  </r>
  <r>
    <s v="61716286"/>
    <s v="Singulární společnost Brumov, z.s."/>
    <s v="706"/>
    <x v="1"/>
    <x v="0"/>
    <s v="Brumov-Bylnice"/>
    <s v="Brumov-Bylnice, Brumov, Družba 1204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2255"/>
    <s v="Singulární společnost Bylnice"/>
    <s v="706"/>
    <x v="1"/>
    <x v="0"/>
    <s v="Brumov-Bylnice"/>
    <s v="Brumov-Bylnice, Bylnice, Mýto 181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71480"/>
    <s v="&quot;Singulární Společnost Jankovice, z.s.&quot;"/>
    <s v="706"/>
    <x v="1"/>
    <x v="2"/>
    <s v="Jankovice"/>
    <s v="Jankovice 15, PSČ 68704"/>
    <s v="02"/>
    <s v="Lesnictví a těžba dřeva"/>
    <m/>
    <m/>
    <m/>
    <m/>
    <m/>
    <m/>
    <m/>
    <m/>
    <m/>
    <m/>
    <m/>
    <m/>
    <m/>
    <m/>
    <m/>
    <m/>
    <m/>
  </r>
  <r>
    <s v="21540152"/>
    <s v="Singulární společnost Lhotsko, z.s."/>
    <s v="706"/>
    <x v="1"/>
    <x v="0"/>
    <s v="Lhotsko"/>
    <s v="Lhotsko 85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60480"/>
    <s v="Singulární společnost Nedašov - Salaš, z.s."/>
    <s v="706"/>
    <x v="1"/>
    <x v="0"/>
    <s v="Nedašov"/>
    <s v="Nedašov 370, PSČ 763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42131"/>
    <s v="Singulární společnost Petrůvka, spolek"/>
    <s v="706"/>
    <x v="1"/>
    <x v="0"/>
    <s v="Petrůvka"/>
    <s v="Petrůvka 90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1137"/>
    <s v="Singulární společnost Sehradice, z.s."/>
    <s v="706"/>
    <x v="1"/>
    <x v="0"/>
    <s v="Sehradice"/>
    <s v="Sehradice 64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745137"/>
    <s v="Singulární společnost Šanov, z.s."/>
    <s v="706"/>
    <x v="1"/>
    <x v="0"/>
    <s v="Šanov"/>
    <s v="Šanov 37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69957"/>
    <s v="Singulární společnost v Kostelanech nad Moravou z.s."/>
    <s v="706"/>
    <x v="1"/>
    <x v="2"/>
    <s v="Kostelany nad Moravou"/>
    <s v="Kostelany nad Moravou 26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5862"/>
    <s v="Singulární společnost v Polešovicích, spolek"/>
    <s v="706"/>
    <x v="1"/>
    <x v="2"/>
    <s v="Polešovice"/>
    <s v="Polešovice 242, PSČ 68737"/>
    <s v="02400"/>
    <s v="Podpůrné činnosti pro lesnictví"/>
    <m/>
    <m/>
    <m/>
    <m/>
    <m/>
    <m/>
    <m/>
    <m/>
    <m/>
    <m/>
    <m/>
    <m/>
    <m/>
    <m/>
    <m/>
    <m/>
    <m/>
  </r>
  <r>
    <s v="46277382"/>
    <s v="Singulární společnost Zádveřice, z.s."/>
    <s v="706"/>
    <x v="1"/>
    <x v="0"/>
    <s v="Zádveřice-Raková"/>
    <s v="Zádveřice-Raková, Zádveřice 399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722544"/>
    <s v="Singulární společnost Zlámanec, z.s."/>
    <s v="706"/>
    <x v="1"/>
    <x v="2"/>
    <s v="Zlámanec"/>
    <s v="Zlámanec 95, PSČ 68712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60370203"/>
    <s v="Singulární společnost Zlechov - Tupesy"/>
    <s v="706"/>
    <x v="1"/>
    <x v="2"/>
    <s v="Zlechov"/>
    <s v="Tupesy č.12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2328"/>
    <s v="Singulární spolek č. 1 Kladná Žilín"/>
    <s v="706"/>
    <x v="1"/>
    <x v="0"/>
    <s v="Luhačovice"/>
    <s v="Luhačovice, Kladná Žilín 3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956531"/>
    <s v="Singulární spolek Částkov"/>
    <s v="706"/>
    <x v="1"/>
    <x v="2"/>
    <s v="Částkov"/>
    <s v="Částkov 17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467058"/>
    <s v="Singulární spolek domkářů Horní Ves, z. s."/>
    <s v="706"/>
    <x v="1"/>
    <x v="0"/>
    <s v="Fryšták"/>
    <s v="Fryšták, Horní Ves, Hornoveská 49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6677"/>
    <s v="Singulární spolek Horní Rozpité"/>
    <s v="706"/>
    <x v="1"/>
    <x v="1"/>
    <s v="Dolní Bečva"/>
    <s v="Dolní Bečva 340, PSČ 7565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2883"/>
    <s v="Singulární spolek Kladná Žilín č. 2"/>
    <s v="706"/>
    <x v="1"/>
    <x v="0"/>
    <s v="Luhačovice"/>
    <s v="Luhačovice, Kladná Žilín 120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3421"/>
    <s v="SINGULÁRNÍ SPOLEK KOŠÍKY"/>
    <s v="706"/>
    <x v="1"/>
    <x v="2"/>
    <s v="Košíky"/>
    <s v="Košíky 225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0461"/>
    <s v="Singulární spolek Ludkovice"/>
    <s v="706"/>
    <x v="1"/>
    <x v="0"/>
    <s v="Ludkovice"/>
    <s v="Ludkovice 44, PSČ 76341"/>
    <s v="02"/>
    <s v="Lesnictví a těžba dřeva"/>
    <m/>
    <m/>
    <m/>
    <m/>
    <m/>
    <m/>
    <m/>
    <m/>
    <m/>
    <m/>
    <m/>
    <m/>
    <m/>
    <m/>
    <m/>
    <m/>
    <m/>
  </r>
  <r>
    <s v="48472077"/>
    <s v="Singulární spolek Luhačovice, z.s."/>
    <s v="706"/>
    <x v="1"/>
    <x v="0"/>
    <s v="Luhačovice"/>
    <s v="Luhačovice, Masarykova 68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56555"/>
    <s v="Singulární spolek Nedachlebice"/>
    <s v="706"/>
    <x v="1"/>
    <x v="2"/>
    <s v="Nedachlebice"/>
    <s v="Nedachlebice 250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5951"/>
    <s v="Singulární spolek Prakšice"/>
    <s v="706"/>
    <x v="1"/>
    <x v="2"/>
    <s v="Prakšice"/>
    <s v="Prakšice 4, PSČ 687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1534"/>
    <s v="Singulární spolek Řetechov - Pradlisko z.s."/>
    <s v="706"/>
    <x v="1"/>
    <x v="0"/>
    <s v="Luhačovice"/>
    <s v="Luhačovice, Řetechov 48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1874"/>
    <s v="Singulární spolek Smolina"/>
    <s v="706"/>
    <x v="1"/>
    <x v="0"/>
    <s v="Valašské Klobouky"/>
    <s v="Valašské Klobouky, Smolina 19, PSČ 76601"/>
    <s v="02"/>
    <s v="Lesnictví a těžba dřeva"/>
    <m/>
    <m/>
    <m/>
    <m/>
    <m/>
    <m/>
    <m/>
    <m/>
    <m/>
    <m/>
    <m/>
    <m/>
    <m/>
    <m/>
    <m/>
    <m/>
    <m/>
  </r>
  <r>
    <s v="22905103"/>
    <s v="Singulární spolek SNOZ, z.s."/>
    <s v="706"/>
    <x v="1"/>
    <x v="1"/>
    <s v="Prostřední Bečva"/>
    <s v="Prostřední Bečva 630, PSČ 756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28801"/>
    <s v="Singulární spolek Vysoké Pole"/>
    <s v="706"/>
    <x v="1"/>
    <x v="0"/>
    <s v="Vysoké Pole"/>
    <s v="Vysoké Pole 118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91403"/>
    <s v="Singulární spolek Záhorovice"/>
    <s v="706"/>
    <x v="1"/>
    <x v="2"/>
    <s v="Záhorovice"/>
    <s v="Záhorovice 391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4233"/>
    <s v="SK Aerobik Valašské Klobouky, o.s."/>
    <s v="706"/>
    <x v="1"/>
    <x v="0"/>
    <s v="Valašské Klobouky"/>
    <s v="Valašské Klobouky, Luční 903, PSČ 76601"/>
    <s v="93110"/>
    <s v="Provozování sportovních zařízení"/>
    <m/>
    <m/>
    <m/>
    <m/>
    <m/>
    <m/>
    <m/>
    <m/>
    <m/>
    <m/>
    <m/>
    <m/>
    <m/>
    <m/>
    <m/>
    <m/>
    <m/>
  </r>
  <r>
    <s v="26990083"/>
    <s v="SK Allmetal Martinice z.s."/>
    <s v="706"/>
    <x v="1"/>
    <x v="3"/>
    <s v="Martinice"/>
    <s v="Martinice 124, PSČ 76901"/>
    <s v="93110"/>
    <s v="Provozování sportovních zařízení"/>
    <m/>
    <m/>
    <m/>
    <m/>
    <m/>
    <m/>
    <m/>
    <m/>
    <m/>
    <m/>
    <m/>
    <m/>
    <m/>
    <m/>
    <m/>
    <m/>
    <m/>
  </r>
  <r>
    <s v="18559808"/>
    <s v="SK ARNOLD CLUB Otrokovice, z.s."/>
    <s v="706"/>
    <x v="1"/>
    <x v="0"/>
    <s v="Otrokovice"/>
    <s v="Otrokovice, Sport. areál TJ Jiskra 1297, PSČ 76502"/>
    <s v="93110"/>
    <s v="Provozování sportovních zařízení"/>
    <m/>
    <m/>
    <m/>
    <m/>
    <m/>
    <m/>
    <m/>
    <m/>
    <m/>
    <m/>
    <m/>
    <m/>
    <m/>
    <m/>
    <m/>
    <m/>
    <m/>
  </r>
  <r>
    <s v="86771051"/>
    <s v="SK AVEX ZLÍN, z.s."/>
    <s v="706"/>
    <x v="1"/>
    <x v="0"/>
    <s v="Zlín"/>
    <s v="Zlín, Smetanova 2401, PSČ 76001"/>
    <s v="931"/>
    <s v="Sportovní činnosti"/>
    <m/>
    <m/>
    <m/>
    <m/>
    <m/>
    <m/>
    <m/>
    <m/>
    <m/>
    <m/>
    <m/>
    <m/>
    <m/>
    <m/>
    <m/>
    <m/>
    <m/>
  </r>
  <r>
    <s v="22674535"/>
    <s v="SK Badminton Vsetín, z.s."/>
    <s v="706"/>
    <x v="1"/>
    <x v="1"/>
    <s v="Vsetín"/>
    <s v="Vsetín, Semetín 874, PSČ 75501"/>
    <s v="93110"/>
    <s v="Provozování sportovních zařízení"/>
    <m/>
    <m/>
    <m/>
    <m/>
    <m/>
    <m/>
    <m/>
    <m/>
    <m/>
    <m/>
    <m/>
    <m/>
    <m/>
    <m/>
    <m/>
    <m/>
    <m/>
  </r>
  <r>
    <s v="22769285"/>
    <s v="SK Baťov 1930 z.s."/>
    <s v="706"/>
    <x v="1"/>
    <x v="0"/>
    <s v="Otrokovice"/>
    <s v="Otrokovice, Erbenova 1891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91074"/>
    <s v="SK Blizzard Vsetín, z.s."/>
    <s v="706"/>
    <x v="1"/>
    <x v="1"/>
    <s v="Vsetín"/>
    <s v="Vsetín, Mostecká 130, PSČ 75501"/>
    <s v="931"/>
    <s v="Sportovní činnosti"/>
    <m/>
    <m/>
    <m/>
    <m/>
    <m/>
    <m/>
    <m/>
    <m/>
    <m/>
    <m/>
    <m/>
    <m/>
    <m/>
    <m/>
    <m/>
    <m/>
    <m/>
  </r>
  <r>
    <s v="27005216"/>
    <s v="SK Bohuslavice nad Vláří, z.s."/>
    <s v="706"/>
    <x v="1"/>
    <x v="0"/>
    <s v="Bohuslavice nad Vláří"/>
    <s v="Bohuslavice nad Vláří 138, PSČ 76321"/>
    <s v="93110"/>
    <s v="Provozování sportovních zařízení"/>
    <m/>
    <m/>
    <m/>
    <m/>
    <m/>
    <m/>
    <m/>
    <m/>
    <m/>
    <m/>
    <m/>
    <m/>
    <m/>
    <m/>
    <m/>
    <m/>
    <m/>
  </r>
  <r>
    <s v="61704148"/>
    <s v="SK Boršice, z.s."/>
    <s v="706"/>
    <x v="1"/>
    <x v="2"/>
    <s v="Boršice"/>
    <s v="Boršice 497, PSČ 68709"/>
    <s v="93110"/>
    <s v="Provozování sportovních zařízení"/>
    <m/>
    <m/>
    <m/>
    <m/>
    <m/>
    <m/>
    <m/>
    <m/>
    <m/>
    <m/>
    <m/>
    <m/>
    <m/>
    <m/>
    <m/>
    <m/>
    <m/>
  </r>
  <r>
    <s v="48491993"/>
    <s v="SK Březolupy, z.s."/>
    <s v="706"/>
    <x v="1"/>
    <x v="2"/>
    <s v="Březolupy"/>
    <s v="Březolupy 630, PSČ 68713"/>
    <s v="93110"/>
    <s v="Provozování sportovních zařízení"/>
    <m/>
    <m/>
    <m/>
    <m/>
    <m/>
    <m/>
    <m/>
    <m/>
    <m/>
    <m/>
    <m/>
    <m/>
    <m/>
    <m/>
    <m/>
    <m/>
    <m/>
  </r>
  <r>
    <s v="27027643"/>
    <s v="SK Březová"/>
    <s v="706"/>
    <x v="1"/>
    <x v="2"/>
    <s v="Březová"/>
    <s v="Březová 102, PSČ 68767"/>
    <s v="93110"/>
    <s v="Provozování sportovních zařízení"/>
    <m/>
    <m/>
    <m/>
    <m/>
    <m/>
    <m/>
    <m/>
    <m/>
    <m/>
    <m/>
    <m/>
    <m/>
    <m/>
    <m/>
    <m/>
    <m/>
    <m/>
  </r>
  <r>
    <s v="65842227"/>
    <s v="SK Březůvky, z. s."/>
    <s v="706"/>
    <x v="1"/>
    <x v="0"/>
    <s v="Březůvky"/>
    <s v="Březůvky 76, PSČ 76345"/>
    <s v="93110"/>
    <s v="Provozování sportovních zařízení"/>
    <m/>
    <m/>
    <m/>
    <m/>
    <m/>
    <m/>
    <m/>
    <m/>
    <m/>
    <m/>
    <m/>
    <m/>
    <m/>
    <m/>
    <m/>
    <m/>
    <m/>
  </r>
  <r>
    <s v="22742611"/>
    <s v="SK BUH, z. s."/>
    <s v="706"/>
    <x v="1"/>
    <x v="2"/>
    <s v="Staré Město"/>
    <s v="Staré Město, Michalská 1695, PSČ 68603"/>
    <s v="93120"/>
    <s v="Činnosti sportovních klubů"/>
    <m/>
    <m/>
    <m/>
    <m/>
    <m/>
    <m/>
    <m/>
    <m/>
    <m/>
    <m/>
    <m/>
    <m/>
    <m/>
    <m/>
    <m/>
    <m/>
    <m/>
  </r>
  <r>
    <s v="27017125"/>
    <s v="SK BUMERANG, z.s."/>
    <s v="706"/>
    <x v="1"/>
    <x v="2"/>
    <s v="Uherské Hradiště"/>
    <s v="Uherské Hradiště, Prokopa Holého 741, PSČ 68606"/>
    <s v="93110"/>
    <s v="Provozování sportovních zařízení"/>
    <m/>
    <m/>
    <m/>
    <m/>
    <m/>
    <m/>
    <m/>
    <m/>
    <m/>
    <m/>
    <m/>
    <m/>
    <m/>
    <m/>
    <m/>
    <m/>
    <m/>
  </r>
  <r>
    <s v="70855161"/>
    <s v="SK BURE HULÍN, z.s."/>
    <s v="706"/>
    <x v="1"/>
    <x v="3"/>
    <s v="Hulín"/>
    <s v="Hulín, Višňovce 1291, PSČ 76824"/>
    <s v="931"/>
    <s v="Sportovní činnosti"/>
    <m/>
    <m/>
    <m/>
    <m/>
    <m/>
    <m/>
    <m/>
    <m/>
    <m/>
    <m/>
    <m/>
    <m/>
    <m/>
    <m/>
    <m/>
    <m/>
    <m/>
  </r>
  <r>
    <s v="18810730"/>
    <s v="SK Bylnice, z.s."/>
    <s v="706"/>
    <x v="1"/>
    <x v="0"/>
    <s v="Brumov-Bylnice"/>
    <s v="Brumov-Bylnice, Bylnice, Mýto 44, PSČ 76331"/>
    <s v="93120"/>
    <s v="Činnosti sportovních klubů"/>
    <m/>
    <m/>
    <m/>
    <m/>
    <m/>
    <m/>
    <m/>
    <m/>
    <m/>
    <m/>
    <m/>
    <m/>
    <m/>
    <m/>
    <m/>
    <m/>
    <m/>
  </r>
  <r>
    <s v="26647800"/>
    <s v="SK DIVESTAR"/>
    <s v="706"/>
    <x v="1"/>
    <x v="0"/>
    <s v="Zlín"/>
    <s v="Zlín, Prštné, Svat. Čecha 302, PSČ 76001"/>
    <s v="93110"/>
    <s v="Provozování sportovních zařízení"/>
    <m/>
    <m/>
    <m/>
    <m/>
    <m/>
    <m/>
    <m/>
    <m/>
    <m/>
    <m/>
    <m/>
    <m/>
    <m/>
    <m/>
    <m/>
    <m/>
    <m/>
  </r>
  <r>
    <s v="70233586"/>
    <s v="SK Dynamo Mikulůvka, spolek"/>
    <s v="706"/>
    <x v="1"/>
    <x v="1"/>
    <s v="Mikulůvka"/>
    <s v="Mikulůvka 135, PSČ 75624"/>
    <s v="931"/>
    <s v="Sportovní činnosti"/>
    <m/>
    <m/>
    <m/>
    <m/>
    <m/>
    <m/>
    <m/>
    <m/>
    <m/>
    <m/>
    <m/>
    <m/>
    <m/>
    <m/>
    <m/>
    <m/>
    <m/>
  </r>
  <r>
    <s v="22878831"/>
    <s v="SK Haná o. s."/>
    <s v="706"/>
    <x v="1"/>
    <x v="3"/>
    <s v="Hulín"/>
    <s v="Hulín, Kroměřížská 134, PSČ 76824"/>
    <s v="93120"/>
    <s v="Činnosti sportovních klubů"/>
    <m/>
    <m/>
    <m/>
    <m/>
    <m/>
    <m/>
    <m/>
    <m/>
    <m/>
    <m/>
    <m/>
    <m/>
    <m/>
    <m/>
    <m/>
    <m/>
    <m/>
  </r>
  <r>
    <s v="63458683"/>
    <s v="SK Haná Záříčí z.s."/>
    <s v="706"/>
    <x v="1"/>
    <x v="3"/>
    <s v="Chropyně"/>
    <s v="Chropyně, Moravská 618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89172"/>
    <s v="SK Hanácká Slavia Kroměříž, z.s."/>
    <s v="706"/>
    <x v="1"/>
    <x v="3"/>
    <s v="Kroměříž"/>
    <s v="Kroměříž, Obvodová 3607/19, PSČ 76701"/>
    <s v="931"/>
    <s v="Sportovní činnosti"/>
    <m/>
    <m/>
    <m/>
    <m/>
    <m/>
    <m/>
    <m/>
    <m/>
    <m/>
    <m/>
    <m/>
    <m/>
    <m/>
    <m/>
    <m/>
    <m/>
    <m/>
  </r>
  <r>
    <s v="26538121"/>
    <s v="SK Holešov z.s."/>
    <s v="706"/>
    <x v="1"/>
    <x v="3"/>
    <s v="Holešov"/>
    <s v="Holešov, Palackého 501/40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07346"/>
    <s v="SK Horní Lhota, z.s."/>
    <s v="706"/>
    <x v="1"/>
    <x v="0"/>
    <s v="Horní Lhota"/>
    <s v="Horní Lhota 181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82145"/>
    <s v="SK Hostišová z. s."/>
    <s v="706"/>
    <x v="1"/>
    <x v="0"/>
    <s v="Hostišová"/>
    <s v="Hostišová, Hostišová - Horňák 100, PSČ 76301"/>
    <s v="93120"/>
    <s v="Činnosti sportovních klubů"/>
    <m/>
    <m/>
    <m/>
    <m/>
    <m/>
    <m/>
    <m/>
    <m/>
    <m/>
    <m/>
    <m/>
    <m/>
    <m/>
    <m/>
    <m/>
    <m/>
    <m/>
  </r>
  <r>
    <s v="68898525"/>
    <s v="SK Hrachovec, z.s."/>
    <s v="706"/>
    <x v="1"/>
    <x v="1"/>
    <s v="Valašské Meziříčí"/>
    <s v="Valašské Meziříčí, Hrachovec 217, PSČ 75701"/>
    <s v="931"/>
    <s v="Sportovní činnosti"/>
    <m/>
    <m/>
    <m/>
    <m/>
    <m/>
    <m/>
    <m/>
    <m/>
    <m/>
    <m/>
    <m/>
    <m/>
    <m/>
    <m/>
    <m/>
    <m/>
    <m/>
  </r>
  <r>
    <s v="48473782"/>
    <s v="SK Hvozdná, z.s."/>
    <s v="706"/>
    <x v="1"/>
    <x v="0"/>
    <s v="Hvozdná"/>
    <s v="Hvozdná, Osmek 444, PSČ 76310"/>
    <s v="931"/>
    <s v="Sportovní činnosti"/>
    <m/>
    <m/>
    <m/>
    <m/>
    <m/>
    <m/>
    <m/>
    <m/>
    <m/>
    <m/>
    <m/>
    <m/>
    <m/>
    <m/>
    <m/>
    <m/>
    <m/>
  </r>
  <r>
    <s v="06332901"/>
    <s v="SK IDSC ZLÍN, z.s."/>
    <s v="706"/>
    <x v="1"/>
    <x v="0"/>
    <s v="Zlín"/>
    <s v="Zlín, Borová 6449, PSČ 76001"/>
    <s v="93120"/>
    <s v="Činnosti sportovních klubů"/>
    <m/>
    <m/>
    <m/>
    <m/>
    <m/>
    <m/>
    <m/>
    <m/>
    <m/>
    <m/>
    <m/>
    <m/>
    <m/>
    <m/>
    <m/>
    <m/>
    <m/>
  </r>
  <r>
    <s v="61704199"/>
    <s v="SK Jalubí, z. s."/>
    <s v="706"/>
    <x v="1"/>
    <x v="2"/>
    <s v="Jalubí"/>
    <s v="Jalubí 240, PSČ 68705"/>
    <s v="93110"/>
    <s v="Provozování sportovních zařízení"/>
    <m/>
    <m/>
    <m/>
    <m/>
    <m/>
    <m/>
    <m/>
    <m/>
    <m/>
    <m/>
    <m/>
    <m/>
    <m/>
    <m/>
    <m/>
    <m/>
    <m/>
  </r>
  <r>
    <s v="22745041"/>
    <s v="SK Jasenický ďolíček"/>
    <s v="706"/>
    <x v="1"/>
    <x v="1"/>
    <s v="Vsetín"/>
    <s v="Vsetín, U Hřiště 1231, PSČ 75501"/>
    <s v="93120"/>
    <s v="Činnosti sportovních klubů"/>
    <m/>
    <m/>
    <m/>
    <m/>
    <m/>
    <m/>
    <m/>
    <m/>
    <m/>
    <m/>
    <m/>
    <m/>
    <m/>
    <m/>
    <m/>
    <m/>
    <m/>
  </r>
  <r>
    <s v="67008569"/>
    <s v="SK Jasenná, z.s."/>
    <s v="706"/>
    <x v="1"/>
    <x v="0"/>
    <s v="Jasenná"/>
    <s v="Jasenná 190, PSČ 76313"/>
    <s v="931"/>
    <s v="Sportovní činnosti"/>
    <m/>
    <m/>
    <m/>
    <m/>
    <m/>
    <m/>
    <m/>
    <m/>
    <m/>
    <m/>
    <m/>
    <m/>
    <m/>
    <m/>
    <m/>
    <m/>
    <m/>
  </r>
  <r>
    <s v="07650779"/>
    <s v="SK JF3 Zlín, z. s."/>
    <s v="706"/>
    <x v="1"/>
    <x v="0"/>
    <s v="Zlín"/>
    <s v="Zlín, Budovatelská 4796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299631"/>
    <s v="SK Kanoevalmez, z.s."/>
    <s v="706"/>
    <x v="1"/>
    <x v="1"/>
    <s v="Valašské Meziříčí"/>
    <s v="Valašské Meziříčí, Krásno nad Bečvou, Nádražní 108, PSČ 75701"/>
    <s v="93120"/>
    <s v="Činnosti sportovních klubů"/>
    <m/>
    <m/>
    <m/>
    <m/>
    <m/>
    <m/>
    <m/>
    <m/>
    <m/>
    <m/>
    <m/>
    <m/>
    <m/>
    <m/>
    <m/>
    <m/>
    <m/>
  </r>
  <r>
    <s v="64438261"/>
    <s v="SK Karolín, z.s."/>
    <s v="706"/>
    <x v="1"/>
    <x v="3"/>
    <s v="Karolín"/>
    <s v="Karolín 4, PSČ 76821"/>
    <s v="93120"/>
    <s v="Činnosti sportovních klubů"/>
    <m/>
    <m/>
    <m/>
    <m/>
    <m/>
    <m/>
    <m/>
    <m/>
    <m/>
    <m/>
    <m/>
    <m/>
    <m/>
    <m/>
    <m/>
    <m/>
    <m/>
  </r>
  <r>
    <s v="22888276"/>
    <s v="SK KO ZLÍN, spolek"/>
    <s v="706"/>
    <x v="1"/>
    <x v="0"/>
    <s v="Zlín"/>
    <s v="Zlín, náměstí Práce 2512, PSČ 76001"/>
    <s v="93120"/>
    <s v="Činnosti sportovních klubů"/>
    <m/>
    <m/>
    <m/>
    <m/>
    <m/>
    <m/>
    <m/>
    <m/>
    <m/>
    <m/>
    <m/>
    <m/>
    <m/>
    <m/>
    <m/>
    <m/>
    <m/>
  </r>
  <r>
    <s v="23207043"/>
    <s v="SK Kostelany z.s."/>
    <s v="706"/>
    <x v="1"/>
    <x v="3"/>
    <s v="Kostelany"/>
    <s v="Kostelany 36, PSČ 76701"/>
    <s v="93120"/>
    <s v="Činnosti sportovních klubů"/>
    <m/>
    <m/>
    <m/>
    <m/>
    <m/>
    <m/>
    <m/>
    <m/>
    <m/>
    <m/>
    <m/>
    <m/>
    <m/>
    <m/>
    <m/>
    <m/>
    <m/>
  </r>
  <r>
    <s v="22668381"/>
    <s v="SK Kraso Uh. Hradiště, z.s."/>
    <s v="706"/>
    <x v="1"/>
    <x v="2"/>
    <s v="Uherské Hradiště"/>
    <s v="Uherské Hradiště, Rybárny, Luční 165, PSČ 68601"/>
    <s v="93120"/>
    <s v="Činnosti sportovních klubů"/>
    <m/>
    <m/>
    <m/>
    <m/>
    <m/>
    <m/>
    <m/>
    <m/>
    <m/>
    <m/>
    <m/>
    <m/>
    <m/>
    <m/>
    <m/>
    <m/>
    <m/>
  </r>
  <r>
    <s v="71179275"/>
    <s v="SK Kvasice"/>
    <s v="736"/>
    <x v="0"/>
    <x v="3"/>
    <s v="Kvasice"/>
    <s v="Kvasice, Družstevní 593, PSČ 76821"/>
    <s v="931"/>
    <s v="Sportovní činnosti"/>
    <m/>
    <m/>
    <m/>
    <m/>
    <m/>
    <m/>
    <m/>
    <m/>
    <m/>
    <m/>
    <m/>
    <m/>
    <m/>
    <m/>
    <m/>
    <m/>
    <m/>
  </r>
  <r>
    <s v="47934123"/>
    <s v="SK Kyselovice, z.s."/>
    <s v="706"/>
    <x v="1"/>
    <x v="3"/>
    <s v="Kyselovice"/>
    <s v="Kyselovice 35, PSČ 76811"/>
    <s v="93120"/>
    <s v="Činnosti sportovních klubů"/>
    <m/>
    <m/>
    <m/>
    <m/>
    <m/>
    <m/>
    <m/>
    <m/>
    <m/>
    <m/>
    <m/>
    <m/>
    <m/>
    <m/>
    <m/>
    <m/>
    <m/>
  </r>
  <r>
    <s v="02058740"/>
    <s v="SK Letná, 1944, o.s."/>
    <s v="706"/>
    <x v="1"/>
    <x v="0"/>
    <s v="Zlín"/>
    <s v="Zlín, Pod Rozhlednou 188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898690"/>
    <s v="SK Lidečko, z.s."/>
    <s v="706"/>
    <x v="1"/>
    <x v="1"/>
    <s v="Lidečko"/>
    <s v="Lidečko 16, PSČ 75612"/>
    <s v="931"/>
    <s v="Sportovní činnosti"/>
    <m/>
    <m/>
    <m/>
    <m/>
    <m/>
    <m/>
    <m/>
    <m/>
    <m/>
    <m/>
    <m/>
    <m/>
    <m/>
    <m/>
    <m/>
    <m/>
    <m/>
  </r>
  <r>
    <s v="44125941"/>
    <s v="SK Loučka, z.s."/>
    <s v="706"/>
    <x v="1"/>
    <x v="0"/>
    <s v="Loučka"/>
    <s v="Loučka 141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005369"/>
    <s v="SK Louky, z.s."/>
    <s v="706"/>
    <x v="1"/>
    <x v="0"/>
    <s v="Zlín"/>
    <s v="Zlín, Louky, U Dřevnice 250, PSČ 76302"/>
    <s v="93110"/>
    <s v="Provozování sportovních zařízení"/>
    <m/>
    <m/>
    <m/>
    <m/>
    <m/>
    <m/>
    <m/>
    <m/>
    <m/>
    <m/>
    <m/>
    <m/>
    <m/>
    <m/>
    <m/>
    <m/>
    <m/>
  </r>
  <r>
    <s v="26617366"/>
    <s v="SK LUKOSTŘELBA MODRÁ"/>
    <s v="706"/>
    <x v="1"/>
    <x v="2"/>
    <s v="Modrá"/>
    <s v="Modrá 170, PSČ 68706"/>
    <s v="93110"/>
    <s v="Provozování sportovních zařízení"/>
    <m/>
    <m/>
    <m/>
    <m/>
    <m/>
    <m/>
    <m/>
    <m/>
    <m/>
    <m/>
    <m/>
    <m/>
    <m/>
    <m/>
    <m/>
    <m/>
    <m/>
  </r>
  <r>
    <s v="68731281"/>
    <s v="SK Lyžařský klub Trnava z.s."/>
    <s v="706"/>
    <x v="1"/>
    <x v="0"/>
    <s v="Trnava"/>
    <s v="Trnava 153, PSČ 76318"/>
    <s v="93110"/>
    <s v="Provozování sportovních zařízení"/>
    <m/>
    <m/>
    <m/>
    <m/>
    <m/>
    <m/>
    <m/>
    <m/>
    <m/>
    <m/>
    <m/>
    <m/>
    <m/>
    <m/>
    <m/>
    <m/>
    <m/>
  </r>
  <r>
    <s v="61704431"/>
    <s v="SK Mařatice z.s."/>
    <s v="706"/>
    <x v="1"/>
    <x v="2"/>
    <s v="Uherské Hradiště"/>
    <s v="Uherské Hradiště, Mařatice, Větrná 1524, PSČ 68605"/>
    <s v="93110"/>
    <s v="Provozování sportovních zařízení"/>
    <m/>
    <m/>
    <m/>
    <m/>
    <m/>
    <m/>
    <m/>
    <m/>
    <m/>
    <m/>
    <m/>
    <m/>
    <m/>
    <m/>
    <m/>
    <m/>
    <m/>
  </r>
  <r>
    <s v="62180789"/>
    <s v="SK MAXI"/>
    <s v="706"/>
    <x v="1"/>
    <x v="0"/>
    <s v="Zlín"/>
    <s v="Zlín, Nad Vývozem 5127, PSČ 76005"/>
    <s v="93120"/>
    <s v="Činnosti sportovních klubů"/>
    <m/>
    <m/>
    <m/>
    <m/>
    <m/>
    <m/>
    <m/>
    <m/>
    <m/>
    <m/>
    <m/>
    <m/>
    <m/>
    <m/>
    <m/>
    <m/>
    <m/>
  </r>
  <r>
    <s v="26632411"/>
    <s v="SK Míkovice"/>
    <s v="706"/>
    <x v="1"/>
    <x v="2"/>
    <s v="Kunovice"/>
    <s v="Kunovice, Na Drahách 881, PSČ 68604"/>
    <s v="93110"/>
    <s v="Provozování sportovních zařízení"/>
    <m/>
    <m/>
    <m/>
    <m/>
    <m/>
    <m/>
    <m/>
    <m/>
    <m/>
    <m/>
    <m/>
    <m/>
    <m/>
    <m/>
    <m/>
    <m/>
    <m/>
  </r>
  <r>
    <s v="15549739"/>
    <s v="SK Miloňová, z. s."/>
    <s v="706"/>
    <x v="1"/>
    <x v="1"/>
    <s v="Velké Karlovice"/>
    <s v="Velké Karlovice č. ev. 18, PSČ 75606"/>
    <s v="931"/>
    <s v="Sportovní činnosti"/>
    <s v="Stravování v restauracích, u stánků a v mobilních zařízeních"/>
    <m/>
    <m/>
    <m/>
    <m/>
    <m/>
    <m/>
    <m/>
    <m/>
    <m/>
    <m/>
    <m/>
    <m/>
    <m/>
    <m/>
    <m/>
    <m/>
  </r>
  <r>
    <s v="18189989"/>
    <s v="SK Morava,  z.s."/>
    <s v="706"/>
    <x v="1"/>
    <x v="3"/>
    <s v="Kroměříž"/>
    <s v="Kroměříž, Denkova 3943/8, PSČ 76701"/>
    <s v="93120"/>
    <s v="Činnosti sportovních klubů"/>
    <m/>
    <m/>
    <m/>
    <m/>
    <m/>
    <m/>
    <m/>
    <m/>
    <m/>
    <m/>
    <m/>
    <m/>
    <m/>
    <m/>
    <m/>
    <m/>
    <m/>
  </r>
  <r>
    <s v="18189903"/>
    <s v="SK Moravan Kostelec u Holešova, z.s."/>
    <s v="706"/>
    <x v="1"/>
    <x v="3"/>
    <s v="Kostelec u Holešova"/>
    <s v="Kostelec u Holešova 58, PSČ 76843"/>
    <s v="93110"/>
    <s v="Provozování sportovních zařízení"/>
    <m/>
    <m/>
    <m/>
    <m/>
    <m/>
    <m/>
    <m/>
    <m/>
    <m/>
    <m/>
    <m/>
    <m/>
    <m/>
    <m/>
    <m/>
    <m/>
    <m/>
  </r>
  <r>
    <s v="62182188"/>
    <s v="SK Moravské přístroje Zlín"/>
    <s v="706"/>
    <x v="1"/>
    <x v="0"/>
    <s v="Zlín"/>
    <s v="Zlín, Malenovice, Masarykova 1148, PSČ 76302"/>
    <s v="931"/>
    <s v="Sportovní činnosti"/>
    <m/>
    <m/>
    <m/>
    <m/>
    <m/>
    <m/>
    <m/>
    <m/>
    <m/>
    <m/>
    <m/>
    <m/>
    <m/>
    <m/>
    <m/>
    <m/>
    <m/>
  </r>
  <r>
    <s v="19619464"/>
    <s v="SK Mysločovice z.s."/>
    <s v="706"/>
    <x v="1"/>
    <x v="0"/>
    <s v="Mysločovice"/>
    <s v="Mysločovice 205, PSČ 76301"/>
    <s v="93110"/>
    <s v="Provozování sportovních zařízení"/>
    <m/>
    <m/>
    <m/>
    <m/>
    <m/>
    <m/>
    <m/>
    <m/>
    <m/>
    <m/>
    <m/>
    <m/>
    <m/>
    <m/>
    <m/>
    <m/>
    <m/>
  </r>
  <r>
    <s v="47934263"/>
    <s v="SK neslyšících Kroměříž, z.s."/>
    <s v="706"/>
    <x v="1"/>
    <x v="3"/>
    <s v="Kroměříž"/>
    <s v="Kroměříž, Velehradská 625/4, PSČ 76701"/>
    <s v="93110"/>
    <s v="Provozování sportovních zařízení"/>
    <m/>
    <m/>
    <m/>
    <m/>
    <m/>
    <m/>
    <m/>
    <m/>
    <m/>
    <m/>
    <m/>
    <m/>
    <m/>
    <m/>
    <m/>
    <m/>
    <m/>
  </r>
  <r>
    <s v="26680297"/>
    <s v="SK Olšava z.s."/>
    <s v="706"/>
    <x v="1"/>
    <x v="2"/>
    <s v="Uherský Brod"/>
    <s v="Uherský Brod, Naardenská 2282, PSČ 68801"/>
    <s v="93120"/>
    <s v="Činnosti sportovních klubů"/>
    <m/>
    <m/>
    <m/>
    <m/>
    <m/>
    <m/>
    <m/>
    <m/>
    <m/>
    <m/>
    <m/>
    <m/>
    <m/>
    <m/>
    <m/>
    <m/>
    <m/>
  </r>
  <r>
    <s v="05813344"/>
    <s v="SK ORFEUS TRNAVA, z.s."/>
    <s v="706"/>
    <x v="1"/>
    <x v="0"/>
    <s v="Trnava"/>
    <s v="Trnava 328, PSČ 76318"/>
    <s v="93190"/>
    <s v="Ostatní sportovní činnosti"/>
    <m/>
    <m/>
    <m/>
    <m/>
    <m/>
    <m/>
    <m/>
    <m/>
    <m/>
    <m/>
    <m/>
    <m/>
    <m/>
    <m/>
    <m/>
    <m/>
    <m/>
  </r>
  <r>
    <s v="48506184"/>
    <s v="SK Ostrožská Lhota, z.s."/>
    <s v="706"/>
    <x v="1"/>
    <x v="2"/>
    <s v="Ostrožská Lhota"/>
    <s v="Ostrožská Lhota 4, PSČ 68723"/>
    <s v="93110"/>
    <s v="Provozování sportovních zařízení"/>
    <m/>
    <m/>
    <m/>
    <m/>
    <m/>
    <m/>
    <m/>
    <m/>
    <m/>
    <m/>
    <m/>
    <m/>
    <m/>
    <m/>
    <m/>
    <m/>
    <m/>
  </r>
  <r>
    <s v="71246886"/>
    <s v="SK PORS plus v AČR (Sportovní klub PORS plus v AČR)"/>
    <s v="736"/>
    <x v="0"/>
    <x v="0"/>
    <s v="Zlín"/>
    <s v="Zlín, Prštné, Nábřeží 59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3516326"/>
    <s v="SK RPM Stav, z.s."/>
    <s v="706"/>
    <x v="1"/>
    <x v="0"/>
    <s v="Fryšták"/>
    <s v="Fryšták, Horní Ves, Vítovská 412, PSČ 76316"/>
    <s v="93190"/>
    <s v="Ostatní sportovní činnosti"/>
    <m/>
    <m/>
    <m/>
    <m/>
    <m/>
    <m/>
    <m/>
    <m/>
    <m/>
    <m/>
    <m/>
    <m/>
    <m/>
    <m/>
    <m/>
    <m/>
    <m/>
  </r>
  <r>
    <s v="22887318"/>
    <s v="SK Rudá hvězda Kroměříž, z.s."/>
    <s v="706"/>
    <x v="1"/>
    <x v="3"/>
    <s v="Kroměříž"/>
    <s v="Kroměříž, Braunerova 2407/29, PSČ 76701"/>
    <s v="93120"/>
    <s v="Činnosti sportovních klubů"/>
    <m/>
    <m/>
    <m/>
    <m/>
    <m/>
    <m/>
    <m/>
    <m/>
    <m/>
    <m/>
    <m/>
    <m/>
    <m/>
    <m/>
    <m/>
    <m/>
    <m/>
  </r>
  <r>
    <s v="18826261"/>
    <s v="SK Rudimov 1936, z. s."/>
    <s v="706"/>
    <x v="1"/>
    <x v="0"/>
    <s v="Rudimov"/>
    <s v="Rudimov 123, PSČ 76321"/>
    <s v="931"/>
    <s v="Sportovní činnosti"/>
    <m/>
    <m/>
    <m/>
    <m/>
    <m/>
    <m/>
    <m/>
    <m/>
    <m/>
    <m/>
    <m/>
    <m/>
    <m/>
    <m/>
    <m/>
    <m/>
    <m/>
  </r>
  <r>
    <s v="46307478"/>
    <s v="SK Rytmik Zlín, z.s."/>
    <s v="706"/>
    <x v="1"/>
    <x v="0"/>
    <s v="Zlín"/>
    <s v="Zlín, Křiby 4720, PSČ 76005"/>
    <s v="93190"/>
    <s v="Ostatní sportovní činnosti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64467520"/>
    <s v="SK (Sací Komando) Mladcová"/>
    <s v="706"/>
    <x v="1"/>
    <x v="0"/>
    <s v="Zlín"/>
    <s v="Zlín, třída Tomáše Bati 3910, PSČ 76001"/>
    <s v="931"/>
    <s v="Sportovní činnosti"/>
    <m/>
    <m/>
    <m/>
    <m/>
    <m/>
    <m/>
    <m/>
    <m/>
    <m/>
    <m/>
    <m/>
    <m/>
    <m/>
    <m/>
    <m/>
    <m/>
    <m/>
  </r>
  <r>
    <s v="47935006"/>
    <s v="SK Slavoj Zahnašovice, z.s."/>
    <s v="706"/>
    <x v="1"/>
    <x v="3"/>
    <s v="Zahnašovice"/>
    <s v="Zahnašovice 95, PSČ 76901"/>
    <s v="93110"/>
    <s v="Provozování sportovních zařízení"/>
    <m/>
    <m/>
    <m/>
    <m/>
    <m/>
    <m/>
    <m/>
    <m/>
    <m/>
    <m/>
    <m/>
    <m/>
    <m/>
    <m/>
    <m/>
    <m/>
    <m/>
  </r>
  <r>
    <s v="46307451"/>
    <s v="SK Slopné, z. s."/>
    <s v="706"/>
    <x v="1"/>
    <x v="0"/>
    <s v="Slopné"/>
    <s v="Slopné 178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77625"/>
    <s v="SK Slušovice, spolek"/>
    <s v="706"/>
    <x v="1"/>
    <x v="0"/>
    <s v="Slušovice"/>
    <s v="Slušovice, Školní 131, PSČ 76315"/>
    <s v="93110"/>
    <s v="Provozování sportovních zařízení"/>
    <m/>
    <m/>
    <m/>
    <m/>
    <m/>
    <m/>
    <m/>
    <m/>
    <m/>
    <m/>
    <m/>
    <m/>
    <m/>
    <m/>
    <m/>
    <m/>
    <m/>
  </r>
  <r>
    <s v="06240968"/>
    <s v="SK Spartak Hulín - kopaná, z.s."/>
    <s v="706"/>
    <x v="1"/>
    <x v="3"/>
    <s v="Hulín"/>
    <s v="Hulín, Antonína Dvořáka 1214, PSČ 76824"/>
    <s v="93110"/>
    <s v="Provozování sportovních zařízení"/>
    <m/>
    <m/>
    <m/>
    <m/>
    <m/>
    <m/>
    <m/>
    <m/>
    <m/>
    <m/>
    <m/>
    <m/>
    <m/>
    <m/>
    <m/>
    <m/>
    <m/>
  </r>
  <r>
    <s v="26982277"/>
    <s v="SK Squash Kvítková"/>
    <s v="706"/>
    <x v="1"/>
    <x v="0"/>
    <s v="Zlín"/>
    <s v="Zlín, Kvítková 5279, PSČ 76001"/>
    <s v="93110"/>
    <s v="Provozování sportovních zařízení"/>
    <m/>
    <m/>
    <m/>
    <m/>
    <m/>
    <m/>
    <m/>
    <m/>
    <m/>
    <m/>
    <m/>
    <m/>
    <m/>
    <m/>
    <m/>
    <m/>
    <m/>
  </r>
  <r>
    <s v="05709792"/>
    <s v="SK TAURUS z.s."/>
    <s v="706"/>
    <x v="1"/>
    <x v="3"/>
    <s v="Hulín"/>
    <s v="Hulín, Družba 1195, PSČ 76824"/>
    <s v="93190"/>
    <s v="Ostatní sportovní činnosti"/>
    <m/>
    <m/>
    <m/>
    <m/>
    <m/>
    <m/>
    <m/>
    <m/>
    <m/>
    <m/>
    <m/>
    <m/>
    <m/>
    <m/>
    <m/>
    <m/>
    <m/>
  </r>
  <r>
    <s v="15545555"/>
    <s v="SK Tichov, z.s."/>
    <s v="706"/>
    <x v="1"/>
    <x v="0"/>
    <s v="Tichov"/>
    <s v="Tichov 48, PSČ 76601"/>
    <s v="931"/>
    <s v="Sportovní činnosti"/>
    <m/>
    <m/>
    <m/>
    <m/>
    <m/>
    <m/>
    <m/>
    <m/>
    <m/>
    <m/>
    <m/>
    <m/>
    <m/>
    <m/>
    <m/>
    <m/>
    <m/>
  </r>
  <r>
    <s v="13692321"/>
    <s v="S.K. Tlumačov z.s."/>
    <s v="706"/>
    <x v="1"/>
    <x v="0"/>
    <s v="Tlumačov"/>
    <s v="Tlumačov, Sportovní 696, PSČ 76362"/>
    <s v="931"/>
    <s v="Sportovní činnosti"/>
    <m/>
    <m/>
    <m/>
    <m/>
    <m/>
    <m/>
    <m/>
    <m/>
    <m/>
    <m/>
    <m/>
    <m/>
    <m/>
    <m/>
    <m/>
    <m/>
    <m/>
  </r>
  <r>
    <s v="62182404"/>
    <s v="SK TRI OTROKOVICE"/>
    <s v="736"/>
    <x v="0"/>
    <x v="0"/>
    <s v="Otrokovice"/>
    <s v="Otrokovice, K. Čapka 1198, PSČ 76502"/>
    <s v="931"/>
    <s v="Sportovní činnosti"/>
    <m/>
    <m/>
    <m/>
    <m/>
    <m/>
    <m/>
    <m/>
    <m/>
    <m/>
    <m/>
    <m/>
    <m/>
    <m/>
    <m/>
    <m/>
    <m/>
    <m/>
  </r>
  <r>
    <s v="22671544"/>
    <s v="SK Tučapy,o.s."/>
    <s v="706"/>
    <x v="1"/>
    <x v="2"/>
    <s v="Tučapy"/>
    <s v="Tučapy 30, Obecní úřad"/>
    <s v="93120"/>
    <s v="Činnosti sportovních klubů"/>
    <m/>
    <m/>
    <m/>
    <m/>
    <m/>
    <m/>
    <m/>
    <m/>
    <m/>
    <m/>
    <m/>
    <m/>
    <m/>
    <m/>
    <m/>
    <m/>
    <m/>
  </r>
  <r>
    <s v="46307711"/>
    <s v="SK Újezd  z. s."/>
    <s v="706"/>
    <x v="1"/>
    <x v="0"/>
    <s v="Újezd"/>
    <s v="Újezd 413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0309"/>
    <s v="SK VELÍKOVÁ"/>
    <s v="706"/>
    <x v="1"/>
    <x v="0"/>
    <s v="Zlín"/>
    <s v="Zlín, Velíková, Dolní konec 53, PSČ 76314"/>
    <s v="93120"/>
    <s v="Činnosti sportovních klubů"/>
    <m/>
    <m/>
    <m/>
    <m/>
    <m/>
    <m/>
    <m/>
    <m/>
    <m/>
    <m/>
    <m/>
    <m/>
    <m/>
    <m/>
    <m/>
    <m/>
    <m/>
  </r>
  <r>
    <s v="26677466"/>
    <s v="SK Vizovice z.s."/>
    <s v="706"/>
    <x v="1"/>
    <x v="0"/>
    <s v="Vizovice"/>
    <s v="Vizovice, U Stadionu 339, PSČ 76312"/>
    <s v="93110"/>
    <s v="Provozování sportovních zařízení"/>
    <m/>
    <m/>
    <m/>
    <m/>
    <m/>
    <m/>
    <m/>
    <m/>
    <m/>
    <m/>
    <m/>
    <m/>
    <m/>
    <m/>
    <m/>
    <m/>
    <m/>
  </r>
  <r>
    <s v="42866162"/>
    <s v="SK &quot;VODO&quot; Vsetín"/>
    <s v="706"/>
    <x v="1"/>
    <x v="1"/>
    <s v="Vsetín"/>
    <s v="Vset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6516"/>
    <s v="SK Záhorovice, z. s."/>
    <s v="706"/>
    <x v="1"/>
    <x v="2"/>
    <s v="Záhorovice"/>
    <s v="Záhorovice 140, PSČ 68771"/>
    <s v="93110"/>
    <s v="Provozování sportovních zařízení"/>
    <m/>
    <m/>
    <m/>
    <m/>
    <m/>
    <m/>
    <m/>
    <m/>
    <m/>
    <m/>
    <m/>
    <m/>
    <m/>
    <m/>
    <m/>
    <m/>
    <m/>
  </r>
  <r>
    <s v="27002357"/>
    <s v="SK ZAHRADNÍ SLAVIČÍN"/>
    <s v="706"/>
    <x v="1"/>
    <x v="0"/>
    <s v="Slavičín"/>
    <s v="Slavičín, Ševcovská 308, PSČ 76321"/>
    <s v="93110"/>
    <s v="Provozování sportovních zařízení"/>
    <m/>
    <m/>
    <m/>
    <m/>
    <m/>
    <m/>
    <m/>
    <m/>
    <m/>
    <m/>
    <m/>
    <m/>
    <m/>
    <m/>
    <m/>
    <m/>
    <m/>
  </r>
  <r>
    <s v="44740883"/>
    <s v="SK Zašová 1926, z.s."/>
    <s v="706"/>
    <x v="1"/>
    <x v="1"/>
    <s v="Zašová"/>
    <s v="Zašová 758, PSČ 75651"/>
    <s v="931"/>
    <s v="Sportovní činnosti"/>
    <s v="Velkoobchod a maloobchod; opravy a údržba motorových vozidel"/>
    <s v="Destilace, rektifikace a míchání lihovin"/>
    <s v="Stravování v restauracích, u stánků a v mobilních zařízeních"/>
    <m/>
    <m/>
    <m/>
    <m/>
    <m/>
    <m/>
    <m/>
    <m/>
    <m/>
    <m/>
    <m/>
    <m/>
    <m/>
    <m/>
  </r>
  <r>
    <s v="48505544"/>
    <s v="SK Zlechov z.s."/>
    <s v="706"/>
    <x v="1"/>
    <x v="2"/>
    <s v="Zlechov"/>
    <s v="Zlechov 118, PSČ 68710"/>
    <s v="93110"/>
    <s v="Provozování sportovních zařízení"/>
    <m/>
    <m/>
    <m/>
    <m/>
    <m/>
    <m/>
    <m/>
    <m/>
    <m/>
    <m/>
    <m/>
    <m/>
    <m/>
    <m/>
    <m/>
    <m/>
    <m/>
  </r>
  <r>
    <s v="02647567"/>
    <s v="SK Zlín 1931 z.s."/>
    <s v="706"/>
    <x v="1"/>
    <x v="0"/>
    <s v="Zlín"/>
    <s v="Zlín, Křiby 4708, PSČ 76005"/>
    <s v="93110"/>
    <s v="Provozování sportovních zařízení"/>
    <m/>
    <m/>
    <m/>
    <m/>
    <m/>
    <m/>
    <m/>
    <m/>
    <m/>
    <m/>
    <m/>
    <m/>
    <m/>
    <m/>
    <m/>
    <m/>
    <m/>
  </r>
  <r>
    <s v="18190146"/>
    <s v="SK Žeranovice,z.s."/>
    <s v="706"/>
    <x v="1"/>
    <x v="3"/>
    <s v="Žeranovice"/>
    <s v="Žeranovice 264, PSČ 76901"/>
    <s v="93110"/>
    <s v="Provozování sportovních zařízení"/>
    <m/>
    <m/>
    <m/>
    <m/>
    <m/>
    <m/>
    <m/>
    <m/>
    <m/>
    <m/>
    <m/>
    <m/>
    <m/>
    <m/>
    <m/>
    <m/>
    <m/>
  </r>
  <r>
    <s v="46276424"/>
    <s v="SK Žlutava z.s."/>
    <s v="706"/>
    <x v="1"/>
    <x v="0"/>
    <s v="Žlutava"/>
    <s v="Žlutava 191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991487"/>
    <s v="SKÁJ team, spolek"/>
    <s v="706"/>
    <x v="1"/>
    <x v="0"/>
    <s v="Otrokovice"/>
    <s v="Otrokovice, Štěrkoviště 1292, PSČ 76502"/>
    <s v="93190"/>
    <s v="Ostatní sportovní činnosti"/>
    <m/>
    <m/>
    <m/>
    <m/>
    <m/>
    <m/>
    <m/>
    <m/>
    <m/>
    <m/>
    <m/>
    <m/>
    <m/>
    <m/>
    <m/>
    <m/>
    <m/>
  </r>
  <r>
    <s v="22888632"/>
    <s v="SKALKAŘI o.s."/>
    <s v="706"/>
    <x v="1"/>
    <x v="0"/>
    <s v="Zlín"/>
    <s v="Zlín, Kudlov, Skalka I 50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7091"/>
    <s v="S.K.A.T. - SPORTOVNÍ KLUB ALTERNATIVNÍ TURISTIKY"/>
    <s v="706"/>
    <x v="1"/>
    <x v="2"/>
    <s v="Uherské Hradiště"/>
    <s v="Uherské Hradiště, Prostřední 129, PSČ 68601"/>
    <s v="93120"/>
    <s v="Činnosti sportovních klubů"/>
    <m/>
    <m/>
    <m/>
    <m/>
    <m/>
    <m/>
    <m/>
    <m/>
    <m/>
    <m/>
    <m/>
    <m/>
    <m/>
    <m/>
    <m/>
    <m/>
    <m/>
  </r>
  <r>
    <s v="09591214"/>
    <s v="SKATE KLUB MORAVIA z.s."/>
    <s v="706"/>
    <x v="1"/>
    <x v="2"/>
    <s v="Polešovice"/>
    <s v="Polešovice 58, PSČ 68737"/>
    <s v="93120"/>
    <s v="Činnosti sportovních klubů"/>
    <m/>
    <m/>
    <m/>
    <m/>
    <m/>
    <m/>
    <m/>
    <m/>
    <m/>
    <m/>
    <m/>
    <m/>
    <m/>
    <m/>
    <m/>
    <m/>
    <m/>
  </r>
  <r>
    <s v="65891171"/>
    <s v="Skate klub Vsetín"/>
    <s v="706"/>
    <x v="1"/>
    <x v="1"/>
    <s v="Vsetín"/>
    <s v="Vsetín, Smetanova 1056, PSČ 75501"/>
    <s v="93120"/>
    <s v="Činnosti sportovních klubů"/>
    <m/>
    <m/>
    <m/>
    <m/>
    <m/>
    <m/>
    <m/>
    <m/>
    <m/>
    <m/>
    <m/>
    <m/>
    <m/>
    <m/>
    <m/>
    <m/>
    <m/>
  </r>
  <r>
    <s v="26653664"/>
    <s v="Skate klub ZLÍN"/>
    <s v="706"/>
    <x v="1"/>
    <x v="0"/>
    <s v="Zlín"/>
    <s v="Zlín, Mladcová, Mokrá IV 341, PSČ 76001"/>
    <s v="93110"/>
    <s v="Provozování sportovních zařízení"/>
    <m/>
    <m/>
    <m/>
    <m/>
    <m/>
    <m/>
    <m/>
    <m/>
    <m/>
    <m/>
    <m/>
    <m/>
    <m/>
    <m/>
    <m/>
    <m/>
    <m/>
  </r>
  <r>
    <s v="01905911"/>
    <s v="Skate pro život z. s."/>
    <s v="706"/>
    <x v="1"/>
    <x v="2"/>
    <s v="Uherské Hradiště"/>
    <s v="Uherské Hradiště, Sady, Trnková 429, PSČ 68605"/>
    <s v="93120"/>
    <s v="Činnosti sportovních klubů"/>
    <m/>
    <m/>
    <m/>
    <m/>
    <m/>
    <m/>
    <m/>
    <m/>
    <m/>
    <m/>
    <m/>
    <m/>
    <m/>
    <m/>
    <m/>
    <m/>
    <m/>
  </r>
  <r>
    <s v="26563754"/>
    <s v="SKATEBOARDS - BMX BYSTŘICE POD HOSTÝNEM z.s."/>
    <s v="706"/>
    <x v="1"/>
    <x v="3"/>
    <s v="Bystřice pod Hostýnem"/>
    <s v="Bystřice pod Hostýnem, Pod Zábřehem 1504, PSČ 76861"/>
    <s v="93120"/>
    <s v="Činnosti sportovních klubů"/>
    <m/>
    <m/>
    <m/>
    <m/>
    <m/>
    <m/>
    <m/>
    <m/>
    <m/>
    <m/>
    <m/>
    <m/>
    <m/>
    <m/>
    <m/>
    <m/>
    <m/>
  </r>
  <r>
    <s v="26596822"/>
    <s v="SKATEBOARDS - BMX HOLEŠOV"/>
    <s v="706"/>
    <x v="1"/>
    <x v="3"/>
    <s v="Holešov"/>
    <s v="Holešov, Novosady 1359, PSČ 76901"/>
    <s v="93110"/>
    <s v="Provozování sportovních zařízení"/>
    <m/>
    <m/>
    <m/>
    <m/>
    <m/>
    <m/>
    <m/>
    <m/>
    <m/>
    <m/>
    <m/>
    <m/>
    <m/>
    <m/>
    <m/>
    <m/>
    <m/>
  </r>
  <r>
    <s v="22885790"/>
    <s v="SKATEPARK Valašské Meziříčí o. s."/>
    <s v="706"/>
    <x v="1"/>
    <x v="1"/>
    <s v="Valašské Meziříčí"/>
    <s v="Valašské Meziříčí, Smetanova 709/51, PSČ 75701"/>
    <s v="93190"/>
    <s v="Ostatní sportovní činnosti"/>
    <m/>
    <m/>
    <m/>
    <m/>
    <m/>
    <m/>
    <m/>
    <m/>
    <m/>
    <m/>
    <m/>
    <m/>
    <m/>
    <m/>
    <m/>
    <m/>
    <m/>
  </r>
  <r>
    <s v="05674859"/>
    <s v="SKB Velké Karlovice, z.s."/>
    <s v="706"/>
    <x v="1"/>
    <x v="1"/>
    <s v="Velké Karlovice"/>
    <s v="Velké Karlovice 881, PSČ 75606"/>
    <s v="93190"/>
    <s v="Ostatní sportovní činnosti"/>
    <m/>
    <m/>
    <m/>
    <m/>
    <m/>
    <m/>
    <m/>
    <m/>
    <m/>
    <m/>
    <m/>
    <m/>
    <m/>
    <m/>
    <m/>
    <m/>
    <m/>
  </r>
  <r>
    <s v="28552334"/>
    <s v="SKI &amp; CROSS TEAM, z.s."/>
    <s v="706"/>
    <x v="1"/>
    <x v="2"/>
    <s v="Uherský Brod"/>
    <s v="Uherský Brod, U Plovárny 1396, PSČ 68801"/>
    <s v="93110"/>
    <s v="Provozování sportovních zařízení"/>
    <m/>
    <m/>
    <m/>
    <m/>
    <m/>
    <m/>
    <m/>
    <m/>
    <m/>
    <m/>
    <m/>
    <m/>
    <m/>
    <m/>
    <m/>
    <m/>
    <m/>
  </r>
  <r>
    <s v="26602041"/>
    <s v="SKI &amp; GOLF TEAM VSETÍN, z. s."/>
    <s v="706"/>
    <x v="1"/>
    <x v="1"/>
    <s v="Vsetín"/>
    <s v="Vsetín, Rokytnice, Rokytnice 190, PSČ 75501"/>
    <s v="93110"/>
    <s v="Provozování sportovních zařízení"/>
    <m/>
    <m/>
    <m/>
    <m/>
    <m/>
    <m/>
    <m/>
    <m/>
    <m/>
    <m/>
    <m/>
    <m/>
    <m/>
    <m/>
    <m/>
    <m/>
    <m/>
  </r>
  <r>
    <s v="69721947"/>
    <s v="SKI + TENIS KLUB ZLÍN o.s."/>
    <s v="706"/>
    <x v="1"/>
    <x v="0"/>
    <s v="Zlín"/>
    <s v="Zlín, Velíková, Modřínová 4, PSČ 76314"/>
    <s v="93120"/>
    <s v="Činnosti sportovních klubů"/>
    <m/>
    <m/>
    <m/>
    <m/>
    <m/>
    <m/>
    <m/>
    <m/>
    <m/>
    <m/>
    <m/>
    <m/>
    <m/>
    <m/>
    <m/>
    <m/>
    <m/>
  </r>
  <r>
    <s v="60383127"/>
    <s v="SKI AND BEACH CLUB z.s."/>
    <s v="706"/>
    <x v="1"/>
    <x v="3"/>
    <s v="Koryčany"/>
    <s v="Koryčany, Lískovec 118, PSČ 76805"/>
    <s v="93110"/>
    <s v="Provozování sportovních zařízení"/>
    <m/>
    <m/>
    <m/>
    <m/>
    <m/>
    <m/>
    <m/>
    <m/>
    <m/>
    <m/>
    <m/>
    <m/>
    <m/>
    <m/>
    <m/>
    <m/>
    <m/>
  </r>
  <r>
    <s v="27021289"/>
    <s v="Ski klub Búřov"/>
    <s v="706"/>
    <x v="1"/>
    <x v="1"/>
    <s v="Valašská Bystřice"/>
    <s v="Valašská Bystřice 747, PSČ 75627"/>
    <s v="93110"/>
    <s v="Provozování sportovních zařízení"/>
    <m/>
    <m/>
    <m/>
    <m/>
    <m/>
    <m/>
    <m/>
    <m/>
    <m/>
    <m/>
    <m/>
    <m/>
    <m/>
    <m/>
    <m/>
    <m/>
    <m/>
  </r>
  <r>
    <s v="14612062"/>
    <s v="SKI KLUB MEZ VSETÍN z. s."/>
    <s v="706"/>
    <x v="1"/>
    <x v="1"/>
    <s v="Vsetín"/>
    <s v="Vsetín, Mostecká 367, PSČ 75501"/>
    <s v="93110"/>
    <s v="Provozování sportovních zařízení"/>
    <m/>
    <m/>
    <m/>
    <m/>
    <m/>
    <m/>
    <m/>
    <m/>
    <m/>
    <m/>
    <m/>
    <m/>
    <m/>
    <m/>
    <m/>
    <m/>
    <m/>
  </r>
  <r>
    <s v="04948017"/>
    <s v="SKI KLUB Valašské Meziříčí, z.s."/>
    <s v="706"/>
    <x v="1"/>
    <x v="1"/>
    <s v="Valašské Meziříčí"/>
    <s v="Valašské Meziříčí, Krásno nad Bečvou, Nad Tratí 869, PSČ 75701"/>
    <s v="93190"/>
    <s v="Ostatní sportovní činnosti"/>
    <m/>
    <m/>
    <m/>
    <m/>
    <m/>
    <m/>
    <m/>
    <m/>
    <m/>
    <m/>
    <m/>
    <m/>
    <m/>
    <m/>
    <m/>
    <m/>
    <m/>
  </r>
  <r>
    <s v="04042484"/>
    <s v="SKI Klub Valašsko, z.s."/>
    <s v="706"/>
    <x v="1"/>
    <x v="1"/>
    <s v="Valašské Meziříčí"/>
    <s v="Valašské Meziříčí, Kouty 1395, PSČ 75701"/>
    <s v="93190"/>
    <s v="Ostatní sportovní činnosti"/>
    <m/>
    <m/>
    <m/>
    <m/>
    <m/>
    <m/>
    <m/>
    <m/>
    <m/>
    <m/>
    <m/>
    <m/>
    <m/>
    <m/>
    <m/>
    <m/>
    <m/>
  </r>
  <r>
    <s v="07582331"/>
    <s v="SKI KLUB Velké Karlovice, z.s."/>
    <s v="706"/>
    <x v="1"/>
    <x v="1"/>
    <s v="Rožnov pod Radhoštěm"/>
    <s v="Rožnov pod Radhoštěm, Hážovice 2805, PSČ 75661"/>
    <s v="93190"/>
    <s v="Ostatní sportovní činnosti"/>
    <m/>
    <m/>
    <m/>
    <m/>
    <m/>
    <m/>
    <m/>
    <m/>
    <m/>
    <m/>
    <m/>
    <m/>
    <m/>
    <m/>
    <m/>
    <m/>
    <m/>
  </r>
  <r>
    <s v="19690428"/>
    <s v="Ski Racing Beskydy, z.s."/>
    <s v="706"/>
    <x v="1"/>
    <x v="1"/>
    <s v="Zašová"/>
    <s v="Zašová 734, PSČ 75651"/>
    <s v="93190"/>
    <s v="Ostatní sportovní činnosti"/>
    <m/>
    <m/>
    <m/>
    <m/>
    <m/>
    <m/>
    <m/>
    <m/>
    <m/>
    <m/>
    <m/>
    <m/>
    <m/>
    <m/>
    <m/>
    <m/>
    <m/>
  </r>
  <r>
    <s v="22836101"/>
    <s v="SKI SOLÁŇ,z.s."/>
    <s v="706"/>
    <x v="1"/>
    <x v="1"/>
    <s v="Rožnov pod Radhoštěm"/>
    <s v="Rožnov pod Radhoštěm, Meziříčská 525, PSČ 75661"/>
    <s v="93110"/>
    <s v="Provozování sportovních zařízení"/>
    <m/>
    <m/>
    <m/>
    <m/>
    <m/>
    <m/>
    <m/>
    <m/>
    <m/>
    <m/>
    <m/>
    <m/>
    <m/>
    <m/>
    <m/>
    <m/>
    <m/>
  </r>
  <r>
    <s v="62182820"/>
    <s v="SKI TEAM CAIS Fryšták"/>
    <s v="706"/>
    <x v="1"/>
    <x v="0"/>
    <s v="Fryšták"/>
    <s v="Fryšták"/>
    <s v="931"/>
    <s v="Sportovní činnosti"/>
    <m/>
    <m/>
    <m/>
    <m/>
    <m/>
    <m/>
    <m/>
    <m/>
    <m/>
    <m/>
    <m/>
    <m/>
    <m/>
    <m/>
    <m/>
    <m/>
    <m/>
  </r>
  <r>
    <s v="07158548"/>
    <s v="Ski Team Chřiby z.s."/>
    <s v="706"/>
    <x v="1"/>
    <x v="3"/>
    <s v="Kroměříž"/>
    <s v="Kroměříž, Velehradská 508/39, PSČ 76701"/>
    <s v="93190"/>
    <s v="Ostatní sportovní činnosti"/>
    <m/>
    <m/>
    <m/>
    <m/>
    <m/>
    <m/>
    <m/>
    <m/>
    <m/>
    <m/>
    <m/>
    <m/>
    <m/>
    <m/>
    <m/>
    <m/>
    <m/>
  </r>
  <r>
    <s v="22864091"/>
    <s v="SKI TEAM ZLÍN"/>
    <s v="706"/>
    <x v="1"/>
    <x v="0"/>
    <s v="Zlín"/>
    <s v="Zlín, Příkrá 3568, PSČ 76001"/>
    <s v="93120"/>
    <s v="Činnosti sportovních klubů"/>
    <m/>
    <m/>
    <m/>
    <m/>
    <m/>
    <m/>
    <m/>
    <m/>
    <m/>
    <m/>
    <m/>
    <m/>
    <m/>
    <m/>
    <m/>
    <m/>
    <m/>
  </r>
  <r>
    <s v="01246232"/>
    <s v="Ski&amp;Bike Morava o.s."/>
    <s v="706"/>
    <x v="1"/>
    <x v="3"/>
    <s v="Žalkovice"/>
    <s v="Žalkovice 98, PSČ 76823"/>
    <s v="93190"/>
    <s v="Ostatní sportovní činnosti"/>
    <m/>
    <m/>
    <m/>
    <m/>
    <m/>
    <m/>
    <m/>
    <m/>
    <m/>
    <m/>
    <m/>
    <m/>
    <m/>
    <m/>
    <m/>
    <m/>
    <m/>
  </r>
  <r>
    <s v="21116091"/>
    <s v="SKK Kroměříž, z.s."/>
    <s v="706"/>
    <x v="1"/>
    <x v="3"/>
    <s v="Kroměříž"/>
    <s v="Kroměříž, Čelakovského 2268/56, PSČ 76701"/>
    <s v="93120"/>
    <s v="Činnosti sportovních klubů"/>
    <m/>
    <m/>
    <m/>
    <m/>
    <m/>
    <m/>
    <m/>
    <m/>
    <m/>
    <m/>
    <m/>
    <m/>
    <m/>
    <m/>
    <m/>
    <m/>
    <m/>
  </r>
  <r>
    <s v="04644450"/>
    <s v="SKLÁDANKA, z.s."/>
    <s v="706"/>
    <x v="1"/>
    <x v="0"/>
    <s v="Zlín"/>
    <s v="Zlín, Malenovice, Tyršova 750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7883"/>
    <s v="Skokani"/>
    <s v="706"/>
    <x v="1"/>
    <x v="1"/>
    <s v="Dolní Bečva"/>
    <s v="Dolní Bečva 262, PSČ 75655"/>
    <s v="93120"/>
    <s v="Činnosti sportovních klubů"/>
    <m/>
    <m/>
    <m/>
    <m/>
    <m/>
    <m/>
    <m/>
    <m/>
    <m/>
    <m/>
    <m/>
    <m/>
    <m/>
    <m/>
    <m/>
    <m/>
    <m/>
  </r>
  <r>
    <s v="21435171"/>
    <s v="Skoky na lyžích Rožnov p/R z. s."/>
    <s v="706"/>
    <x v="1"/>
    <x v="1"/>
    <s v="Zubří"/>
    <s v="Zubří, Pod Lipůvkou 1071, PSČ 75654"/>
    <s v="93190"/>
    <s v="Ostatní sportovní činnosti"/>
    <m/>
    <m/>
    <m/>
    <m/>
    <m/>
    <m/>
    <m/>
    <m/>
    <m/>
    <m/>
    <m/>
    <m/>
    <m/>
    <m/>
    <m/>
    <m/>
    <m/>
  </r>
  <r>
    <s v="22722025"/>
    <s v="Skřítek, z.s."/>
    <s v="706"/>
    <x v="1"/>
    <x v="3"/>
    <s v="Prusinovice"/>
    <s v="Prusinovice, Plačkov 31, PSČ 76842"/>
    <s v="85100"/>
    <s v="Předškolní vzdělávání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26660377"/>
    <s v="SKS Bohuslavice"/>
    <s v="706"/>
    <x v="1"/>
    <x v="0"/>
    <s v="Bohuslavice nad Vláří"/>
    <s v="Bohuslavice nad Vláří 60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751181"/>
    <s v="SKS TART VALMEZ, z.s."/>
    <s v="706"/>
    <x v="1"/>
    <x v="1"/>
    <s v="Valašské Meziříčí"/>
    <s v="Valašské Meziříčí, Železničního vojska 140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9664"/>
    <s v="Skupina historického šermu a střelby Arcibiskupská garda z Kroměříže"/>
    <s v="706"/>
    <x v="1"/>
    <x v="3"/>
    <s v="Kroměříž"/>
    <s v="Kroměříž, Velehradská 2712/87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78285"/>
    <s v="Skupina historického šermu Erebus"/>
    <s v="706"/>
    <x v="1"/>
    <x v="0"/>
    <s v="Zlín"/>
    <s v="Zlín, Nad Stráněmi 4678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11403"/>
    <s v=",,Skupina historického šermu Revertar z.s.´´"/>
    <s v="706"/>
    <x v="1"/>
    <x v="0"/>
    <s v="Zlín"/>
    <s v="Zlín, Malenovice, třída Svobody 898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090"/>
    <s v="Skupina historického šermu VALMONT, z.s."/>
    <s v="706"/>
    <x v="1"/>
    <x v="1"/>
    <s v="Vsetín"/>
    <s v="Vsetín, U Hřiště 123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8330"/>
    <s v="&quot;Skupina historického tance a šermu Aureur cruor o.s.&quot;"/>
    <s v="706"/>
    <x v="1"/>
    <x v="0"/>
    <s v="Luhačovice"/>
    <s v="Luhačovice, Kuželova 898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5885"/>
    <s v="Skupina scénického šermu Buchlovská qvardie Petřvalských z Petřvaldu"/>
    <s v="706"/>
    <x v="1"/>
    <x v="2"/>
    <s v="Uherské Hradiště"/>
    <s v="Uherské Hradiště, Šafaříkova 72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023074"/>
    <s v="Skupina Šikulové - CVAK, z.s"/>
    <s v="736"/>
    <x v="0"/>
    <x v="0"/>
    <s v="Zlín"/>
    <s v="Zlín, Mladcová, Vinohrádek 568, PSČ 76001"/>
    <s v="94991"/>
    <s v="Činnosti organizací dětí a mládeže"/>
    <m/>
    <m/>
    <m/>
    <m/>
    <m/>
    <m/>
    <m/>
    <m/>
    <m/>
    <m/>
    <m/>
    <m/>
    <m/>
    <m/>
    <m/>
    <m/>
    <m/>
  </r>
  <r>
    <s v="22889183"/>
    <s v="SKV Zlín"/>
    <s v="706"/>
    <x v="1"/>
    <x v="0"/>
    <s v="Zlín"/>
    <s v="Zlín, Zálešná IV 1174, PSČ 76001"/>
    <s v="93120"/>
    <s v="Činnosti sportovních klubů"/>
    <m/>
    <m/>
    <m/>
    <m/>
    <m/>
    <m/>
    <m/>
    <m/>
    <m/>
    <m/>
    <m/>
    <m/>
    <m/>
    <m/>
    <m/>
    <m/>
    <m/>
  </r>
  <r>
    <s v="14358921"/>
    <s v="Sk8 alliance z.s."/>
    <s v="706"/>
    <x v="1"/>
    <x v="2"/>
    <s v="Babice"/>
    <s v="Babice 648, PSČ 68703"/>
    <s v="93190"/>
    <s v="Ostatní sportovní činnosti"/>
    <m/>
    <m/>
    <m/>
    <m/>
    <m/>
    <m/>
    <m/>
    <m/>
    <m/>
    <m/>
    <m/>
    <m/>
    <m/>
    <m/>
    <m/>
    <m/>
    <m/>
  </r>
  <r>
    <s v="10961798"/>
    <s v="Slavex trails z.s."/>
    <s v="706"/>
    <x v="1"/>
    <x v="0"/>
    <s v="Slavičín"/>
    <s v="Slavičín, Osvobození 255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313031"/>
    <s v="Slepá ramena, z.ú."/>
    <s v="161"/>
    <x v="3"/>
    <x v="2"/>
    <s v="Staré Město"/>
    <s v="Staré Město, Brněnská 1372, PSČ 68603"/>
    <s v="94995"/>
    <s v="Činnosti environmentálních a ekologických hnutí"/>
    <s v="Výroba, obchod a služby neuvedené v přílohách 1 až 3 živnostenského zákona"/>
    <s v="Výroba potravinářských výrobků"/>
    <s v="Podpůrné činnosti pro zemědělství a posklizňové činnosti"/>
    <s v="Lesní hospodářství a jiné činnosti v oblasti lesnictví"/>
    <s v="Podpůrné činnosti pro lesnictví"/>
    <m/>
    <m/>
    <m/>
    <m/>
    <m/>
    <m/>
    <m/>
    <m/>
    <m/>
    <m/>
    <m/>
    <m/>
  </r>
  <r>
    <s v="05847061"/>
    <s v="Sloboděnka, z. s."/>
    <s v="706"/>
    <x v="1"/>
    <x v="2"/>
    <s v="Staré Město"/>
    <s v="Staré Město, Sées 1989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395683"/>
    <s v="SLOVÁCKÁ AMBASÁDA, z.s."/>
    <s v="706"/>
    <x v="1"/>
    <x v="2"/>
    <s v="Buchlovice"/>
    <s v="Buchlovice, Horní Podvinohradí 146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8344"/>
    <s v="Slovácká dědina, z.s."/>
    <s v="706"/>
    <x v="1"/>
    <x v="2"/>
    <s v="Bystřice pod Lopeníkem"/>
    <s v="Bystřice pod Lopeníkem 189, PSČ 6875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0101"/>
    <s v="&quot;Slovácká dekantační z.s.&quot;"/>
    <s v="706"/>
    <x v="1"/>
    <x v="2"/>
    <s v="Uherské Hradiště"/>
    <s v="Uherské Hradiště, Mařatice, Vinohradská 274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3694316"/>
    <s v="Slovácká Sparta Spytihněv z.s."/>
    <s v="706"/>
    <x v="1"/>
    <x v="0"/>
    <s v="Spytihněv"/>
    <s v="Spytihněv 590, PSČ 76364"/>
    <s v="93120"/>
    <s v="Činnosti sportovních klubů"/>
    <m/>
    <m/>
    <m/>
    <m/>
    <m/>
    <m/>
    <m/>
    <m/>
    <m/>
    <m/>
    <m/>
    <m/>
    <m/>
    <m/>
    <m/>
    <m/>
    <m/>
  </r>
  <r>
    <s v="22689087"/>
    <s v="Slovácké srdce, o.s."/>
    <s v="706"/>
    <x v="1"/>
    <x v="2"/>
    <s v="Uherské Hradiště"/>
    <s v="Uherské Hradiště, Františkánská 14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81160"/>
    <s v="Slovácko sa učí, z. s."/>
    <s v="706"/>
    <x v="1"/>
    <x v="2"/>
    <s v="Uherské Hradiště"/>
    <s v="Uherské Hradiště, Štěpnická 1160, PSČ 68606"/>
    <s v="94999"/>
    <s v="Činnosti ostatních organizací j. n."/>
    <m/>
    <m/>
    <m/>
    <m/>
    <m/>
    <m/>
    <m/>
    <m/>
    <m/>
    <m/>
    <m/>
    <m/>
    <m/>
    <m/>
    <m/>
    <m/>
    <m/>
  </r>
  <r>
    <s v="00557587"/>
    <s v="Slovácký Aeroklub Kunovice"/>
    <s v="706"/>
    <x v="1"/>
    <x v="2"/>
    <s v="Kunovice"/>
    <s v="Kunovice, Letecká 1383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559997"/>
    <s v="Slovácký auto klub v AČR"/>
    <s v="736"/>
    <x v="0"/>
    <x v="2"/>
    <s v="Uherské Hradiště"/>
    <s v="Uherské Hradiště, Revoluční č. ev. 331, PSČ 686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24281"/>
    <s v="Slovácký institut, z. s."/>
    <s v="706"/>
    <x v="1"/>
    <x v="2"/>
    <s v="Uherské Hradiště"/>
    <s v="Uherské Hradiště, Štěpnická 1549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6517"/>
    <s v="Slovácký komorní orchestr, z.s."/>
    <s v="706"/>
    <x v="1"/>
    <x v="2"/>
    <s v="Uherské Hradiště"/>
    <s v="Uherské Hradiště, Palackého náměstí 26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326547"/>
    <s v="Slovácký krúžek HÁJEČEK z.s."/>
    <s v="706"/>
    <x v="1"/>
    <x v="2"/>
    <s v="Ostrožská Lhota"/>
    <s v="Ostrožská Lhota 190, PSČ 687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29840"/>
    <s v="Slovácký musher klub z. s."/>
    <s v="706"/>
    <x v="1"/>
    <x v="0"/>
    <s v="Fryšták"/>
    <s v="Fryšták, Vítová 43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6071"/>
    <s v="Slovácký soubor Vonica, z. 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205009"/>
    <s v="Slovácký Veteran Car Club Uherské Hradiště z.s."/>
    <s v="706"/>
    <x v="1"/>
    <x v="2"/>
    <s v="Staré Město"/>
    <s v="Staré Město, Brněnská 2163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8799"/>
    <s v="Slunce lidem"/>
    <s v="706"/>
    <x v="1"/>
    <x v="2"/>
    <s v="Uherské Hradiště"/>
    <s v="Uherské Hradiště, Průmyslová 114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447674"/>
    <s v="Slunečný mlýn, o.p.s."/>
    <s v="141"/>
    <x v="2"/>
    <x v="1"/>
    <s v="Lužná"/>
    <s v="Lužná 100, PSČ 75611"/>
    <s v="94999"/>
    <s v="Činnosti ostatních organizací j. n."/>
    <m/>
    <m/>
    <m/>
    <m/>
    <m/>
    <m/>
    <m/>
    <m/>
    <m/>
    <m/>
    <m/>
    <m/>
    <m/>
    <m/>
    <m/>
    <m/>
    <m/>
  </r>
  <r>
    <s v="26573482"/>
    <s v="Sluníčko volný čas dětí a mládeže, z.s."/>
    <s v="706"/>
    <x v="1"/>
    <x v="0"/>
    <s v="Zlín"/>
    <s v="Zlín, Fügnerovo nábřeží 5476, PSČ 76001"/>
    <s v="94991"/>
    <s v="Činnosti organizací dětí a mládeže"/>
    <m/>
    <m/>
    <m/>
    <m/>
    <m/>
    <m/>
    <m/>
    <m/>
    <m/>
    <m/>
    <m/>
    <m/>
    <m/>
    <m/>
    <m/>
    <m/>
    <m/>
  </r>
  <r>
    <s v="27014347"/>
    <s v="Slusnet"/>
    <s v="706"/>
    <x v="1"/>
    <x v="0"/>
    <s v="Slušovice"/>
    <s v="Slušovice, Padělky 541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976544"/>
    <s v="Slušovjánek, z.s."/>
    <s v="706"/>
    <x v="1"/>
    <x v="0"/>
    <s v="Slušovice"/>
    <s v="Slušovice, Vítězství 203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727816"/>
    <s v="SM Racing Jablůnka"/>
    <s v="706"/>
    <x v="1"/>
    <x v="1"/>
    <s v="Jablůnka"/>
    <s v="Jablůnka 555, PSČ 75623"/>
    <s v="931"/>
    <s v="Sportovní činnosti"/>
    <m/>
    <m/>
    <m/>
    <m/>
    <m/>
    <m/>
    <m/>
    <m/>
    <m/>
    <m/>
    <m/>
    <m/>
    <m/>
    <m/>
    <m/>
    <m/>
    <m/>
  </r>
  <r>
    <s v="22716891"/>
    <s v="Small Ranch Lechotice, občanské sdružení"/>
    <s v="706"/>
    <x v="1"/>
    <x v="3"/>
    <s v="Lechotice"/>
    <s v="Lechotice 39, PSČ 76852"/>
    <s v="93190"/>
    <s v="Ostatní sportovní činnosti"/>
    <m/>
    <m/>
    <m/>
    <m/>
    <m/>
    <m/>
    <m/>
    <m/>
    <m/>
    <m/>
    <m/>
    <m/>
    <m/>
    <m/>
    <m/>
    <m/>
    <m/>
  </r>
  <r>
    <s v="26535777"/>
    <s v="SMARAGD z.s."/>
    <s v="706"/>
    <x v="1"/>
    <x v="0"/>
    <s v="Zlín"/>
    <s v="Zlín, Obeciny VIII 3611, PSČ 76001"/>
    <s v="94991"/>
    <s v="Činnosti organizací dětí a mládeže"/>
    <m/>
    <m/>
    <m/>
    <m/>
    <m/>
    <m/>
    <m/>
    <m/>
    <m/>
    <m/>
    <m/>
    <m/>
    <m/>
    <m/>
    <m/>
    <m/>
    <m/>
  </r>
  <r>
    <s v="22904441"/>
    <s v="SMEDOMA, z.s."/>
    <s v="706"/>
    <x v="1"/>
    <x v="2"/>
    <s v="Strání"/>
    <s v="Strání, U Třicátku 314, PSČ 68765"/>
    <s v="9499"/>
    <s v="Činnosti ostatních organizací sdružujících osoby za účelem prosazování společných zájmů j. n."/>
    <s v="Tvůrčí, umělecké a zábavní činnosti"/>
    <m/>
    <m/>
    <m/>
    <m/>
    <m/>
    <m/>
    <m/>
    <m/>
    <m/>
    <m/>
    <m/>
    <m/>
    <m/>
    <m/>
    <m/>
    <m/>
  </r>
  <r>
    <s v="48472336"/>
    <s v="Smíšený pěvecký sbor DVOŘÁK, Zlín, z.s."/>
    <s v="706"/>
    <x v="1"/>
    <x v="0"/>
    <s v="Zlín"/>
    <s v="Zlín, třída Tomáše Bati 20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93110"/>
    <s v="Smíšený pěvecký sbor Svatopluk, z.s."/>
    <s v="706"/>
    <x v="1"/>
    <x v="2"/>
    <s v="Uherské Hradiště"/>
    <s v="Uherské Hradiště, Hradební 1198, Klub kultury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9675"/>
    <s v="Snails Kunovice z.s."/>
    <s v="706"/>
    <x v="1"/>
    <x v="2"/>
    <s v="Kunovice"/>
    <s v="Kunovice, Panská 25, PSČ 68604"/>
    <s v="93110"/>
    <s v="Provozování sportovních zařízení"/>
    <m/>
    <m/>
    <m/>
    <m/>
    <m/>
    <m/>
    <m/>
    <m/>
    <m/>
    <m/>
    <m/>
    <m/>
    <m/>
    <m/>
    <m/>
    <m/>
    <m/>
  </r>
  <r>
    <s v="06629857"/>
    <s v="SNOOKER CLUB HVOZDNÁ, z.s."/>
    <s v="706"/>
    <x v="1"/>
    <x v="0"/>
    <s v="Hvozdná"/>
    <s v="Hvozdná, Hlavní 228, PSČ 76310"/>
    <s v="93190"/>
    <s v="Ostatní sportovní činnosti"/>
    <m/>
    <m/>
    <m/>
    <m/>
    <m/>
    <m/>
    <m/>
    <m/>
    <m/>
    <m/>
    <m/>
    <m/>
    <m/>
    <m/>
    <m/>
    <m/>
    <m/>
  </r>
  <r>
    <s v="22906371"/>
    <s v="SNOW ACADEMY o.s."/>
    <s v="706"/>
    <x v="1"/>
    <x v="1"/>
    <s v="Horní Bečva"/>
    <s v="Horní Bečva 680, PSČ 75657"/>
    <s v="94991"/>
    <s v="Činnosti organizací dětí a mládeže"/>
    <s v="Sportovní, zábavní a rekreační činnosti"/>
    <m/>
    <m/>
    <m/>
    <m/>
    <m/>
    <m/>
    <m/>
    <m/>
    <m/>
    <m/>
    <m/>
    <m/>
    <m/>
    <m/>
    <m/>
    <m/>
  </r>
  <r>
    <s v="22905529"/>
    <s v="Snowboard klub Zlín o.s."/>
    <s v="706"/>
    <x v="1"/>
    <x v="0"/>
    <s v="Zlín"/>
    <s v="Zlín, nám. T. G. Masaryka 5144, PSČ 76001"/>
    <s v="93120"/>
    <s v="Činnosti sportovních klubů"/>
    <m/>
    <m/>
    <m/>
    <m/>
    <m/>
    <m/>
    <m/>
    <m/>
    <m/>
    <m/>
    <m/>
    <m/>
    <m/>
    <m/>
    <m/>
    <m/>
    <m/>
  </r>
  <r>
    <s v="26602555"/>
    <s v="Snowboarding Beskydy"/>
    <s v="706"/>
    <x v="1"/>
    <x v="1"/>
    <s v="Horní Bečva"/>
    <s v="Horní Bečva 803, PSČ 7565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11364"/>
    <s v="Social backstage, z.s."/>
    <s v="706"/>
    <x v="1"/>
    <x v="0"/>
    <s v="Tlumačov"/>
    <s v="Tlumačov, Nádražní 204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42680"/>
    <s v="Social business, z.s."/>
    <s v="706"/>
    <x v="1"/>
    <x v="0"/>
    <s v="Tlumačov"/>
    <s v="Tlumačov, Nádražní 204, PSČ 7636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606157"/>
    <s v="Societas lactea"/>
    <s v="706"/>
    <x v="1"/>
    <x v="3"/>
    <s v="Kroměříž"/>
    <s v="Kroměříž, Velké náměstí 106/49, PSČ 76701"/>
    <s v="94999"/>
    <s v="Činnosti ostatních organizací j. n."/>
    <m/>
    <m/>
    <m/>
    <m/>
    <m/>
    <m/>
    <m/>
    <m/>
    <m/>
    <m/>
    <m/>
    <m/>
    <m/>
    <m/>
    <m/>
    <m/>
    <m/>
  </r>
  <r>
    <s v="22739076"/>
    <s v="&quot;Sodis&quot;"/>
    <s v="706"/>
    <x v="1"/>
    <x v="0"/>
    <s v="Zlín"/>
    <s v="Zlín, Okružní 4699-l.segment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337429"/>
    <s v="SOG Adventure z.s."/>
    <s v="706"/>
    <x v="1"/>
    <x v="1"/>
    <s v="Liptál"/>
    <s v="Liptál 479, PSČ 756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29916"/>
    <s v="SOK - Spolek občanů Komárova"/>
    <s v="706"/>
    <x v="1"/>
    <x v="0"/>
    <s v="Komárov"/>
    <s v="Komárov 10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5668"/>
    <s v="Sokol Bystřice pod Lopeníkem z.s."/>
    <s v="706"/>
    <x v="1"/>
    <x v="2"/>
    <s v="Bystřice pod Lopeníkem"/>
    <s v="Bystřice pod Lopeníkem 393, PSČ 68755"/>
    <s v="93110"/>
    <s v="Provozování sportovních zařízení"/>
    <m/>
    <m/>
    <m/>
    <m/>
    <m/>
    <m/>
    <m/>
    <m/>
    <m/>
    <m/>
    <m/>
    <m/>
    <m/>
    <m/>
    <m/>
    <m/>
    <m/>
  </r>
  <r>
    <s v="47930110"/>
    <s v="SOKOL SLÍŽANY"/>
    <s v="736"/>
    <x v="0"/>
    <x v="3"/>
    <s v="Morkovice-Slížany"/>
    <s v="Morkovice-Slížany, Morkovice, Kolaříkova 611, PSČ 76833"/>
    <s v="93110"/>
    <s v="Provozování sportovních zařízení"/>
    <m/>
    <m/>
    <m/>
    <m/>
    <m/>
    <m/>
    <m/>
    <m/>
    <m/>
    <m/>
    <m/>
    <m/>
    <m/>
    <m/>
    <m/>
    <m/>
    <m/>
  </r>
  <r>
    <s v="61704351"/>
    <s v="Sokol Suchá Loz, zapsaný spolek"/>
    <s v="706"/>
    <x v="1"/>
    <x v="2"/>
    <s v="Suchá Loz"/>
    <s v="Suchá Loz 146, PSČ 68753"/>
    <s v="93110"/>
    <s v="Provozování sportovních zařízení"/>
    <m/>
    <m/>
    <m/>
    <m/>
    <m/>
    <m/>
    <m/>
    <m/>
    <m/>
    <m/>
    <m/>
    <m/>
    <m/>
    <m/>
    <m/>
    <m/>
    <m/>
  </r>
  <r>
    <s v="26587483"/>
    <s v="Sokolníci - pro ochranu přírody a krajiny - Chřibů"/>
    <s v="706"/>
    <x v="1"/>
    <x v="2"/>
    <s v="Stupava"/>
    <s v="Stupava 10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306051"/>
    <s v="Sokolovo o.p.s."/>
    <s v="141"/>
    <x v="2"/>
    <x v="2"/>
    <s v="Vlčnov"/>
    <s v="Vlčnov 254, PSČ 68761"/>
    <s v="94992"/>
    <s v="Činnosti organizací na podporu kulturní činnosti"/>
    <m/>
    <m/>
    <m/>
    <m/>
    <m/>
    <m/>
    <m/>
    <m/>
    <m/>
    <m/>
    <m/>
    <m/>
    <m/>
    <m/>
    <m/>
    <m/>
    <m/>
  </r>
  <r>
    <s v="46998489"/>
    <s v="Sokolská župa Hanácká"/>
    <s v="736"/>
    <x v="0"/>
    <x v="3"/>
    <s v="Kroměříž"/>
    <s v="Kroměříž, 1. máje 214/12, PSČ 76701"/>
    <s v="93110"/>
    <s v="Provozování sportovních zařízení"/>
    <m/>
    <m/>
    <m/>
    <m/>
    <m/>
    <m/>
    <m/>
    <m/>
    <m/>
    <m/>
    <m/>
    <m/>
    <m/>
    <m/>
    <m/>
    <m/>
    <m/>
  </r>
  <r>
    <s v="16361083"/>
    <s v="Sokolská župa Komenského"/>
    <s v="736"/>
    <x v="0"/>
    <x v="0"/>
    <s v="Zlín"/>
    <s v="Zlín, Sokolská 4427, PSČ 76001"/>
    <s v="93110"/>
    <s v="Provozování sportovních zařízení"/>
    <m/>
    <m/>
    <m/>
    <m/>
    <m/>
    <m/>
    <m/>
    <m/>
    <m/>
    <m/>
    <m/>
    <m/>
    <m/>
    <m/>
    <m/>
    <m/>
    <m/>
  </r>
  <r>
    <s v="65469739"/>
    <s v="Sokolská župa Valašská Františka Palackého"/>
    <s v="736"/>
    <x v="0"/>
    <x v="1"/>
    <s v="Valašské Meziříčí"/>
    <s v="Valašské Meziříčí, Sokolská 124/38, PSČ 75701"/>
    <s v="93110"/>
    <s v="Provozování sportovních zařízení"/>
    <s v="Ostatní zábavní a rekreační činnosti j. n."/>
    <m/>
    <m/>
    <m/>
    <m/>
    <m/>
    <m/>
    <m/>
    <m/>
    <m/>
    <m/>
    <m/>
    <m/>
    <m/>
    <m/>
    <m/>
    <m/>
  </r>
  <r>
    <s v="22668268"/>
    <s v="SOLIO, o.s."/>
    <s v="706"/>
    <x v="1"/>
    <x v="0"/>
    <s v="Zlín"/>
    <s v="Zlín, Podlesí 49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1579"/>
    <s v="Solisko, z.s."/>
    <s v="706"/>
    <x v="1"/>
    <x v="0"/>
    <s v="Držková"/>
    <s v="Držková 128, PSČ 7631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1283"/>
    <s v="“S.O.S. Děti Kambodži”"/>
    <s v="706"/>
    <x v="1"/>
    <x v="3"/>
    <s v="Kroměříž"/>
    <s v="Kroměříž, Štěchovice 1320/9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19950985"/>
    <s v="soubor Malena z.s."/>
    <s v="706"/>
    <x v="1"/>
    <x v="0"/>
    <s v="Zlín"/>
    <s v="Zlín, Malenovice, Červnová 1283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70475"/>
    <s v="Soubor písní a tanců Dolina z.s."/>
    <s v="706"/>
    <x v="1"/>
    <x v="2"/>
    <s v="Staré Město"/>
    <s v="Staré Město, Sochorcova 808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563076"/>
    <s v="Soubor písní a tanců JAVOŘINA, z.s."/>
    <s v="706"/>
    <x v="1"/>
    <x v="1"/>
    <s v="Rožnov pod Radhoštěm"/>
    <s v="Rožnov pod Radhoštěm, Hážovice 205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91772"/>
    <s v="Soubor písní a tanců OLŠAVA, z. s."/>
    <s v="706"/>
    <x v="1"/>
    <x v="2"/>
    <s v="Uherský Brod"/>
    <s v="Uherský Brod, Mariánské nám. 218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5211418"/>
    <s v="Soubor valašských písní a tanců Kyčera, z.s."/>
    <s v="706"/>
    <x v="1"/>
    <x v="1"/>
    <s v="Halenkov"/>
    <s v="Halenkov 535, PSČ 75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44994"/>
    <s v="Soubor valašských písní a tanců Ovčák, z.s."/>
    <s v="706"/>
    <x v="1"/>
    <x v="1"/>
    <s v="Hovězí"/>
    <s v="Hovězí 413, PSČ 75601"/>
    <s v="9499"/>
    <s v="Činnosti ostatních organizací sdružujících osoby za účelem prosazování společných zájmů j. n."/>
    <s v="Výroba, obchod a služby neuvedené v přílohách 1 až 3 živnostenského zákona"/>
    <s v="Destilace, rektifikace a míchání lihovin"/>
    <s v="Stravování v restauracích, u stánků a v mobilních zařízeních"/>
    <m/>
    <m/>
    <m/>
    <m/>
    <m/>
    <m/>
    <m/>
    <m/>
    <m/>
    <m/>
    <m/>
    <m/>
    <m/>
    <m/>
  </r>
  <r>
    <s v="25830007"/>
    <s v="Soukromá mateřská škola Štěpán, o.p.s."/>
    <s v="141"/>
    <x v="2"/>
    <x v="1"/>
    <s v="Vsetín"/>
    <s v="Vsetín, Slovenská ulice č. 2012"/>
    <s v="85100"/>
    <s v="Předškolní vzdělávání"/>
    <m/>
    <m/>
    <m/>
    <m/>
    <m/>
    <m/>
    <m/>
    <m/>
    <m/>
    <m/>
    <m/>
    <m/>
    <m/>
    <m/>
    <m/>
    <m/>
    <m/>
  </r>
  <r>
    <s v="25547429"/>
    <s v="Soukromá střední odborná škola  o.p.s."/>
    <s v="141"/>
    <x v="2"/>
    <x v="0"/>
    <s v="Zlín"/>
    <s v="Zlín, nám. T. G. Masaryka 1279, PSČ 76001"/>
    <s v="855"/>
    <s v="Ostatní vzdělávání"/>
    <m/>
    <m/>
    <m/>
    <m/>
    <m/>
    <m/>
    <m/>
    <m/>
    <m/>
    <m/>
    <m/>
    <m/>
    <m/>
    <m/>
    <m/>
    <m/>
    <m/>
  </r>
  <r>
    <s v="26569787"/>
    <s v="&quot;SOUZVUKY o.s. Asociace pro celostní přístup k člověku&quot;"/>
    <s v="706"/>
    <x v="1"/>
    <x v="3"/>
    <s v="Kroměříž"/>
    <s v="Kroměříž, K Vodojemu 4328/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9811"/>
    <s v="SP Rožnov z.s."/>
    <s v="706"/>
    <x v="1"/>
    <x v="1"/>
    <s v="Rožnov pod Radhoštěm"/>
    <s v="Rožnov pod Radhoštěm, Polanského 2776, PSČ 75661"/>
    <s v="93190"/>
    <s v="Ostatní sportovní činnosti"/>
    <m/>
    <m/>
    <m/>
    <m/>
    <m/>
    <m/>
    <m/>
    <m/>
    <m/>
    <m/>
    <m/>
    <m/>
    <m/>
    <m/>
    <m/>
    <m/>
    <m/>
  </r>
  <r>
    <s v="26527316"/>
    <s v="Spartakus Zlín"/>
    <s v="706"/>
    <x v="1"/>
    <x v="0"/>
    <s v="Zlín"/>
    <s v="Zlín, Budovatelská 4821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549617"/>
    <s v="Specializovaná základní organizace Českého zahrádkářského svazu Komunitní zahradničení"/>
    <s v="736"/>
    <x v="0"/>
    <x v="2"/>
    <s v="Ořechov"/>
    <s v="Ořechov 105, PSČ 6873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976397"/>
    <s v="Speed dance Uherský Brod"/>
    <s v="706"/>
    <x v="1"/>
    <x v="2"/>
    <s v="Uherský Brod"/>
    <s v="Uherský Brod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3231"/>
    <s v="Speed Racing Team - motorsport z. s."/>
    <s v="706"/>
    <x v="1"/>
    <x v="2"/>
    <s v="Jankovice"/>
    <s v="Jankovice 49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6875"/>
    <s v="SPEEDBIKE TEAM FRYŠTÁK"/>
    <s v="706"/>
    <x v="1"/>
    <x v="0"/>
    <s v="Fryšták"/>
    <s v="Fryšták, Osvobození 434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2374"/>
    <s v="Speedskating club Otrokovice, z.s."/>
    <s v="706"/>
    <x v="1"/>
    <x v="0"/>
    <s v="Otrokovice"/>
    <s v="Otrokovice, Jiráskova 1333, PSČ 76502"/>
    <s v="93110"/>
    <s v="Provozování sportovních zařízení"/>
    <m/>
    <m/>
    <m/>
    <m/>
    <m/>
    <m/>
    <m/>
    <m/>
    <m/>
    <m/>
    <m/>
    <m/>
    <m/>
    <m/>
    <m/>
    <m/>
    <m/>
  </r>
  <r>
    <s v="11632879"/>
    <s v="Speedy sport z.s."/>
    <s v="706"/>
    <x v="1"/>
    <x v="0"/>
    <s v="Zlín"/>
    <s v="Zlín, Příkrá 6962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002699"/>
    <s v="Speedypaws, z. s."/>
    <s v="706"/>
    <x v="1"/>
    <x v="3"/>
    <s v="Hulín"/>
    <s v="Hulín, Záhlinice 67, PSČ 76824"/>
    <s v="94991"/>
    <s v="Činnosti organizací dětí a mládeže"/>
    <m/>
    <m/>
    <m/>
    <m/>
    <m/>
    <m/>
    <m/>
    <m/>
    <m/>
    <m/>
    <m/>
    <m/>
    <m/>
    <m/>
    <m/>
    <m/>
    <m/>
  </r>
  <r>
    <s v="26524562"/>
    <s v="SPEKTRUM - Krajská rada dětí a mládeže Zlínského kraje, z.s."/>
    <s v="706"/>
    <x v="1"/>
    <x v="0"/>
    <s v="Zlín"/>
    <s v="Zlín, Mladcová, Vinohrádek 54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652180"/>
    <s v="SPEKTRUM Kroměříž, z.s."/>
    <s v="706"/>
    <x v="1"/>
    <x v="3"/>
    <s v="Kroměříž"/>
    <s v="Koměříž, Husovo nám.229/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509796"/>
    <s v="SPEKTRUM PLUS  o.p.s."/>
    <s v="141"/>
    <x v="2"/>
    <x v="0"/>
    <s v="Zlín"/>
    <s v="Zlín, tř.T.Bati 299, PSČ 760 01"/>
    <s v="88"/>
    <s v="Ambulantní nebo terénní sociální služby"/>
    <s v="Tvůrčí, umělecké a zábavní činnosti"/>
    <m/>
    <m/>
    <m/>
    <m/>
    <m/>
    <m/>
    <m/>
    <m/>
    <m/>
    <m/>
    <m/>
    <m/>
    <m/>
    <m/>
    <m/>
    <m/>
  </r>
  <r>
    <s v="04986679"/>
    <s v="SPILLA z.s."/>
    <s v="706"/>
    <x v="1"/>
    <x v="3"/>
    <s v="Holešov"/>
    <s v="Holešov, Malá 75/15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11519"/>
    <s v="Spinkey, z.s."/>
    <s v="706"/>
    <x v="1"/>
    <x v="0"/>
    <s v="Žlutava"/>
    <s v="Žlutava 199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6767"/>
    <s v="&quot;SpinMalenovice&quot;"/>
    <s v="706"/>
    <x v="1"/>
    <x v="0"/>
    <s v="Zlín"/>
    <s v="Zlín-Malenovice, tř. 3. května 325, budova TENO PLUS"/>
    <s v="93190"/>
    <s v="Ostatní sportovní činnosti"/>
    <m/>
    <m/>
    <m/>
    <m/>
    <m/>
    <m/>
    <m/>
    <m/>
    <m/>
    <m/>
    <m/>
    <m/>
    <m/>
    <m/>
    <m/>
    <m/>
    <m/>
  </r>
  <r>
    <s v="05698928"/>
    <s v="SPIRALIS VITAE, z. s."/>
    <s v="706"/>
    <x v="1"/>
    <x v="1"/>
    <s v="Rožnov pod Radhoštěm"/>
    <s v="Rožnov pod Radhoštěm, 5. května 1352, PSČ 7566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763422"/>
    <s v="Spiti Sapan"/>
    <s v="706"/>
    <x v="1"/>
    <x v="0"/>
    <s v="Luhačovice"/>
    <s v="Luhačovice, Bílá čtvrť 447, PSČ 76326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965200"/>
    <s v="SPMP ČR pobočný spolek Valašské Meziříčí"/>
    <s v="736"/>
    <x v="0"/>
    <x v="1"/>
    <s v="Valašské Meziříčí"/>
    <s v="Valašské Meziříčí, Zdeňka Fibicha 287, PSČ 75701"/>
    <s v="9499"/>
    <s v="Činnosti ostatních organizací sdružujících osoby za účelem prosazování společných zájmů j. n."/>
    <s v="Ambulantní nebo terénní sociální služby pro osoby se zdravotním postižením"/>
    <m/>
    <m/>
    <m/>
    <m/>
    <m/>
    <m/>
    <m/>
    <m/>
    <m/>
    <m/>
    <m/>
    <m/>
    <m/>
    <m/>
    <m/>
    <m/>
  </r>
  <r>
    <s v="04918215"/>
    <s v="SPMP ČR POBOČNÝ SPOLEK ZLÍN KLUB STŮŇATA"/>
    <s v="736"/>
    <x v="0"/>
    <x v="0"/>
    <s v="Otrokovice"/>
    <s v="Otrokovice, Olbrachtova 1189, PSČ 765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46277374"/>
    <s v="Spojené sportovní kluby Malé kopané Zlín, z. s."/>
    <s v="706"/>
    <x v="1"/>
    <x v="0"/>
    <s v="Zlín"/>
    <s v="Zlín, Na Honech I 4901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33021"/>
    <s v="Společenský klub Lidečko, z. s."/>
    <s v="706"/>
    <x v="1"/>
    <x v="1"/>
    <s v="Lidečko"/>
    <s v="Lidečko 467, PSČ 75612"/>
    <s v="94991"/>
    <s v="Činnosti organizací dětí a mládeže"/>
    <m/>
    <m/>
    <m/>
    <m/>
    <m/>
    <m/>
    <m/>
    <m/>
    <m/>
    <m/>
    <m/>
    <m/>
    <m/>
    <m/>
    <m/>
    <m/>
    <m/>
  </r>
  <r>
    <s v="26596547"/>
    <s v="Společenství - Králové slávy, z.s."/>
    <s v="706"/>
    <x v="1"/>
    <x v="1"/>
    <s v="Valašské Meziříčí"/>
    <s v="Valašské Meziříčí, Luční 115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835148"/>
    <s v="Společenství Projekt ON, z. s."/>
    <s v="706"/>
    <x v="1"/>
    <x v="0"/>
    <s v="Valašské Klobouky"/>
    <s v="Valašské Klobouky, Příčná 154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3834"/>
    <s v="Společenství přátel Stojanova gymnázia, Velehrad, z.s."/>
    <s v="706"/>
    <x v="1"/>
    <x v="2"/>
    <s v="Velehrad"/>
    <s v="Velehrad, Nádvoří 1, PSČ 68706"/>
    <s v="94999"/>
    <s v="Činnosti ostatních organizací j. n."/>
    <m/>
    <m/>
    <m/>
    <m/>
    <m/>
    <m/>
    <m/>
    <m/>
    <m/>
    <m/>
    <m/>
    <m/>
    <m/>
    <m/>
    <m/>
    <m/>
    <m/>
  </r>
  <r>
    <s v="03800911"/>
    <s v="Společenství vdov a vdovců, z.s."/>
    <s v="706"/>
    <x v="1"/>
    <x v="0"/>
    <s v="Zlín"/>
    <s v="Zlín, Divadelní 324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931270"/>
    <s v="Společenstvo hostinských m.Valašské Meziříčí"/>
    <s v="706"/>
    <x v="1"/>
    <x v="1"/>
    <s v="Valašské Meziříčí"/>
    <s v="Valašské Meziříčí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409276"/>
    <s v="Společenstvo podnikatelů pro poradenství při podnikatelské činnosti"/>
    <s v="706"/>
    <x v="1"/>
    <x v="1"/>
    <s v="Valašské Meziříčí"/>
    <s v="Valašské Meziříčí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650870"/>
    <s v="Společenstvo podnikatelů v pohostinství a ubytování"/>
    <s v="706"/>
    <x v="1"/>
    <x v="2"/>
    <s v="Uherské Hradiště"/>
    <s v="Uherské Hradiště, Hradební 123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500389"/>
    <s v="Společenstvo truhlářů Rožnov pod Radhoštěm"/>
    <s v="706"/>
    <x v="1"/>
    <x v="1"/>
    <s v="Rožnov pod Radhoštěm"/>
    <s v="Rožnov pod Radhoštěm"/>
    <s v="94120"/>
    <s v="Činnosti profesních organizací"/>
    <m/>
    <m/>
    <m/>
    <m/>
    <m/>
    <m/>
    <m/>
    <m/>
    <m/>
    <m/>
    <m/>
    <m/>
    <m/>
    <m/>
    <m/>
    <m/>
    <m/>
  </r>
  <r>
    <s v="22369449"/>
    <s v="společně pro Napajedla z.s."/>
    <s v="706"/>
    <x v="1"/>
    <x v="0"/>
    <s v="Zlín"/>
    <s v="Zlín, nám. T. G. Masaryka 128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3633593"/>
    <s v="Společnost Božího Slova"/>
    <s v="722"/>
    <x v="5"/>
    <x v="1"/>
    <s v="Nový Hrozenkov"/>
    <s v="Nový Hrozenkov 460, PSČ 75604"/>
    <s v="94910"/>
    <s v="Činnosti náboženských organizací"/>
    <m/>
    <m/>
    <m/>
    <m/>
    <m/>
    <m/>
    <m/>
    <m/>
    <m/>
    <m/>
    <m/>
    <m/>
    <m/>
    <m/>
    <m/>
    <m/>
    <m/>
  </r>
  <r>
    <s v="60369868"/>
    <s v="Společnost dialyzovaných a transplantovaných nemocných, jejich rodinných příslušníků a přá- tel dialýzy"/>
    <s v="736"/>
    <x v="0"/>
    <x v="2"/>
    <s v="Uherské Hradiště"/>
    <s v="Uherské Hradiště, Uh. Hradiště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6361903"/>
    <s v="Společnost Jízdy Králů, z.s."/>
    <s v="706"/>
    <x v="1"/>
    <x v="2"/>
    <s v="Vlčnov"/>
    <s v="Vlčnov 186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3747"/>
    <s v="Společnost katolického domu ve Všetulích, z.s."/>
    <s v="706"/>
    <x v="1"/>
    <x v="3"/>
    <s v="Holešov"/>
    <s v="Holešov, Všetuly, 6. května 20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5823"/>
    <s v="Společnost klasické kytary Zlín, z. s."/>
    <s v="706"/>
    <x v="1"/>
    <x v="0"/>
    <s v="Zlín"/>
    <s v="Zlín, Větrná 4654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9674"/>
    <s v="Společnost KT, z. s."/>
    <s v="706"/>
    <x v="1"/>
    <x v="0"/>
    <s v="Zlín"/>
    <s v="Zlín, Kostelec, Fryštácká 486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9540"/>
    <s v="Společnost Lidí Ochotných a Odhodlaných Nikdy Nezestárnout SAURUS"/>
    <s v="706"/>
    <x v="1"/>
    <x v="3"/>
    <s v="Lechotice"/>
    <s v="Kroměříž, Lechotice 1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1895"/>
    <s v="Společnost pro kulturu obce Strání z.s."/>
    <s v="706"/>
    <x v="1"/>
    <x v="2"/>
    <s v="Strání"/>
    <s v="Strání, Na kopci 216, PSČ 6876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3869"/>
    <s v="Společnost pro naplnění odkazu prof.dr.ing.Rudolfa Haši"/>
    <s v="706"/>
    <x v="1"/>
    <x v="1"/>
    <s v="Kunovice"/>
    <s v="Kunovice 153, PSČ 756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7892"/>
    <s v="Společnost pro obnovu Rajnochovické lesní železnice, z.s."/>
    <s v="706"/>
    <x v="1"/>
    <x v="1"/>
    <s v="Valašské Meziříčí"/>
    <s v="Valašské Meziříčí, Krásno nad Bečvou, Na Šištotě 627/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1711"/>
    <s v="Společnost pro odkaz dr. Edvarda Beneše"/>
    <s v="706"/>
    <x v="1"/>
    <x v="0"/>
    <s v="Zlín"/>
    <s v="Zlín, Ševcovská 407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998039"/>
    <s v="Společnost pro pomoc nemocným dětem Kroměříž, z.s."/>
    <s v="706"/>
    <x v="1"/>
    <x v="3"/>
    <s v="Kroměříž"/>
    <s v="Kroměříž, Třasoňova 3344/8A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151842"/>
    <s v="Společnost pro uchování odbojových tradic, z.s."/>
    <s v="706"/>
    <x v="1"/>
    <x v="1"/>
    <s v="Valašské Meziříčí"/>
    <s v="Valašské Meziříčí, Poláškova 40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1773"/>
    <s v="Společnost přátel slivovice České republiky,z.s."/>
    <s v="706"/>
    <x v="1"/>
    <x v="2"/>
    <s v="Uherské Hradiště"/>
    <s v="Uherské Hradiště, Smetanovy sady 17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4171"/>
    <s v="Společnost přátel Slovenska"/>
    <s v="706"/>
    <x v="1"/>
    <x v="3"/>
    <s v="Kroměříž"/>
    <s v="Kroměříž, Slovanské náměstí 3920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610516"/>
    <s v="Společnost přátel Základní umělecké školy Rudolfa Firkušného z.s."/>
    <s v="706"/>
    <x v="1"/>
    <x v="0"/>
    <s v="Napajedla"/>
    <s v="Napajedla, Komenského 305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9979"/>
    <s v="Společnost přátel ZUŠ MORAVA, z.s."/>
    <s v="706"/>
    <x v="1"/>
    <x v="0"/>
    <s v="Fryšták"/>
    <s v="Fryšták, Holešovská 271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638271"/>
    <s v="Společnost REZEDA o.p.s."/>
    <s v="141"/>
    <x v="2"/>
    <x v="1"/>
    <s v="Vidče"/>
    <s v="Vidče 420, PSČ 75653"/>
    <s v="702"/>
    <s v="Poradenství v oblasti řízení"/>
    <s v="Ostatní vzdělávání"/>
    <s v="Ostatní ambulantní nebo terénní sociální služby j. n."/>
    <m/>
    <m/>
    <m/>
    <m/>
    <m/>
    <m/>
    <m/>
    <m/>
    <m/>
    <m/>
    <m/>
    <m/>
    <m/>
    <m/>
    <m/>
  </r>
  <r>
    <s v="64439500"/>
    <s v="Společnost singularistů v Bánově, z. s."/>
    <s v="706"/>
    <x v="1"/>
    <x v="2"/>
    <s v="Bánov"/>
    <s v="Bánov 700, PSČ 687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752"/>
    <s v="Společnost Zlínské školy umění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21714"/>
    <s v="Společnost 4.0 z. s."/>
    <s v="706"/>
    <x v="1"/>
    <x v="2"/>
    <s v="Uherské Hradiště"/>
    <s v="Uherské Hradiště, Štefánikova 69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419124"/>
    <s v="Spolek  rodičů a přátel Obchodní akademie Kroměříž"/>
    <s v="706"/>
    <x v="1"/>
    <x v="3"/>
    <s v="Kroměříž"/>
    <s v="Kroměříž, Obvodová 3503/7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898240"/>
    <s v="Spolek - Studénky Zubří"/>
    <s v="706"/>
    <x v="1"/>
    <x v="1"/>
    <s v="Zubří"/>
    <s v="Zubří, Pod Javorníkem 152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048897"/>
    <s v="Spolek AEROKLUB ZLIN"/>
    <s v="706"/>
    <x v="1"/>
    <x v="0"/>
    <s v="Otrokovice"/>
    <s v="Otrokovice, Letiště 1887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6328709"/>
    <s v="Spolek Aliance Voda Zlínsku"/>
    <s v="706"/>
    <x v="1"/>
    <x v="0"/>
    <s v="Zlín"/>
    <s v="Zlín, Družstevní 4510, PSČ 76005"/>
    <s v="94995"/>
    <s v="Činnosti environmentálních a ekologických hnutí"/>
    <m/>
    <m/>
    <m/>
    <m/>
    <m/>
    <m/>
    <m/>
    <m/>
    <m/>
    <m/>
    <m/>
    <m/>
    <m/>
    <m/>
    <m/>
    <m/>
    <m/>
  </r>
  <r>
    <s v="10861921"/>
    <s v="Spolek Almara"/>
    <s v="706"/>
    <x v="1"/>
    <x v="1"/>
    <s v="Liptál"/>
    <s v="Liptál 36, PSČ 756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4584"/>
    <s v="SPOLEK AMFOLKFEST"/>
    <s v="706"/>
    <x v="1"/>
    <x v="1"/>
    <s v="Horní Lideč"/>
    <s v="Horní Lideč 291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061343"/>
    <s v="Spolek Archery Club Prakšice"/>
    <s v="706"/>
    <x v="1"/>
    <x v="2"/>
    <s v="Prakšice"/>
    <s v="Prakšice 29, PSČ 687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40290"/>
    <s v="Spolek Arnicanis pomáhat duším"/>
    <s v="706"/>
    <x v="1"/>
    <x v="1"/>
    <s v="Police"/>
    <s v="Police 210, PSČ 75644"/>
    <s v="9499"/>
    <s v="Činnosti ostatních organizací sdružujících osoby za účelem prosazování společných zájmů j. n."/>
    <s v="Ostatní činnosti související se zdravotní péčí"/>
    <m/>
    <m/>
    <m/>
    <m/>
    <m/>
    <m/>
    <m/>
    <m/>
    <m/>
    <m/>
    <m/>
    <m/>
    <m/>
    <m/>
    <m/>
    <m/>
  </r>
  <r>
    <s v="22877991"/>
    <s v="Spolek BARBOŘICE"/>
    <s v="706"/>
    <x v="1"/>
    <x v="3"/>
    <s v="Kroměříž"/>
    <s v="Kroměříž, Kojetínská 1187/1A, PSČ 76701"/>
    <s v="94995"/>
    <s v="Činnosti environmentálních a ekologických hnutí"/>
    <m/>
    <m/>
    <m/>
    <m/>
    <m/>
    <m/>
    <m/>
    <m/>
    <m/>
    <m/>
    <m/>
    <m/>
    <m/>
    <m/>
    <m/>
    <m/>
    <m/>
  </r>
  <r>
    <s v="03691144"/>
    <s v="Spolek Bečvanských hudebníků"/>
    <s v="706"/>
    <x v="1"/>
    <x v="1"/>
    <s v="Horní Bečva"/>
    <s v="Horní Bečva 1023, PSČ 7565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600861"/>
    <s v="Spolek Benefit aktiv"/>
    <s v="706"/>
    <x v="1"/>
    <x v="1"/>
    <s v="Kelč"/>
    <s v="Kelč 22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47394"/>
    <s v="Spolek BIKE and RIDE Nivnice, z.s."/>
    <s v="706"/>
    <x v="1"/>
    <x v="2"/>
    <s v="Nivnice"/>
    <s v="Nivnice, Sídliště 1000, PSČ 68751"/>
    <s v="93190"/>
    <s v="Ostatní sportovní činnosti"/>
    <m/>
    <m/>
    <m/>
    <m/>
    <m/>
    <m/>
    <m/>
    <m/>
    <m/>
    <m/>
    <m/>
    <m/>
    <m/>
    <m/>
    <m/>
    <m/>
    <m/>
  </r>
  <r>
    <s v="69211655"/>
    <s v="Spolek Blackbirds"/>
    <s v="706"/>
    <x v="1"/>
    <x v="1"/>
    <s v="Vsetín"/>
    <s v="Vsetín, Rokytnice, Okružní 454, PSČ 75501"/>
    <s v="94991"/>
    <s v="Činnosti organizací dětí a mládeže"/>
    <m/>
    <m/>
    <m/>
    <m/>
    <m/>
    <m/>
    <m/>
    <m/>
    <m/>
    <m/>
    <m/>
    <m/>
    <m/>
    <m/>
    <m/>
    <m/>
    <m/>
  </r>
  <r>
    <s v="11899883"/>
    <s v="spolek Buchlovské perutě"/>
    <s v="706"/>
    <x v="1"/>
    <x v="2"/>
    <s v="Buchlovice"/>
    <s v="Buchlovice, Velehradská 197, PSČ 68708"/>
    <s v="93190"/>
    <s v="Ostatní sportovní činnosti"/>
    <m/>
    <m/>
    <m/>
    <m/>
    <m/>
    <m/>
    <m/>
    <m/>
    <m/>
    <m/>
    <m/>
    <m/>
    <m/>
    <m/>
    <m/>
    <m/>
    <m/>
  </r>
  <r>
    <s v="69609683"/>
    <s v="Spolek certifikačních orgánů pro certifikaci výrobků"/>
    <s v="706"/>
    <x v="1"/>
    <x v="0"/>
    <s v="Zlín"/>
    <s v="Zlín, Louky, třída Tomáše Bati 299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53228"/>
    <s v="Spolek chovatelů koní Valašska, z.s."/>
    <s v="706"/>
    <x v="1"/>
    <x v="1"/>
    <s v="Rožnov pod Radhoštěm"/>
    <s v="Rožnov pod Radhoštěm, Bučiska 546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917315"/>
    <s v="Spolek Císařovna Zita"/>
    <s v="706"/>
    <x v="1"/>
    <x v="0"/>
    <s v="Zlín"/>
    <s v="Zlín, Na Honech III 4932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197634"/>
    <s v="Spolek CM Pajtáš"/>
    <s v="706"/>
    <x v="1"/>
    <x v="2"/>
    <s v="Lopeník"/>
    <s v="Lopeník 65, PSČ 6876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325967"/>
    <s v="SPOLEK CrossPowerFit UH"/>
    <s v="706"/>
    <x v="1"/>
    <x v="2"/>
    <s v="Uherské Hradiště"/>
    <s v="Uherské Hradiště, Štěpnická 1044, PSČ 68606"/>
    <s v="93190"/>
    <s v="Ostatní sportovní činnosti"/>
    <m/>
    <m/>
    <m/>
    <m/>
    <m/>
    <m/>
    <m/>
    <m/>
    <m/>
    <m/>
    <m/>
    <m/>
    <m/>
    <m/>
    <m/>
    <m/>
    <m/>
  </r>
  <r>
    <s v="27008665"/>
    <s v="Spolek Červený kruh - vzdělávací centrum"/>
    <s v="706"/>
    <x v="1"/>
    <x v="2"/>
    <s v="Uherský Brod"/>
    <s v="Uherský Brod, Rolnická 2351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312028"/>
    <s v="Spolek členů Aktivní zálohy AČR Zlínského kraje"/>
    <s v="706"/>
    <x v="1"/>
    <x v="2"/>
    <s v="Prakšice"/>
    <s v="Prakšice 240, PSČ 687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1236"/>
    <s v="Spolek Člověk člověku Valašské Meziříčí"/>
    <s v="706"/>
    <x v="1"/>
    <x v="1"/>
    <s v="Valašské Meziříčí"/>
    <s v="Valašské Meziříčí, Krásno nad Bečvou, Zašovská 78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11041"/>
    <s v="Spolek dárců krve při krajské nemocnici T.Baťi ve Zlíně"/>
    <s v="706"/>
    <x v="1"/>
    <x v="0"/>
    <s v="Zlín"/>
    <s v="Zlín, Havlíčkovo nábřeží 60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3971"/>
    <s v="Spolek Dechová hudba Hrozenčané"/>
    <s v="706"/>
    <x v="1"/>
    <x v="2"/>
    <s v="Starý Hrozenkov"/>
    <s v="Starý Hrozenkov 94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42339"/>
    <s v="Spolek Dědina"/>
    <s v="706"/>
    <x v="1"/>
    <x v="3"/>
    <s v="Zástřizly"/>
    <s v="Zástřizly 19, PSČ 768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449552"/>
    <s v="Spolek DH Sebraňáci"/>
    <s v="706"/>
    <x v="1"/>
    <x v="3"/>
    <s v="Roštění"/>
    <s v="Roštění 64, PSČ 768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279070"/>
    <s v="Spolek Diaklub Slavičín"/>
    <s v="706"/>
    <x v="1"/>
    <x v="0"/>
    <s v="Slavičín"/>
    <s v="Slavičín, Hrádek na Vlárské dráze, Hrádecká 235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668071"/>
    <s v="Spolek dialyzovaných a transplantovaných pacientů v regionu Uherské Hradiště"/>
    <s v="706"/>
    <x v="1"/>
    <x v="2"/>
    <s v="Břestek"/>
    <s v="Břestek 247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5975"/>
    <s v="Spolek Discgolf Club Slovácko"/>
    <s v="706"/>
    <x v="1"/>
    <x v="2"/>
    <s v="Uherské Hradiště"/>
    <s v="Uherské Hradiště, náměstí Republiky 954, PSČ 68601"/>
    <s v="93120"/>
    <s v="Činnosti sportovních klubů"/>
    <m/>
    <m/>
    <m/>
    <m/>
    <m/>
    <m/>
    <m/>
    <m/>
    <m/>
    <m/>
    <m/>
    <m/>
    <m/>
    <m/>
    <m/>
    <m/>
    <m/>
  </r>
  <r>
    <s v="04906381"/>
    <s v="Spolek Divadelní SPONA"/>
    <s v="706"/>
    <x v="1"/>
    <x v="1"/>
    <s v="Zubří"/>
    <s v="Zubří, U Bečvy 608, PSČ 75654"/>
    <s v="90010"/>
    <s v="Scénická umění"/>
    <m/>
    <m/>
    <m/>
    <m/>
    <m/>
    <m/>
    <m/>
    <m/>
    <m/>
    <m/>
    <m/>
    <m/>
    <m/>
    <m/>
    <m/>
    <m/>
    <m/>
  </r>
  <r>
    <s v="07860951"/>
    <s v="Spolek Dobromysl Bystřička"/>
    <s v="706"/>
    <x v="1"/>
    <x v="1"/>
    <s v="Bystřička"/>
    <s v="Bystřička 228, PSČ 756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92257"/>
    <s v="Spolek dobrovolníků Tochcem"/>
    <s v="706"/>
    <x v="1"/>
    <x v="0"/>
    <s v="Otrokovice"/>
    <s v="Otrokovice, Terezov 195, PSČ 765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902121"/>
    <s v="Spolek dokolla"/>
    <s v="706"/>
    <x v="1"/>
    <x v="3"/>
    <s v="Kroměříž"/>
    <s v="Kroměříž, Kollárova 790/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41570"/>
    <s v="SPOLEK DOMY MĚSTA MAYEN"/>
    <s v="706"/>
    <x v="1"/>
    <x v="2"/>
    <s v="Uherské Hradiště"/>
    <s v="Uherské Hradiště, Sady, Jabloňová 487, PSČ 68601"/>
    <s v="6820"/>
    <s v="Pronájem a správa vlastních nebo pronajatých nemovitostí"/>
    <m/>
    <m/>
    <m/>
    <m/>
    <m/>
    <m/>
    <m/>
    <m/>
    <m/>
    <m/>
    <m/>
    <m/>
    <m/>
    <m/>
    <m/>
    <m/>
    <m/>
  </r>
  <r>
    <s v="21763623"/>
    <s v="Spolek dřevorubeckých sportů a řemesel"/>
    <s v="706"/>
    <x v="1"/>
    <x v="0"/>
    <s v="Lukov"/>
    <s v="Lukov, Paseky 557, PSČ 76317"/>
    <s v="9499"/>
    <s v="Činnosti ostatních organizací sdružujících osoby za účelem prosazování společných zájmů j. n."/>
    <s v="Podpůrné činnosti pro scénická umění"/>
    <s v="Ostatní sportovní činnosti"/>
    <m/>
    <m/>
    <m/>
    <m/>
    <m/>
    <m/>
    <m/>
    <m/>
    <m/>
    <m/>
    <m/>
    <m/>
    <m/>
    <m/>
    <m/>
  </r>
  <r>
    <s v="44005431"/>
    <s v="Spolek DÚBRAVA"/>
    <s v="706"/>
    <x v="1"/>
    <x v="0"/>
    <s v="Valašské Klobouky"/>
    <s v="Valašské Klobouky, Pod Dubovcem 68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675939"/>
    <s v="spolek eRepublika"/>
    <s v="706"/>
    <x v="1"/>
    <x v="0"/>
    <s v="Luhačovice"/>
    <s v="Luhačovice, Družstevní 187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912088"/>
    <s v="Spolek Farské dvůr"/>
    <s v="706"/>
    <x v="1"/>
    <x v="3"/>
    <s v="Kyselovice"/>
    <s v="Kyselovice 211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27198"/>
    <s v="Spolek FIROHOME"/>
    <s v="706"/>
    <x v="1"/>
    <x v="0"/>
    <s v="Zlín"/>
    <s v="Zlín, Kostelec, Lešenská 291, PSČ 7631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837302"/>
    <s v="Spolek FS Dúbrava"/>
    <s v="706"/>
    <x v="1"/>
    <x v="2"/>
    <s v="Březová"/>
    <s v="Březová 390, PSČ 6876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1830"/>
    <s v="Spolek Grasski Štítná"/>
    <s v="706"/>
    <x v="1"/>
    <x v="0"/>
    <s v="Štítná nad Vláří-Popov"/>
    <s v="Štítná nad Vláří-Popov, Popov 6, PSČ 76333"/>
    <s v="93190"/>
    <s v="Ostatní sportovní činnosti"/>
    <m/>
    <m/>
    <m/>
    <m/>
    <m/>
    <m/>
    <m/>
    <m/>
    <m/>
    <m/>
    <m/>
    <m/>
    <m/>
    <m/>
    <m/>
    <m/>
    <m/>
  </r>
  <r>
    <s v="22867511"/>
    <s v="Spolek Holky v akci"/>
    <s v="706"/>
    <x v="1"/>
    <x v="0"/>
    <s v="Luhačovice"/>
    <s v="Luhačovice, Kladná Žilín 45, PSČ 76326"/>
    <s v="94995"/>
    <s v="Činnosti environmentálních a ekologických hnutí"/>
    <m/>
    <m/>
    <m/>
    <m/>
    <m/>
    <m/>
    <m/>
    <m/>
    <m/>
    <m/>
    <m/>
    <m/>
    <m/>
    <m/>
    <m/>
    <m/>
    <m/>
  </r>
  <r>
    <s v="09747958"/>
    <s v="Spolek hradu Nový Šaumburk"/>
    <s v="706"/>
    <x v="1"/>
    <x v="1"/>
    <s v="Valašské Meziříčí"/>
    <s v="Valašské Meziříčí, Podlesí 21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9804"/>
    <s v="Spolek hudebníků Kašava"/>
    <s v="706"/>
    <x v="1"/>
    <x v="0"/>
    <s v="Kašava"/>
    <s v="Kašava 288, PSČ 7631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4857"/>
    <s v="Spolek Hútek"/>
    <s v="706"/>
    <x v="1"/>
    <x v="2"/>
    <s v="Bánov"/>
    <s v="Bánov 700, PSČ 687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53790"/>
    <s v="Spolek informačních a kybernetických sil z.s."/>
    <s v="706"/>
    <x v="1"/>
    <x v="2"/>
    <s v="Salaš"/>
    <s v="Salaš 222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02616"/>
    <s v="Spolek ISS Consult, z.s."/>
    <s v="706"/>
    <x v="1"/>
    <x v="0"/>
    <s v="Zlín"/>
    <s v="Zlín, Malenovice, Tyršova 323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07037"/>
    <s v="Spolek Janišov"/>
    <s v="706"/>
    <x v="1"/>
    <x v="1"/>
    <s v="Vsetín"/>
    <s v="Vsetín, Rokytnice, Janišov 62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58936"/>
    <s v="Spolek Janův hrad Vizovice"/>
    <s v="706"/>
    <x v="1"/>
    <x v="0"/>
    <s v="Vizovice"/>
    <s v="Vizovice, 3. května 1279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2078"/>
    <s v="Spolek JazzZušák"/>
    <s v="706"/>
    <x v="1"/>
    <x v="1"/>
    <s v="Valašské Meziříčí"/>
    <s v="Valašské Meziříčí, Komenského 67/1, PSČ 75701"/>
    <s v="94991"/>
    <s v="Činnosti organizací dětí a mládeže"/>
    <m/>
    <m/>
    <m/>
    <m/>
    <m/>
    <m/>
    <m/>
    <m/>
    <m/>
    <m/>
    <m/>
    <m/>
    <m/>
    <m/>
    <m/>
    <m/>
    <m/>
  </r>
  <r>
    <s v="03141438"/>
    <s v="Spolek Jižní Svahy Zlín"/>
    <s v="706"/>
    <x v="1"/>
    <x v="0"/>
    <s v="Zlín"/>
    <s v="Zlín, Slezská 4772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5738"/>
    <s v="Spolek Jižní Valašsko"/>
    <s v="706"/>
    <x v="1"/>
    <x v="0"/>
    <s v="Valašské Klobouky"/>
    <s v="Valašské Klobouky, Cyrilometodějská 68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766973"/>
    <s v="Spolek JK Jalubí"/>
    <s v="706"/>
    <x v="1"/>
    <x v="2"/>
    <s v="Jalubí"/>
    <s v="Jalubí 640, PSČ 68705"/>
    <s v="93190"/>
    <s v="Ostatní sportovní činnosti"/>
    <m/>
    <m/>
    <m/>
    <m/>
    <m/>
    <m/>
    <m/>
    <m/>
    <m/>
    <m/>
    <m/>
    <m/>
    <m/>
    <m/>
    <m/>
    <m/>
    <m/>
  </r>
  <r>
    <s v="60370025"/>
    <s v="Spolek k uctění památky J.A.Komenského v Komni"/>
    <s v="706"/>
    <x v="1"/>
    <x v="2"/>
    <s v="Komňa"/>
    <s v="Komňa 4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187501"/>
    <s v="Spolek KK Vranov"/>
    <s v="706"/>
    <x v="1"/>
    <x v="0"/>
    <s v="Zlín"/>
    <s v="Zlín, Štípa, Velíkovská 142, PSČ 7631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610383"/>
    <s v="spolek KOPÝTKA PRO ŠTĚSTÍ"/>
    <s v="706"/>
    <x v="1"/>
    <x v="2"/>
    <s v="Traplice"/>
    <s v="Traplice 263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46627"/>
    <s v="Spolek Kudlovický vinný žleb"/>
    <s v="706"/>
    <x v="1"/>
    <x v="2"/>
    <s v="Kudlovice"/>
    <s v="Kudlovice 39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5211795"/>
    <s v="Spolek lesa Skaličí"/>
    <s v="706"/>
    <x v="1"/>
    <x v="1"/>
    <s v="Nový Hrozenkov"/>
    <s v="Nový Hrozenkov 766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2054"/>
    <s v="&quot;Spolek LešetínZlín&quot;"/>
    <s v="706"/>
    <x v="1"/>
    <x v="0"/>
    <s v="Zlín"/>
    <s v="Zlín, Lešetín I 61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45771"/>
    <s v="Spolek Letná žije"/>
    <s v="706"/>
    <x v="1"/>
    <x v="0"/>
    <s v="Zlín"/>
    <s v="Zlín, Bratří Sousedíků 107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9611"/>
    <s v="Spolek lhotských rybářů"/>
    <s v="706"/>
    <x v="1"/>
    <x v="2"/>
    <s v="Ostrožská Lhota"/>
    <s v="Ostrožská Lhota 148, PSČ 687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2459"/>
    <s v="Spolek LONG HEALTHY LIFE (Spolek pro zdravý dlouhý život)"/>
    <s v="706"/>
    <x v="1"/>
    <x v="1"/>
    <s v="Vsetín"/>
    <s v="Vsetín, Smetanova 1244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9211809"/>
    <s v="Spolek Luháček"/>
    <s v="706"/>
    <x v="1"/>
    <x v="1"/>
    <s v="Vsetín"/>
    <s v="Stará cesta č.1832, Vsetín"/>
    <s v="94991"/>
    <s v="Činnosti organizací dětí a mládeže"/>
    <m/>
    <m/>
    <m/>
    <m/>
    <m/>
    <m/>
    <m/>
    <m/>
    <m/>
    <m/>
    <m/>
    <m/>
    <m/>
    <m/>
    <m/>
    <m/>
    <m/>
  </r>
  <r>
    <s v="22677411"/>
    <s v="Spolek MaLeTa"/>
    <s v="706"/>
    <x v="1"/>
    <x v="3"/>
    <s v="Chropyně"/>
    <s v="Chropyně, Hrad 397, PSČ 76811"/>
    <s v="94991"/>
    <s v="Činnosti organizací dětí a mládeže"/>
    <m/>
    <m/>
    <m/>
    <m/>
    <m/>
    <m/>
    <m/>
    <m/>
    <m/>
    <m/>
    <m/>
    <m/>
    <m/>
    <m/>
    <m/>
    <m/>
    <m/>
  </r>
  <r>
    <s v="02976617"/>
    <s v="Spolek MAMAgang"/>
    <s v="706"/>
    <x v="1"/>
    <x v="1"/>
    <s v="Vsetín"/>
    <s v="Vsetín, Rokytnice, Rokytnice 40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6458"/>
    <s v="Spolek Mariánské poutní místo Zašová"/>
    <s v="706"/>
    <x v="1"/>
    <x v="1"/>
    <s v="Zašová"/>
    <s v="Zašová 44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042988"/>
    <s v="SPOLEK MARKÉTA, z. s."/>
    <s v="706"/>
    <x v="1"/>
    <x v="0"/>
    <s v="Vizovice"/>
    <s v="Vizovice, Zlínská 370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38374"/>
    <s v="Spolek Míkovice"/>
    <s v="706"/>
    <x v="1"/>
    <x v="2"/>
    <s v="Uherské Hradiště"/>
    <s v="Uherské Hradiště, Míkovice, Hlavní 258, PSČ 68609"/>
    <s v="9499"/>
    <s v="Činnosti ostatních organizací sdružujících osoby za účelem prosazování společných zájmů j. n."/>
    <s v="Podpůrné činnosti pro scénická umění"/>
    <s v="Ostatní sportovní činnosti"/>
    <m/>
    <m/>
    <m/>
    <m/>
    <m/>
    <m/>
    <m/>
    <m/>
    <m/>
    <m/>
    <m/>
    <m/>
    <m/>
    <m/>
    <m/>
  </r>
  <r>
    <s v="05680328"/>
    <s v="Spolek mladých bubeníků YOUNG DRUMMERS"/>
    <s v="706"/>
    <x v="1"/>
    <x v="3"/>
    <s v="Holešov"/>
    <s v="Holešov, Sportovní 1489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79989"/>
    <s v="Spolek Montessori Uherské Hradiště"/>
    <s v="706"/>
    <x v="1"/>
    <x v="2"/>
    <s v="Uherské Hradiště"/>
    <s v="Uherské Hradiště, Za Alejí 1072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2749"/>
    <s v="SPOLEK MORAVSKÉ DĚDICTVÍ"/>
    <s v="706"/>
    <x v="1"/>
    <x v="2"/>
    <s v="Uherské Hradiště"/>
    <s v="Uherské Hradiště, Masarykovo náměstí 2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86976"/>
    <s v="Spolek Moribundus"/>
    <s v="706"/>
    <x v="1"/>
    <x v="1"/>
    <s v="Valašské Meziříčí"/>
    <s v="Valašské Meziříčí, Karafiátova 1312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8455"/>
    <s v="Spolek Mužský sbor z Kunovic"/>
    <s v="706"/>
    <x v="1"/>
    <x v="2"/>
    <s v="Kunovice"/>
    <s v="Kunovice, Pod Kostelem 1, PSČ 68604"/>
    <s v="90010"/>
    <s v="Scénická umění"/>
    <m/>
    <m/>
    <m/>
    <m/>
    <m/>
    <m/>
    <m/>
    <m/>
    <m/>
    <m/>
    <m/>
    <m/>
    <m/>
    <m/>
    <m/>
    <m/>
    <m/>
  </r>
  <r>
    <s v="05082501"/>
    <s v="Spolek myslivců Bánov"/>
    <s v="706"/>
    <x v="1"/>
    <x v="2"/>
    <s v="Bánov"/>
    <s v="Bánov 700, PSČ 68754"/>
    <s v="0170"/>
    <s v="Lov a odchyt divokých zvířat a související činnosti"/>
    <m/>
    <m/>
    <m/>
    <m/>
    <m/>
    <m/>
    <m/>
    <m/>
    <m/>
    <m/>
    <m/>
    <m/>
    <m/>
    <m/>
    <m/>
    <m/>
    <m/>
  </r>
  <r>
    <s v="04837274"/>
    <s v="Spolek mysliveckých trubačů Loukov"/>
    <s v="706"/>
    <x v="1"/>
    <x v="3"/>
    <s v="Loukov"/>
    <s v="Loukov 199, PSČ 7687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4671"/>
    <s v="Spolek Na Dědině"/>
    <s v="706"/>
    <x v="1"/>
    <x v="2"/>
    <s v="Částkov"/>
    <s v="Částkov 86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022089"/>
    <s v="Spolek na ochranu a monitorování trofejních ryb"/>
    <s v="706"/>
    <x v="1"/>
    <x v="2"/>
    <s v="Uherské Hradiště"/>
    <s v="Uherské Hradiště, Jarošov, Louky 504, PSČ 68601"/>
    <s v="94995"/>
    <s v="Činnosti environmentálních a ekologických hnutí"/>
    <m/>
    <m/>
    <m/>
    <m/>
    <m/>
    <m/>
    <m/>
    <m/>
    <m/>
    <m/>
    <m/>
    <m/>
    <m/>
    <m/>
    <m/>
    <m/>
    <m/>
  </r>
  <r>
    <s v="08280576"/>
    <s v="Spolek na ochranu biotopu Kněhyně"/>
    <s v="706"/>
    <x v="1"/>
    <x v="1"/>
    <s v="Bystřička"/>
    <s v="Bystřička 118, PSČ 75624"/>
    <s v="94995"/>
    <s v="Činnosti environmentálních a ekologických hnutí"/>
    <m/>
    <m/>
    <m/>
    <m/>
    <m/>
    <m/>
    <m/>
    <m/>
    <m/>
    <m/>
    <m/>
    <m/>
    <m/>
    <m/>
    <m/>
    <m/>
    <m/>
  </r>
  <r>
    <s v="07739079"/>
    <s v="Spolek na ochranu povrchových vod z.s."/>
    <s v="706"/>
    <x v="1"/>
    <x v="0"/>
    <s v="Kaňovice"/>
    <s v="Kaňovice 105, PSČ 763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72391"/>
    <s v="Spolek na ochranu přírody a krajiny v k.ú. Kudlov, z.s."/>
    <s v="706"/>
    <x v="1"/>
    <x v="0"/>
    <s v="Zlín"/>
    <s v="Zlín, Kudlov, Strže 510, PSČ 76001"/>
    <s v="94995"/>
    <s v="Činnosti environmentálních a ekologických hnutí"/>
    <m/>
    <m/>
    <m/>
    <m/>
    <m/>
    <m/>
    <m/>
    <m/>
    <m/>
    <m/>
    <m/>
    <m/>
    <m/>
    <m/>
    <m/>
    <m/>
    <m/>
  </r>
  <r>
    <s v="04338723"/>
    <s v="Spolek na záchranu kláštera milosrdných sester v Chebu"/>
    <s v="706"/>
    <x v="1"/>
    <x v="0"/>
    <s v="Všemina"/>
    <s v="Všemina 120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274233"/>
    <s v="Spolek naturistů Ostrožská Nová Ves"/>
    <s v="706"/>
    <x v="1"/>
    <x v="2"/>
    <s v="Uherské Hradiště"/>
    <s v="Uherské Hradiště, Pod Svahy 100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787971"/>
    <s v="Spolek nemocniční kaple Vsetín"/>
    <s v="706"/>
    <x v="1"/>
    <x v="1"/>
    <s v="Vsetín"/>
    <s v="Vsetín, Bratří Hlaviců 67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1098"/>
    <s v="Spolek občanů obce Zlobice"/>
    <s v="706"/>
    <x v="1"/>
    <x v="3"/>
    <s v="Zlobice"/>
    <s v="Zlobice 41, PSČ 76831"/>
    <s v="94995"/>
    <s v="Činnosti environmentálních a ekologických hnutí"/>
    <m/>
    <m/>
    <m/>
    <m/>
    <m/>
    <m/>
    <m/>
    <m/>
    <m/>
    <m/>
    <m/>
    <m/>
    <m/>
    <m/>
    <m/>
    <m/>
    <m/>
  </r>
  <r>
    <s v="67010130"/>
    <s v="Spolek ochránců přírody Slavičín"/>
    <s v="706"/>
    <x v="1"/>
    <x v="0"/>
    <s v="Slavičín"/>
    <s v="Slavičín, Luhačovská 199, PSČ 76321"/>
    <s v="94995"/>
    <s v="Činnosti environmentálních a ekologických hnutí"/>
    <m/>
    <m/>
    <m/>
    <m/>
    <m/>
    <m/>
    <m/>
    <m/>
    <m/>
    <m/>
    <m/>
    <m/>
    <m/>
    <m/>
    <m/>
    <m/>
    <m/>
  </r>
  <r>
    <s v="22735321"/>
    <s v="Spolek OFF ROAD Klub Zubří"/>
    <s v="706"/>
    <x v="1"/>
    <x v="1"/>
    <s v="Zubří"/>
    <s v="Zubří, Sídliště 6. května 1049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2575"/>
    <s v="Spolek Ohlá klika"/>
    <s v="706"/>
    <x v="1"/>
    <x v="1"/>
    <s v="Horní Bečva"/>
    <s v="Horní Bečva 857, PSČ 75657"/>
    <s v="93110"/>
    <s v="Provozování sportovních zařízení"/>
    <m/>
    <m/>
    <m/>
    <m/>
    <m/>
    <m/>
    <m/>
    <m/>
    <m/>
    <m/>
    <m/>
    <m/>
    <m/>
    <m/>
    <m/>
    <m/>
    <m/>
  </r>
  <r>
    <s v="26992221"/>
    <s v="Spolek otrokovických akvaristů"/>
    <s v="706"/>
    <x v="1"/>
    <x v="0"/>
    <s v="Otrokovice"/>
    <s v="Otrokovice, tř. Tomáše Bati 952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205233"/>
    <s v="Spolek Oživení Krásnice"/>
    <s v="706"/>
    <x v="1"/>
    <x v="0"/>
    <s v="Zlín"/>
    <s v="Zlín, Chlum 44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14932"/>
    <s v="Spolek Parkinson Zlínsko"/>
    <s v="706"/>
    <x v="1"/>
    <x v="0"/>
    <s v="Zlín"/>
    <s v="Zlín, Dolní 2952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2254221"/>
    <s v="Spolek partnerství měst Bystřice pod Hostýnem - Salzkotten"/>
    <s v="706"/>
    <x v="1"/>
    <x v="3"/>
    <s v="Bystřice pod Hostýnem"/>
    <s v="Bystřice pod Hostýnem, Komenského 1426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03286"/>
    <s v="spolek PassionForCycle z.s."/>
    <s v="706"/>
    <x v="1"/>
    <x v="1"/>
    <s v="Karolinka"/>
    <s v="Karolinka, Na Oboře 571, PSČ 75605"/>
    <s v="9319"/>
    <s v="Ostatní sportovní činnosti"/>
    <m/>
    <m/>
    <m/>
    <m/>
    <m/>
    <m/>
    <m/>
    <m/>
    <m/>
    <m/>
    <m/>
    <m/>
    <m/>
    <m/>
    <m/>
    <m/>
    <m/>
  </r>
  <r>
    <s v="06611362"/>
    <s v="Spolek Pašovsko - Prakšická hodová chasa"/>
    <s v="706"/>
    <x v="1"/>
    <x v="2"/>
    <s v="Prakšice"/>
    <s v="Prakšice 29, PSČ 687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4161"/>
    <s v="Spolek pěstitelů kaktusů CARNEGIA Uherské Hradiště, o.s."/>
    <s v="706"/>
    <x v="1"/>
    <x v="2"/>
    <s v="Uherský Brod"/>
    <s v="Uherský Brod, Provazní 2184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563084"/>
    <s v="Spolek pěstitelů travních a jetelových semen"/>
    <s v="706"/>
    <x v="1"/>
    <x v="1"/>
    <s v="Zubří"/>
    <s v="Zubří, Hamerská 698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113459"/>
    <s v="Spolek PETRŮWJAN"/>
    <s v="706"/>
    <x v="1"/>
    <x v="0"/>
    <s v="Petrůvka"/>
    <s v="Petrůvka 90, PSČ 76321"/>
    <s v="94991"/>
    <s v="Činnosti organizací dětí a mládeže"/>
    <s v="Výroba, obchod a služby neuvedené v přílohách 1 až 3 živnostenského zákona"/>
    <m/>
    <m/>
    <m/>
    <m/>
    <m/>
    <m/>
    <m/>
    <m/>
    <m/>
    <m/>
    <m/>
    <m/>
    <m/>
    <m/>
    <m/>
    <m/>
  </r>
  <r>
    <s v="70640327"/>
    <s v="spolek Pod křídly"/>
    <s v="706"/>
    <x v="1"/>
    <x v="1"/>
    <s v="Valašské Meziříčí"/>
    <s v="Valašské Meziříčí, Družstevní 228, PSČ 75701"/>
    <s v="8790"/>
    <s v="Ostatní pobytové služby sociální péče"/>
    <m/>
    <m/>
    <m/>
    <m/>
    <m/>
    <m/>
    <m/>
    <m/>
    <m/>
    <m/>
    <m/>
    <m/>
    <m/>
    <m/>
    <m/>
    <m/>
    <m/>
  </r>
  <r>
    <s v="62830431"/>
    <s v="Spolek podporovatelů historie Buchlovic, z.s."/>
    <s v="706"/>
    <x v="1"/>
    <x v="2"/>
    <s v="Buchlovice"/>
    <s v="Buchlovice, Boženy Němcové 513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440247"/>
    <s v="Spolek Posvátno"/>
    <s v="706"/>
    <x v="1"/>
    <x v="1"/>
    <s v="Kelč"/>
    <s v="Kelč 445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59116"/>
    <s v="Spolek PRACH"/>
    <s v="706"/>
    <x v="1"/>
    <x v="2"/>
    <s v="Uherský Brod"/>
    <s v="Uherský Brod, Obchodní 156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3961479"/>
    <s v="Spolek PRO BIO poradenství"/>
    <s v="706"/>
    <x v="1"/>
    <x v="0"/>
    <s v="Napajedla"/>
    <s v="Napajedla, Na Malině 1277, PSČ 76361"/>
    <s v="94120"/>
    <s v="Činnosti profesních organizací"/>
    <m/>
    <m/>
    <m/>
    <m/>
    <m/>
    <m/>
    <m/>
    <m/>
    <m/>
    <m/>
    <m/>
    <m/>
    <m/>
    <m/>
    <m/>
    <m/>
    <m/>
  </r>
  <r>
    <s v="11839805"/>
    <s v="SPOLEK PRO DALŠÍ VZDĚLÁVÁNÍ, z.s."/>
    <s v="706"/>
    <x v="1"/>
    <x v="0"/>
    <s v="Zlín"/>
    <s v="Zlín, Prštné, M. Alše 53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7272"/>
    <s v="Spolek pro Domov Jitka"/>
    <s v="706"/>
    <x v="1"/>
    <x v="1"/>
    <s v="Vsetín"/>
    <s v="Vsetín, Jasenická 1362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2782"/>
    <s v="Spolek pro ekologii Kostelec"/>
    <s v="706"/>
    <x v="1"/>
    <x v="0"/>
    <s v="Zlín"/>
    <s v="Zlín, Kostelec, Májová 432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20903"/>
    <s v="Spolek pro hravé setkávání rodičů a dětí, z.s."/>
    <s v="706"/>
    <x v="1"/>
    <x v="1"/>
    <s v="Poličná"/>
    <s v="Poličná 17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534723"/>
    <s v="Spolek pro kulturní osvětu S-Tour"/>
    <s v="706"/>
    <x v="1"/>
    <x v="1"/>
    <s v="Rožnov pod Radhoštěm"/>
    <s v="Rožnov pod Radhoštěm, Za Hážovkou 2036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75940"/>
    <s v="Spolek pro obnovu chřibského mlýna, z.s."/>
    <s v="706"/>
    <x v="1"/>
    <x v="3"/>
    <s v="Zástřizly"/>
    <s v="Zástřizly 87, PSČ 768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76701"/>
    <s v="Spolek pro obnovu venkova Zlínského kraje (zkratka SPOV ZK)"/>
    <s v="736"/>
    <x v="0"/>
    <x v="1"/>
    <s v="Lidečko"/>
    <s v="Lidečko 467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096738"/>
    <s v="Spolek pro obnovu zámeckého parku"/>
    <s v="706"/>
    <x v="1"/>
    <x v="1"/>
    <s v="Branky"/>
    <s v="Branky 295, PSČ 756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66521"/>
    <s v="Spolek pro podporu místních iniciativ Chřiby, z.s."/>
    <s v="706"/>
    <x v="1"/>
    <x v="3"/>
    <s v="Kostelany"/>
    <s v="Kostelany 4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884520"/>
    <s v="Spolek pro přírodu Plamének"/>
    <s v="706"/>
    <x v="1"/>
    <x v="2"/>
    <s v="Uherské Hradiště"/>
    <s v="Uherské Hradiště, Tř. Maršála Malinovského 722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932938"/>
    <s v="&quot;SPOLEK PRO REALIZACI SOCHY EMILA ZÁTOPKA NA STADIONU MLÁDEŽE VE ZLÍNĚ, z.s.&quot;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387163"/>
    <s v="Spolek pro rozvoj a ochranu lázní a lázeňské oblasti Smraďavka - Buchlovice"/>
    <s v="706"/>
    <x v="1"/>
    <x v="2"/>
    <s v="Buchlovice"/>
    <s v="Buchlovice, Smraďavka 416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1170"/>
    <s v="Spolek pro rozvoj cestovního ruchu městyse Buchlovice"/>
    <s v="706"/>
    <x v="1"/>
    <x v="2"/>
    <s v="Buchlovice"/>
    <s v="Buchlovice, náměstí Svobody 598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063040"/>
    <s v="Spolek pro rozvoj individuálního bydlení a sportovních aktivit a zařízení ve Zlínském kraji, z.s."/>
    <s v="706"/>
    <x v="1"/>
    <x v="0"/>
    <s v="Napajedla"/>
    <s v="Napajedla, Kvítkovická 1527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4640"/>
    <s v="Spolek pro rozvoj severního Slovácka, z.s."/>
    <s v="706"/>
    <x v="1"/>
    <x v="0"/>
    <s v="Spytihněv"/>
    <s v="Spytihněv 396, PSČ 763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415610"/>
    <s v="Spolek pro snižování energetické náročnosti budov z.s."/>
    <s v="706"/>
    <x v="1"/>
    <x v="1"/>
    <s v="Vsetín"/>
    <s v="Vsetín, Horní náměstí 3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46861"/>
    <s v="Spolek pro splavnění a rekreační využití řeky Moravy"/>
    <s v="706"/>
    <x v="1"/>
    <x v="3"/>
    <s v="Kroměříž"/>
    <s v="Kroměříž, Gorkého 956/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569766"/>
    <s v="Spolek pro šíření díla Jaroslava Novotného"/>
    <s v="706"/>
    <x v="1"/>
    <x v="0"/>
    <s v="Zlín"/>
    <s v="Zlín, Jaroslavice, V Dolině 16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357029"/>
    <s v="Spolek Pro školu"/>
    <s v="706"/>
    <x v="1"/>
    <x v="3"/>
    <s v="Hulín"/>
    <s v="Hulín, Žižkova 188, PSČ 76824"/>
    <s v="94991"/>
    <s v="Činnosti organizací dětí a mládeže"/>
    <m/>
    <m/>
    <m/>
    <m/>
    <m/>
    <m/>
    <m/>
    <m/>
    <m/>
    <m/>
    <m/>
    <m/>
    <m/>
    <m/>
    <m/>
    <m/>
    <m/>
  </r>
  <r>
    <s v="22842519"/>
    <s v="Spolek Pro táborníky"/>
    <s v="706"/>
    <x v="1"/>
    <x v="1"/>
    <s v="Lešná"/>
    <s v="Lešná 170, PSČ 75641"/>
    <s v="94991"/>
    <s v="Činnosti organizací dětí a mládeže"/>
    <m/>
    <m/>
    <m/>
    <m/>
    <m/>
    <m/>
    <m/>
    <m/>
    <m/>
    <m/>
    <m/>
    <m/>
    <m/>
    <m/>
    <m/>
    <m/>
    <m/>
  </r>
  <r>
    <s v="27001326"/>
    <s v="Spolek pro udržení tradic"/>
    <s v="706"/>
    <x v="1"/>
    <x v="2"/>
    <s v="Břestek"/>
    <s v="Břestek 1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3342"/>
    <s v="„Spolek pro vlčnovské děti”"/>
    <s v="706"/>
    <x v="1"/>
    <x v="2"/>
    <s v="Vlčnov"/>
    <s v="Vlčnov 124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6575"/>
    <s v="Spolek pro výstavbu kostela sv.Václava v Sazovicích"/>
    <s v="706"/>
    <x v="1"/>
    <x v="0"/>
    <s v="Sazovice"/>
    <s v="Sazovice 182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835388"/>
    <s v="Spolek pro zachování hubertovských tradic"/>
    <s v="706"/>
    <x v="1"/>
    <x v="3"/>
    <s v="Rymice"/>
    <s v="Rymice 4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513180"/>
    <s v="Spolek pro zachování tradic, kultury a sportu"/>
    <s v="706"/>
    <x v="1"/>
    <x v="3"/>
    <s v="Zahnašovice"/>
    <s v="Zahnašovice 43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4902"/>
    <s v="Spolek pro zachování Valašských tradic"/>
    <s v="706"/>
    <x v="1"/>
    <x v="1"/>
    <s v="Vsetín"/>
    <s v="Vsetín, Semetín 165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5441"/>
    <s v="Spolek pro zbudování kaple v obci Loučka"/>
    <s v="706"/>
    <x v="1"/>
    <x v="0"/>
    <s v="Loučka"/>
    <s v="Loučka 62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716067"/>
    <s v="Spolek pro zdravý rozvoj obcí"/>
    <s v="706"/>
    <x v="1"/>
    <x v="0"/>
    <s v="Zádveřice-Raková"/>
    <s v="Zádveřice-Raková, Zádveřice 460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647"/>
    <s v="Spolek pro ZŠ Ohrada"/>
    <s v="706"/>
    <x v="1"/>
    <x v="1"/>
    <s v="Vsetín"/>
    <s v="Vsetín, Nad Školou 187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867298"/>
    <s v="Spolek pro ZŠ Sychrov"/>
    <s v="706"/>
    <x v="1"/>
    <x v="1"/>
    <s v="Vsetín"/>
    <s v="Vsetín, MUDr. Františka Sovy 97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722005"/>
    <s v="Spolek profesionálních řidičů a zaměstnanců, z. s."/>
    <s v="706"/>
    <x v="1"/>
    <x v="2"/>
    <s v="Vlčnov"/>
    <s v="Vlčnov 73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64595"/>
    <s v="spolek PROSTOR"/>
    <s v="706"/>
    <x v="1"/>
    <x v="1"/>
    <s v="Valašské Meziříčí"/>
    <s v="Valašské Meziříčí, Hrachovec 251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9298"/>
    <s v="Spolek Proud Holešov"/>
    <s v="706"/>
    <x v="1"/>
    <x v="3"/>
    <s v="Holešov"/>
    <s v="Holešov, Bezručova 1202/11, PSČ 76901"/>
    <s v="94995"/>
    <s v="Činnosti environmentálních a ekologických hnutí"/>
    <m/>
    <m/>
    <m/>
    <m/>
    <m/>
    <m/>
    <m/>
    <m/>
    <m/>
    <m/>
    <m/>
    <m/>
    <m/>
    <m/>
    <m/>
    <m/>
    <m/>
  </r>
  <r>
    <s v="17158052"/>
    <s v="Spolek přátel Alternus"/>
    <s v="706"/>
    <x v="1"/>
    <x v="1"/>
    <s v="Ratiboř"/>
    <s v="Ratiboř 285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1432"/>
    <s v="Spolek přátel Dětského domova a Speciálních škol Zlín"/>
    <s v="706"/>
    <x v="1"/>
    <x v="0"/>
    <s v="Zlín"/>
    <s v="Zlín, Na Honech III 4925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12475"/>
    <s v="Spolek přátel dětského folklórního souboru Veleťánek, z. s."/>
    <s v="706"/>
    <x v="1"/>
    <x v="2"/>
    <s v="Veletiny"/>
    <s v="Veletiny 218, PSČ 687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076024"/>
    <s v="Spolek přátel Elimu Vsetín"/>
    <s v="706"/>
    <x v="1"/>
    <x v="1"/>
    <s v="Vsetín"/>
    <s v="Vsetín, Horní Jasenka 11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78838"/>
    <s v="Spolek přátel folkloru ve Slavičíně"/>
    <s v="706"/>
    <x v="1"/>
    <x v="0"/>
    <s v="Lipová"/>
    <s v="Lipová 3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7126"/>
    <s v="Spolek přátel Gymnázia Františka Palackého Valašské Meziříčí"/>
    <s v="706"/>
    <x v="1"/>
    <x v="1"/>
    <s v="Valašské Meziříčí"/>
    <s v="Valašské Meziříčí, Husova 146/2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8413"/>
    <s v="Spolek přátel historie - Ostrožská Lhota, z.s."/>
    <s v="706"/>
    <x v="1"/>
    <x v="2"/>
    <s v="Ostrožská Lhota"/>
    <s v="Ostrožská Lhota 220, PSČ 687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923436"/>
    <s v="Spolek přátel historie, z. s."/>
    <s v="706"/>
    <x v="1"/>
    <x v="1"/>
    <s v="Hošťálková"/>
    <s v="Hošťálková 286, PSČ 756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8295"/>
    <s v="Spolek přátel hradu Lukova"/>
    <s v="706"/>
    <x v="1"/>
    <x v="0"/>
    <s v="Lukov"/>
    <s v="Lukov č. ev. 38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95356"/>
    <s v="„Spolek přátel hřbitovní kaple v Uherském Brodě”"/>
    <s v="706"/>
    <x v="1"/>
    <x v="2"/>
    <s v="Uherský Brod"/>
    <s v="Uherský Brod, Hradební 111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1911"/>
    <s v="Spolek přátel Jelínkovy slivovice"/>
    <s v="706"/>
    <x v="1"/>
    <x v="0"/>
    <s v="Vizovice"/>
    <s v="Vizovice, Razov 472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0475"/>
    <s v="Spolek přátel kaple svatého Rocha"/>
    <s v="706"/>
    <x v="1"/>
    <x v="2"/>
    <s v="Uherské Hradiště"/>
    <s v="Uherské Hradiště, Lechova 57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16009"/>
    <s v="Spolek přátel kroměřížské konzervatoře"/>
    <s v="706"/>
    <x v="1"/>
    <x v="3"/>
    <s v="Kroměříž"/>
    <s v="Kroměříž, Pilařova 7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299143"/>
    <s v="Spolek přátel lesa Ondřejovsko"/>
    <s v="706"/>
    <x v="1"/>
    <x v="0"/>
    <s v="Fryšták"/>
    <s v="Fryšták, Horní Ves, Humna I 304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426"/>
    <s v="Spolek přátel lidové hudby a umění"/>
    <s v="706"/>
    <x v="1"/>
    <x v="0"/>
    <s v="Zlín"/>
    <s v="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68571"/>
    <s v="Spolek přátel literatury a Knihovny Bedřicha Beneše Buchlovana"/>
    <s v="706"/>
    <x v="1"/>
    <x v="2"/>
    <s v="Uherské Hradiště"/>
    <s v="Uherské Hradiště, Velehradská třída 71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5610"/>
    <s v="Spolek přátel města Mayen"/>
    <s v="706"/>
    <x v="1"/>
    <x v="2"/>
    <s v="Uherské Hradiště"/>
    <s v="Uherské Hradiště, Hradební 1198, PSČ 686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7849923"/>
    <s v="Spolek přátel Montessori"/>
    <s v="706"/>
    <x v="1"/>
    <x v="3"/>
    <s v="Kroměříž"/>
    <s v="Kroměříž, Mánesova 3861/5, PSČ 76701"/>
    <s v="94999"/>
    <s v="Činnosti ostatních organizací j. n."/>
    <m/>
    <m/>
    <m/>
    <m/>
    <m/>
    <m/>
    <m/>
    <m/>
    <m/>
    <m/>
    <m/>
    <m/>
    <m/>
    <m/>
    <m/>
    <m/>
    <m/>
  </r>
  <r>
    <s v="28555571"/>
    <s v="Spolek přátel Skopalíkova muzea v Záhlinicích"/>
    <s v="706"/>
    <x v="1"/>
    <x v="3"/>
    <s v="Hulín"/>
    <s v="Hulín, Záhlinice 24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2865875"/>
    <s v="Spolek přátel souboru Radhošť"/>
    <s v="706"/>
    <x v="1"/>
    <x v="1"/>
    <s v="Rožnov pod Radhoštěm"/>
    <s v="Rožnov pod Radhoštěm, Chobot 94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7720"/>
    <s v="Spolek přátel souboru Soláň"/>
    <s v="706"/>
    <x v="1"/>
    <x v="1"/>
    <s v="Rožnov pod Radhoštěm"/>
    <s v="Rožnov pod Radhoštěm, Horská 154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5146"/>
    <s v="Spolek přátel SPgŠ Kroměříž"/>
    <s v="706"/>
    <x v="1"/>
    <x v="3"/>
    <s v="Kroměříž"/>
    <s v="Kroměříž, 1. máje 221/10, PSČ 76701"/>
    <s v="94999"/>
    <s v="Činnosti ostatních organizací j. n."/>
    <m/>
    <m/>
    <m/>
    <m/>
    <m/>
    <m/>
    <m/>
    <m/>
    <m/>
    <m/>
    <m/>
    <m/>
    <m/>
    <m/>
    <m/>
    <m/>
    <m/>
  </r>
  <r>
    <s v="19718446"/>
    <s v="Spolek přátel SŠP a VOŠ"/>
    <s v="706"/>
    <x v="1"/>
    <x v="3"/>
    <s v="Kroměříž"/>
    <s v="Kroměříž, Oskol 433/3, PSČ 76701"/>
    <s v="94999"/>
    <s v="Činnosti ostatních organizací j. n."/>
    <m/>
    <m/>
    <m/>
    <m/>
    <m/>
    <m/>
    <m/>
    <m/>
    <m/>
    <m/>
    <m/>
    <m/>
    <m/>
    <m/>
    <m/>
    <m/>
    <m/>
  </r>
  <r>
    <s v="05161509"/>
    <s v="Spolek přátel Stupavy"/>
    <s v="706"/>
    <x v="1"/>
    <x v="2"/>
    <s v="Stupava"/>
    <s v="Stupava 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695030"/>
    <s v="Spolek přátel školy při SOU Valašské Klobouky"/>
    <s v="706"/>
    <x v="1"/>
    <x v="0"/>
    <s v="Valašské Klobouky"/>
    <s v="Valašské Klobouky, Masarykovo náměstí 103, PSČ 76601"/>
    <s v="94999"/>
    <s v="Činnosti ostatních organizací j. n."/>
    <m/>
    <m/>
    <m/>
    <m/>
    <m/>
    <m/>
    <m/>
    <m/>
    <m/>
    <m/>
    <m/>
    <m/>
    <m/>
    <m/>
    <m/>
    <m/>
    <m/>
  </r>
  <r>
    <s v="04368371"/>
    <s v="&quot;Spolek přátel valašských aktivit&quot;"/>
    <s v="706"/>
    <x v="1"/>
    <x v="0"/>
    <s v="Valašské Klobouky"/>
    <s v="Valašské Klobouky, Koželužská 69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63923"/>
    <s v="Spolek přátel větrného mlýna Bojanovice - Zlobice"/>
    <s v="706"/>
    <x v="1"/>
    <x v="3"/>
    <s v="Zlobice"/>
    <s v="Zlobice 77, PSČ 768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023321"/>
    <s v="Spolek přátel vína a cestování"/>
    <s v="706"/>
    <x v="1"/>
    <x v="3"/>
    <s v="Bystřice pod Hostýnem"/>
    <s v="Bystřice pod Hostýnem, Čs. brigády 115, PSČ 76861"/>
    <s v="9499"/>
    <s v="Činnosti ostatních organizací sdružujících osoby za účelem prosazování společných zájmů j. n."/>
    <s v="Velkoobchod, kromě motorových vozidel"/>
    <s v="Maloobchod, kromě motorových vozidel"/>
    <s v="Zprostředkování velkoobchodu a velkoobchod v zastoupení"/>
    <s v="Ostatní vzdělávání"/>
    <s v="Destilace, rektifikace a míchání lihovin"/>
    <s v="Stravování v restauracích, u stánků a v mobilních zařízeních"/>
    <s v="Podpůrné činnosti pro scénická umění"/>
    <m/>
    <m/>
    <m/>
    <m/>
    <m/>
    <m/>
    <m/>
    <m/>
    <m/>
    <m/>
  </r>
  <r>
    <s v="13973371"/>
    <s v="SPOLEK PŘÁTEL VÝTVARNÉHO UMĚNÍ A KNIHY z.s."/>
    <s v="706"/>
    <x v="1"/>
    <x v="0"/>
    <s v="Zlín"/>
    <s v="Zlín, Zálešná VI 579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8024"/>
    <s v="Spolek přátel výtvarného umění Kroměřížska"/>
    <s v="706"/>
    <x v="1"/>
    <x v="3"/>
    <s v="Kroměříž"/>
    <s v="Kroměříž, Tovačovského 2828/2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255071"/>
    <s v="Spolek přátel Základní umělecké školy Bystřice pod Hostýnem"/>
    <s v="706"/>
    <x v="1"/>
    <x v="3"/>
    <s v="Bystřice pod Hostýnem"/>
    <s v="Bystřice pod Hostýnem, Masarykovo nám. 133, PSČ 76861"/>
    <s v="94999"/>
    <s v="Činnosti ostatních organizací j. n."/>
    <m/>
    <m/>
    <m/>
    <m/>
    <m/>
    <m/>
    <m/>
    <m/>
    <m/>
    <m/>
    <m/>
    <m/>
    <m/>
    <m/>
    <m/>
    <m/>
    <m/>
  </r>
  <r>
    <s v="02111144"/>
    <s v="Spolek přátel Základní umělecké školy Luhačovice"/>
    <s v="706"/>
    <x v="1"/>
    <x v="0"/>
    <s v="Luhačovice"/>
    <s v="Luhačovice, Masarykova 137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00392"/>
    <s v="Spolek přátel zdravého rozumu a kvalitní muziky"/>
    <s v="706"/>
    <x v="1"/>
    <x v="3"/>
    <s v="Troubky-Zdislavice"/>
    <s v="Troubky-Zdislavice, Troubky 70, PSČ 76802"/>
    <s v="9499"/>
    <s v="Činnosti ostatních organizací sdružujících osoby za účelem prosazování společných zájmů j. n."/>
    <s v="Podpůrné činnosti pro scénická umění"/>
    <m/>
    <m/>
    <m/>
    <m/>
    <m/>
    <m/>
    <m/>
    <m/>
    <m/>
    <m/>
    <m/>
    <m/>
    <m/>
    <m/>
    <m/>
    <m/>
  </r>
  <r>
    <s v="02456923"/>
    <s v="Spolek přátel ZŠ a MŠ Kladeruby"/>
    <s v="706"/>
    <x v="1"/>
    <x v="1"/>
    <s v="Kladeruby"/>
    <s v="Kladeruby 72, PSČ 75643"/>
    <s v="94999"/>
    <s v="Činnosti ostatních organizací j. n."/>
    <m/>
    <m/>
    <m/>
    <m/>
    <m/>
    <m/>
    <m/>
    <m/>
    <m/>
    <m/>
    <m/>
    <m/>
    <m/>
    <m/>
    <m/>
    <m/>
    <m/>
  </r>
  <r>
    <s v="02273331"/>
    <s v="Spolek přátel ZŠ Horní Němčí, z.s."/>
    <s v="706"/>
    <x v="1"/>
    <x v="2"/>
    <s v="Horní Němčí"/>
    <s v="Horní Němčí 118, PSČ 68764"/>
    <s v="94999"/>
    <s v="Činnosti ostatních organizací j. n."/>
    <m/>
    <m/>
    <m/>
    <m/>
    <m/>
    <m/>
    <m/>
    <m/>
    <m/>
    <m/>
    <m/>
    <m/>
    <m/>
    <m/>
    <m/>
    <m/>
    <m/>
  </r>
  <r>
    <s v="26523370"/>
    <s v="Spolek přátel ZŠ Mysločovice"/>
    <s v="706"/>
    <x v="1"/>
    <x v="0"/>
    <s v="Mysločovice"/>
    <s v="Mysločovice 150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138955"/>
    <s v="Spolek přátel ZŠ Slavičín - Vlára, z.s."/>
    <s v="706"/>
    <x v="1"/>
    <x v="0"/>
    <s v="Slavičín"/>
    <s v="Slavičín, Školní 403, PSČ 76321"/>
    <s v="94999"/>
    <s v="Činnosti ostatních organizací j. n."/>
    <m/>
    <m/>
    <m/>
    <m/>
    <m/>
    <m/>
    <m/>
    <m/>
    <m/>
    <m/>
    <m/>
    <m/>
    <m/>
    <m/>
    <m/>
    <m/>
    <m/>
  </r>
  <r>
    <s v="49158201"/>
    <s v="Spolek Přátelé evropských vrcholů Zlín"/>
    <s v="706"/>
    <x v="1"/>
    <x v="0"/>
    <s v="Luhačovice"/>
    <s v="Luhačovice, Polichno 93, PSČ 76341"/>
    <s v="931"/>
    <s v="Sportovní činnosti"/>
    <m/>
    <m/>
    <m/>
    <m/>
    <m/>
    <m/>
    <m/>
    <m/>
    <m/>
    <m/>
    <m/>
    <m/>
    <m/>
    <m/>
    <m/>
    <m/>
    <m/>
  </r>
  <r>
    <s v="22671781"/>
    <s v="Spolek Přátelé krajiny Dolní Lhota - Lipska u Luhačovic"/>
    <s v="706"/>
    <x v="1"/>
    <x v="0"/>
    <s v="Luhačovice"/>
    <s v="Luhačovice, Nádražní 133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88057"/>
    <s v="Spolek při ZŠ a MŠ Valašské Meziříčí, Křižná 782"/>
    <s v="706"/>
    <x v="1"/>
    <x v="1"/>
    <s v="Valašské Meziříčí"/>
    <s v="Valašské Meziříčí, Krásno nad Bečvou, Křižná 782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85411"/>
    <s v="SPOLEK při ZŠ Nedakonice, z. s."/>
    <s v="706"/>
    <x v="1"/>
    <x v="2"/>
    <s v="Nedakonice"/>
    <s v="Nedakonice 142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5207"/>
    <s v="Spolek „PŘIDEJ SE K NÁM”"/>
    <s v="706"/>
    <x v="1"/>
    <x v="3"/>
    <s v="Chropyně"/>
    <s v="Chropyně, Moravská 611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57768"/>
    <s v="Spolek Přílepy - náš domov"/>
    <s v="706"/>
    <x v="1"/>
    <x v="3"/>
    <s v="Přílepy"/>
    <s v="Přílepy 184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769915"/>
    <s v="Spolek příznivců česneku z Buchlovic"/>
    <s v="706"/>
    <x v="1"/>
    <x v="2"/>
    <s v="Buchlovice"/>
    <s v="Buchlovice, Rechtorka 543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089942"/>
    <s v="Spolek radostného dětství, z.s."/>
    <s v="706"/>
    <x v="1"/>
    <x v="0"/>
    <s v="Zlín"/>
    <s v="Zlín, třída Tomáše Bati 103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6647"/>
    <s v="Spolek Recesistů Přílep z.s."/>
    <s v="706"/>
    <x v="1"/>
    <x v="3"/>
    <s v="Přílepy"/>
    <s v="Přílepy 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809709"/>
    <s v="spolek Repetebox"/>
    <s v="706"/>
    <x v="1"/>
    <x v="0"/>
    <s v="Zlín"/>
    <s v="Zlín, Okružní 4732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0231"/>
    <s v="&quot;Spolek Rodiče a přátelé školy Pržno&quot;"/>
    <s v="706"/>
    <x v="1"/>
    <x v="1"/>
    <s v="Pržno"/>
    <s v="Pržno 127, PSČ 75623"/>
    <s v="94999"/>
    <s v="Činnosti ostatních organizací j. n."/>
    <m/>
    <m/>
    <m/>
    <m/>
    <m/>
    <m/>
    <m/>
    <m/>
    <m/>
    <m/>
    <m/>
    <m/>
    <m/>
    <m/>
    <m/>
    <m/>
    <m/>
  </r>
  <r>
    <s v="04890973"/>
    <s v="Spolek rodičů a přátel dětí a školy při ZŠ Kvasice, z. s."/>
    <s v="706"/>
    <x v="1"/>
    <x v="3"/>
    <s v="Kvasice"/>
    <s v="Kvasice, Husova 642, PSČ 76821"/>
    <s v="94999"/>
    <s v="Činnosti ostatních organizací j. n."/>
    <m/>
    <m/>
    <m/>
    <m/>
    <m/>
    <m/>
    <m/>
    <m/>
    <m/>
    <m/>
    <m/>
    <m/>
    <m/>
    <m/>
    <m/>
    <m/>
    <m/>
  </r>
  <r>
    <s v="05272483"/>
    <s v="Spolek rodičů a přátel dětí a školy při ZŠ Zámoraví"/>
    <s v="706"/>
    <x v="1"/>
    <x v="3"/>
    <s v="Kroměříž"/>
    <s v="Kroměříž, Švabinského nábřeží 2077/27, PSČ 76701"/>
    <s v="94999"/>
    <s v="Činnosti ostatních organizací j. n."/>
    <m/>
    <m/>
    <m/>
    <m/>
    <m/>
    <m/>
    <m/>
    <m/>
    <m/>
    <m/>
    <m/>
    <m/>
    <m/>
    <m/>
    <m/>
    <m/>
    <m/>
  </r>
  <r>
    <s v="27026531"/>
    <s v="SPOLEK RODIČŮ A PŘÁTEL DĚTÍ DECHOVÉHO SOUBORU MORAVA při Základní umělecké škole Hulín"/>
    <s v="706"/>
    <x v="1"/>
    <x v="3"/>
    <s v="Hulín"/>
    <s v="Hulín, nám. Míru 123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5431"/>
    <s v="Spolek rodičů a přátel dětí při Základní škole UNESCO Uherské Hradiště"/>
    <s v="706"/>
    <x v="1"/>
    <x v="2"/>
    <s v="Uherské Hradiště"/>
    <s v="Uherské Hradiště, Komenského náměstí 35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3780"/>
    <s v="Spolek rodičů a přátel dětí při 2. ZŠ Holešov"/>
    <s v="706"/>
    <x v="1"/>
    <x v="3"/>
    <s v="Holešov"/>
    <s v="Holešov, Smetanovy sady 625/4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216718"/>
    <s v="Spolek rodičů a přátel dětí školy při Základní umělecké škole v Hulíně"/>
    <s v="706"/>
    <x v="1"/>
    <x v="3"/>
    <s v="Hulín"/>
    <s v="Hulín, nám. Míru 123, PSČ 76824"/>
    <s v="94999"/>
    <s v="Činnosti ostatních organizací j. n."/>
    <m/>
    <m/>
    <m/>
    <m/>
    <m/>
    <m/>
    <m/>
    <m/>
    <m/>
    <m/>
    <m/>
    <m/>
    <m/>
    <m/>
    <m/>
    <m/>
    <m/>
  </r>
  <r>
    <s v="60575913"/>
    <s v="Spolek rodičů a přátel Gymnázia J.A.Komenského v Uherském Brodě z.s."/>
    <s v="706"/>
    <x v="1"/>
    <x v="2"/>
    <s v="Uherský Brod"/>
    <s v="Uherský Brod, Komenského 169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9891"/>
    <s v="Spolek rodičů a přátel Katolické základní školy v Uherském Brodě"/>
    <s v="706"/>
    <x v="1"/>
    <x v="2"/>
    <s v="Uherský Brod"/>
    <s v="Uherský Brod, Masarykovo nám. 68, PSČ 68801"/>
    <s v="94999"/>
    <s v="Činnosti ostatních organizací j. n."/>
    <m/>
    <m/>
    <m/>
    <m/>
    <m/>
    <m/>
    <m/>
    <m/>
    <m/>
    <m/>
    <m/>
    <m/>
    <m/>
    <m/>
    <m/>
    <m/>
    <m/>
  </r>
  <r>
    <s v="05582032"/>
    <s v="Spolek rodičů a přátel MŠ Klíček"/>
    <s v="706"/>
    <x v="1"/>
    <x v="2"/>
    <s v="Uherský Brod"/>
    <s v="Uherský Brod, Prim. Hájka 2030, PSČ 68801"/>
    <s v="94999"/>
    <s v="Činnosti ostatních organizací j. n."/>
    <m/>
    <m/>
    <m/>
    <m/>
    <m/>
    <m/>
    <m/>
    <m/>
    <m/>
    <m/>
    <m/>
    <m/>
    <m/>
    <m/>
    <m/>
    <m/>
    <m/>
  </r>
  <r>
    <s v="17105706"/>
    <s v="Spolek rodičů a přátel při SŠHS Kroměříž, z.s."/>
    <s v="706"/>
    <x v="1"/>
    <x v="3"/>
    <s v="Kroměříž"/>
    <s v="Kroměříž, Havlíčkova 2788/135, PSČ 76701"/>
    <s v="94999"/>
    <s v="Činnosti ostatních organizací j. n."/>
    <m/>
    <m/>
    <m/>
    <m/>
    <m/>
    <m/>
    <m/>
    <m/>
    <m/>
    <m/>
    <m/>
    <m/>
    <m/>
    <m/>
    <m/>
    <m/>
    <m/>
  </r>
  <r>
    <s v="28555287"/>
    <s v="Spolek rodičů a přátel při Střední průmyslové škole polytechnické - Centrum odborné přípravy Zlín, Nad Ovčírnou 2528, 76001 Zlín"/>
    <s v="706"/>
    <x v="1"/>
    <x v="0"/>
    <s v="Zlín"/>
    <s v="Zlín, Nad Ovčírnou IV 2528, PSČ 76001"/>
    <s v="94999"/>
    <s v="Činnosti ostatních organizací j. n."/>
    <m/>
    <m/>
    <m/>
    <m/>
    <m/>
    <m/>
    <m/>
    <m/>
    <m/>
    <m/>
    <m/>
    <m/>
    <m/>
    <m/>
    <m/>
    <m/>
    <m/>
  </r>
  <r>
    <s v="18189822"/>
    <s v="Spolek rodičů a přátel SŠ-COPT Kroměříž"/>
    <s v="706"/>
    <x v="1"/>
    <x v="3"/>
    <s v="Kroměříž"/>
    <s v="Kroměříž, Nábělkova 539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018808"/>
    <s v="Spolek rodičů a přátel školy Fénix při ZŠ a MŠ Větrná 1063, Uherské Hradiště, z. s."/>
    <s v="706"/>
    <x v="1"/>
    <x v="2"/>
    <s v="Uherské Hradiště"/>
    <s v="Uherské Hradiště, Sady, Trnková 430, PSČ 68605"/>
    <s v="94999"/>
    <s v="Činnosti ostatních organizací j. n."/>
    <m/>
    <m/>
    <m/>
    <m/>
    <m/>
    <m/>
    <m/>
    <m/>
    <m/>
    <m/>
    <m/>
    <m/>
    <m/>
    <m/>
    <m/>
    <m/>
    <m/>
  </r>
  <r>
    <s v="01729373"/>
    <s v="Spolek rodičů a přátel školy Pohořelice"/>
    <s v="706"/>
    <x v="1"/>
    <x v="0"/>
    <s v="Pohořelice"/>
    <s v="Pohořelice, Školní 126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5048"/>
    <s v="Spolek rodičů a přátel školy při Církevní ZŠ a MŠ ve Zlíně"/>
    <s v="706"/>
    <x v="1"/>
    <x v="0"/>
    <s v="Zlín"/>
    <s v="Zlín, Česká 4787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90260"/>
    <s v="Spolek rodičů a přátel školy při SPŠ MV v Holešově"/>
    <s v="706"/>
    <x v="1"/>
    <x v="3"/>
    <s v="Holešov"/>
    <s v="Holešov, Zlínská 991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4376"/>
    <s v="Spolek rodičů a přátel školy při Základní škole a Mateřské škole Bílovice"/>
    <s v="706"/>
    <x v="1"/>
    <x v="2"/>
    <s v="Bílovice"/>
    <s v="Bílovice 440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161856"/>
    <s v="Spolek rodičů a přátel školy při Základní škole a mateřské škole J. A.Komenského Nivnice"/>
    <s v="706"/>
    <x v="1"/>
    <x v="2"/>
    <s v="Nivnice"/>
    <s v="Nivnice, Komenského 101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6279"/>
    <s v="Spolek rodičů a přátel školy při Základní škole a Mateřské škole ve Vlčnově"/>
    <s v="706"/>
    <x v="1"/>
    <x v="2"/>
    <s v="Vlčnov"/>
    <s v="Vlčnov 1202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8130"/>
    <s v="Spolek rodičů a přátel školy při Základní škole Trnava 242"/>
    <s v="706"/>
    <x v="1"/>
    <x v="0"/>
    <s v="Trnava"/>
    <s v="Trnava 242, PSČ 7631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07800"/>
    <s v="Spolek rodičů a přátel školy při Základní škole Zlín - Dřevnická 1790"/>
    <s v="706"/>
    <x v="1"/>
    <x v="0"/>
    <s v="Zlín"/>
    <s v="Zlín, Dřevnická 179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07573"/>
    <s v="Spolek rodičů a přátel školy při ZŠ a MŠ v Kašavě z.s."/>
    <s v="706"/>
    <x v="1"/>
    <x v="0"/>
    <s v="Kašava"/>
    <s v="Kašava 193, PSČ 76319"/>
    <s v="94999"/>
    <s v="Činnosti ostatních organizací j. n."/>
    <m/>
    <m/>
    <m/>
    <m/>
    <m/>
    <m/>
    <m/>
    <m/>
    <m/>
    <m/>
    <m/>
    <m/>
    <m/>
    <m/>
    <m/>
    <m/>
    <m/>
  </r>
  <r>
    <s v="75041006"/>
    <s v="Spolek rodičů a přátel školy při ZŠ a PrŠ Valašské Klobouky"/>
    <s v="706"/>
    <x v="1"/>
    <x v="0"/>
    <s v="Valašské Klobouky"/>
    <s v="Valašské Klobouky, Smolina 1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7668"/>
    <s v="Spolek rodičů a přátel školy při ZŠ, MŠ a PŠ Vsetín"/>
    <s v="706"/>
    <x v="1"/>
    <x v="1"/>
    <s v="Vsetín"/>
    <s v="Vsetín, Turkmenská 1612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370"/>
    <s v="Spolek rodičů a přátel školy při ZŠ Neubuz, z.s."/>
    <s v="706"/>
    <x v="1"/>
    <x v="0"/>
    <s v="Neubuz"/>
    <s v="Neubuz 65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156801"/>
    <s v="Spolek rodičů a přátel školy při ZŠ Prakšice, z.s."/>
    <s v="706"/>
    <x v="1"/>
    <x v="2"/>
    <s v="Prakšice"/>
    <s v="Prakšice 100, PSČ 687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4011"/>
    <s v="Spolek rodičů a přátel školy při ZŠ Sportovní v Uh. Hradišti"/>
    <s v="706"/>
    <x v="1"/>
    <x v="2"/>
    <s v="Uherské Hradiště"/>
    <s v="Uherské Hradiště, Sportovní 777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69902"/>
    <s v="Spolek rodičů a přátel školy při ZŠ Valašská Bystřice"/>
    <s v="706"/>
    <x v="1"/>
    <x v="1"/>
    <s v="Valašská Bystřice"/>
    <s v="Valašská Bystřice 360, PSČ 75627"/>
    <s v="94999"/>
    <s v="Činnosti ostatních organizací j. n."/>
    <m/>
    <m/>
    <m/>
    <m/>
    <m/>
    <m/>
    <m/>
    <m/>
    <m/>
    <m/>
    <m/>
    <m/>
    <m/>
    <m/>
    <m/>
    <m/>
    <m/>
  </r>
  <r>
    <s v="26542200"/>
    <s v="Spolek rodičů a přátel školy při ZŠ Větrná 1063,uherské Hradiště"/>
    <s v="706"/>
    <x v="1"/>
    <x v="2"/>
    <s v="Uherské Hradiště"/>
    <s v="Uherské Hradiště, Mařatice, Větrná 1063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36346"/>
    <s v="Spolek rodičů a přátel školy při ZŠ Záhorovice"/>
    <s v="706"/>
    <x v="1"/>
    <x v="2"/>
    <s v="Záhorovice"/>
    <s v="Záhorovice 164, PSČ 68771"/>
    <s v="94999"/>
    <s v="Činnosti ostatních organizací j. n."/>
    <m/>
    <m/>
    <m/>
    <m/>
    <m/>
    <m/>
    <m/>
    <m/>
    <m/>
    <m/>
    <m/>
    <m/>
    <m/>
    <m/>
    <m/>
    <m/>
    <m/>
  </r>
  <r>
    <s v="44005318"/>
    <s v="Spolek rodičů a přátel Základní a Mateřské  školy Halenkovice"/>
    <s v="706"/>
    <x v="1"/>
    <x v="0"/>
    <s v="Halenkovice"/>
    <s v="Halenkovice 76, PSČ 76363"/>
    <s v="9499"/>
    <s v="Činnosti ostatních organizací sdružujících osoby za účelem prosazování společných zájmů j. n."/>
    <s v="Výroba, obchod a služby neuvedené v přílohách 1 až 3 živnostenského zákona"/>
    <s v="Stravování v restauracích, u stánků a v mobilních zařízeních"/>
    <s v="Destilace, rektifikace a míchání lihovin"/>
    <m/>
    <m/>
    <m/>
    <m/>
    <m/>
    <m/>
    <m/>
    <m/>
    <m/>
    <m/>
    <m/>
    <m/>
    <m/>
    <m/>
  </r>
  <r>
    <s v="71158332"/>
    <s v="Spolek rodičů a přátel Základní školy  Ostrožská Nová Ves"/>
    <s v="706"/>
    <x v="1"/>
    <x v="2"/>
    <s v="Ostrožská Nová Ves"/>
    <s v="Ostrožská Nová Ves, Lhotská 500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57748"/>
    <s v="Spolek rodičů a přátel Základní školy Komenského náměstí Kroměříž"/>
    <s v="706"/>
    <x v="1"/>
    <x v="3"/>
    <s v="Kroměříž"/>
    <s v="Kroměříž, Komenského náměstí 440/2, PSČ 76701"/>
    <s v="94999"/>
    <s v="Činnosti ostatních organizací j. n."/>
    <m/>
    <m/>
    <m/>
    <m/>
    <m/>
    <m/>
    <m/>
    <m/>
    <m/>
    <m/>
    <m/>
    <m/>
    <m/>
    <m/>
    <m/>
    <m/>
    <m/>
  </r>
  <r>
    <s v="45211256"/>
    <s v="Spolek rodičů a přátel Základní školy Liptál"/>
    <s v="706"/>
    <x v="1"/>
    <x v="1"/>
    <s v="Liptál"/>
    <s v="Liptál 465, PSČ 756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4724"/>
    <s v="Spolek rodičů a přátel Základní školy v Boršicích"/>
    <s v="706"/>
    <x v="1"/>
    <x v="2"/>
    <s v="Boršice"/>
    <s v="Boršice 7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511691"/>
    <s v="Spolek rodičů a přátel ZŠ Zdounky"/>
    <s v="706"/>
    <x v="1"/>
    <x v="3"/>
    <s v="Zdounky"/>
    <s v="Zdounky 59, PSČ 76802"/>
    <s v="94999"/>
    <s v="Činnosti ostatních organizací j. n."/>
    <m/>
    <m/>
    <m/>
    <m/>
    <m/>
    <m/>
    <m/>
    <m/>
    <m/>
    <m/>
    <m/>
    <m/>
    <m/>
    <m/>
    <m/>
    <m/>
    <m/>
  </r>
  <r>
    <s v="26559749"/>
    <s v="Spolek rodičů a příznivců Základní školy Uherský Ostroh"/>
    <s v="706"/>
    <x v="1"/>
    <x v="2"/>
    <s v="Uherský Ostroh"/>
    <s v="Uherský Ostroh, Ostrožské Předměstí, Školní 400, PSČ 68724"/>
    <s v="94999"/>
    <s v="Činnosti ostatních organizací j. n."/>
    <m/>
    <m/>
    <m/>
    <m/>
    <m/>
    <m/>
    <m/>
    <m/>
    <m/>
    <m/>
    <m/>
    <m/>
    <m/>
    <m/>
    <m/>
    <m/>
    <m/>
  </r>
  <r>
    <s v="01553984"/>
    <s v="Spolek rodičů a zaměstnanců při Odborném učilišti v Kelči, náměstí Osvoboditelů 1, 756 43 Kelč"/>
    <s v="706"/>
    <x v="1"/>
    <x v="1"/>
    <s v="Kelč"/>
    <s v="Kelč 1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96151"/>
    <s v="Spolek rodičů Montessori při Mateřské škole, Uherské Hradiště"/>
    <s v="706"/>
    <x v="1"/>
    <x v="2"/>
    <s v="Uherské Hradiště"/>
    <s v="Uherské Hradiště, Štěpnická 1111, PSČ 68606"/>
    <s v="94999"/>
    <s v="Činnosti ostatních organizací j. n."/>
    <m/>
    <m/>
    <m/>
    <m/>
    <m/>
    <m/>
    <m/>
    <m/>
    <m/>
    <m/>
    <m/>
    <m/>
    <m/>
    <m/>
    <m/>
    <m/>
    <m/>
  </r>
  <r>
    <s v="62180673"/>
    <s v="Spolek rodičů při  ZUŠ Zlín - Jižní Svahy"/>
    <s v="706"/>
    <x v="1"/>
    <x v="0"/>
    <s v="Zlín"/>
    <s v="Zlín, Okružní 4699, PSČ 76005"/>
    <s v="94999"/>
    <s v="Činnosti ostatních organizací j. n."/>
    <m/>
    <m/>
    <m/>
    <m/>
    <m/>
    <m/>
    <m/>
    <m/>
    <m/>
    <m/>
    <m/>
    <m/>
    <m/>
    <m/>
    <m/>
    <m/>
    <m/>
  </r>
  <r>
    <s v="61703770"/>
    <s v="Spolek rodičů při I. ZŠ Kunovice, Červená cesta 853"/>
    <s v="706"/>
    <x v="1"/>
    <x v="2"/>
    <s v="Kunovice"/>
    <s v="Kunovice, Červená cesta 853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8202"/>
    <s v="Spolek rodičů při Mateřské škole v Uherském Hradišti - Jarošově"/>
    <s v="706"/>
    <x v="1"/>
    <x v="2"/>
    <s v="Uherské Hradiště"/>
    <s v="Uherské Hradiště, Jarošov, Markov 416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3531"/>
    <s v="Spolek rodičů při MŠ Obchodní, zapsaný spolek"/>
    <s v="706"/>
    <x v="1"/>
    <x v="2"/>
    <s v="Uherský Brod"/>
    <s v="Uherský Brod, Obchodní 1639, PSČ 68801"/>
    <s v="94999"/>
    <s v="Činnosti ostatních organizací j. n."/>
    <m/>
    <m/>
    <m/>
    <m/>
    <m/>
    <m/>
    <m/>
    <m/>
    <m/>
    <m/>
    <m/>
    <m/>
    <m/>
    <m/>
    <m/>
    <m/>
    <m/>
  </r>
  <r>
    <s v="47933887"/>
    <s v="SPOLEK RODIČŮ PŘI MŠ RADOST z.s."/>
    <s v="706"/>
    <x v="1"/>
    <x v="3"/>
    <s v="Holešov"/>
    <s v="Holešov, Grohova 1392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3182"/>
    <s v="Spolek rodičů při MŠ Sídliště"/>
    <s v="706"/>
    <x v="1"/>
    <x v="2"/>
    <s v="Uherský Ostroh"/>
    <s v="Uherský Ostroh, Ostrožské Předměstí, Sídliště 836, PSČ 68724"/>
    <s v="94999"/>
    <s v="Činnosti ostatních organizací j. n."/>
    <m/>
    <m/>
    <m/>
    <m/>
    <m/>
    <m/>
    <m/>
    <m/>
    <m/>
    <m/>
    <m/>
    <m/>
    <m/>
    <m/>
    <m/>
    <m/>
    <m/>
  </r>
  <r>
    <s v="02073129"/>
    <s v="Spolek rodičů při MŠ Štěpánov, Valašské Meziříčí"/>
    <s v="706"/>
    <x v="1"/>
    <x v="1"/>
    <s v="Valašské Meziříčí"/>
    <s v="Valašské Meziříčí, Šafaříkova 658, PSČ 75701"/>
    <s v="94999"/>
    <s v="Činnosti ostatních organizací j. n."/>
    <m/>
    <m/>
    <m/>
    <m/>
    <m/>
    <m/>
    <m/>
    <m/>
    <m/>
    <m/>
    <m/>
    <m/>
    <m/>
    <m/>
    <m/>
    <m/>
    <m/>
  </r>
  <r>
    <s v="26530163"/>
    <s v="Spolek rodičů při Základní škole a mateřské škole Osvětimany"/>
    <s v="706"/>
    <x v="1"/>
    <x v="2"/>
    <s v="Osvětimany"/>
    <s v="Osvětimany 282, PSČ 68742"/>
    <s v="9499"/>
    <s v="Činnosti ostatních organizací sdružujících osoby za účelem prosazování společných zájmů j. n."/>
    <s v="Destilace, rektifikace a míchání lihovin"/>
    <s v="Stravování v restauracích, u stánků a v mobilních zařízeních"/>
    <m/>
    <m/>
    <m/>
    <m/>
    <m/>
    <m/>
    <m/>
    <m/>
    <m/>
    <m/>
    <m/>
    <m/>
    <m/>
    <m/>
    <m/>
  </r>
  <r>
    <s v="05640113"/>
    <s v="Spolek rodičů při Základní škole Boršice u Blatnice, z.s."/>
    <s v="706"/>
    <x v="1"/>
    <x v="2"/>
    <s v="Boršice u Blatnice"/>
    <s v="Boršice u Blatnice 157, PSČ 68763"/>
    <s v="94999"/>
    <s v="Činnosti ostatních organizací j. n."/>
    <m/>
    <m/>
    <m/>
    <m/>
    <m/>
    <m/>
    <m/>
    <m/>
    <m/>
    <m/>
    <m/>
    <m/>
    <m/>
    <m/>
    <m/>
    <m/>
    <m/>
  </r>
  <r>
    <s v="44740492"/>
    <s v="Spolek rodičů při Základní škole Vsetín, Rokytnice 436"/>
    <s v="706"/>
    <x v="1"/>
    <x v="1"/>
    <s v="Vsetín"/>
    <s v="Vsetín, Rokytnice, Michala Urbánka 436, PSČ 75501"/>
    <s v="94999"/>
    <s v="Činnosti ostatních organizací j. n."/>
    <m/>
    <m/>
    <m/>
    <m/>
    <m/>
    <m/>
    <m/>
    <m/>
    <m/>
    <m/>
    <m/>
    <m/>
    <m/>
    <m/>
    <m/>
    <m/>
    <m/>
  </r>
  <r>
    <s v="26527928"/>
    <s v="Spolek rodičů při ZŠ a MŠ Buchlovice"/>
    <s v="706"/>
    <x v="1"/>
    <x v="2"/>
    <s v="Buchlovice"/>
    <s v="Buchlovice, Komenského 483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34509"/>
    <s v="Spolek rodičů při ZŠ a MŠ Jarcová z.s."/>
    <s v="706"/>
    <x v="1"/>
    <x v="1"/>
    <s v="Jarcová"/>
    <s v="Jarcová 5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726201"/>
    <s v="Spolek rodičů při ZŠ Březolupy"/>
    <s v="706"/>
    <x v="1"/>
    <x v="2"/>
    <s v="Březolupy"/>
    <s v="Březolupy 134, PSČ 687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054354"/>
    <s v="Spolek rodičů při ZŠ Jablůnka"/>
    <s v="706"/>
    <x v="1"/>
    <x v="1"/>
    <s v="Jablůnka"/>
    <s v="Jablůnka 306, PSČ 75623"/>
    <s v="94999"/>
    <s v="Činnosti ostatních organizací j. n."/>
    <m/>
    <m/>
    <m/>
    <m/>
    <m/>
    <m/>
    <m/>
    <m/>
    <m/>
    <m/>
    <m/>
    <m/>
    <m/>
    <m/>
    <m/>
    <m/>
    <m/>
  </r>
  <r>
    <s v="26549654"/>
    <s v="Spolek rodičů při ZŠ Komenského I, Zlín, z.s."/>
    <s v="706"/>
    <x v="1"/>
    <x v="0"/>
    <s v="Zlín"/>
    <s v="Zlín, Havlíčkovo nábřeží 311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29793"/>
    <s v="Spolek rodičů při ZŠ Kunovice U Pálenice, z.s."/>
    <s v="706"/>
    <x v="1"/>
    <x v="2"/>
    <s v="Kunovice"/>
    <s v="Kunovice, U Pálenice 1620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710"/>
    <s v="Spolek rodičů při ZŠ Mánesova v Otrokovicích"/>
    <s v="706"/>
    <x v="1"/>
    <x v="0"/>
    <s v="Otrokovice"/>
    <s v="Otrokovice, Mánesova 908, PSČ 76502"/>
    <s v="94999"/>
    <s v="Činnosti ostatních organizací j. n."/>
    <m/>
    <m/>
    <m/>
    <m/>
    <m/>
    <m/>
    <m/>
    <m/>
    <m/>
    <m/>
    <m/>
    <m/>
    <m/>
    <m/>
    <m/>
    <m/>
    <m/>
  </r>
  <r>
    <s v="26992752"/>
    <s v="Spolek rodičů při ZŠ T.G. Masaryka Bystřice pod Hostýnem"/>
    <s v="706"/>
    <x v="1"/>
    <x v="3"/>
    <s v="Bystřice pod Hostýnem"/>
    <s v="Bystřice pod Hostýnem, Nádražní 56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687958"/>
    <s v="Spolek rodičů při ZŠ Uherské Hradiště - Jarošov"/>
    <s v="706"/>
    <x v="1"/>
    <x v="2"/>
    <s v="Uherské Hradiště"/>
    <s v="Uherské Hradiště-Jarošov,čp.200 /ZŠ/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0539"/>
    <s v="Spolek rodičů při ZŠ Valašské Klobouky"/>
    <s v="706"/>
    <x v="1"/>
    <x v="0"/>
    <s v="Valašské Klobouky"/>
    <s v="Valašské Klobouky, Školní 85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2558938"/>
    <s v="Spolek rodičů při 9. ZŠ Zlín"/>
    <s v="706"/>
    <x v="1"/>
    <x v="0"/>
    <s v="Zlín"/>
    <s v="Zlín, Štefánikova 251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0141"/>
    <s v="Spolek rodičů z Mistřic"/>
    <s v="706"/>
    <x v="1"/>
    <x v="2"/>
    <s v="Mistřice"/>
    <s v="Mistřice 9, PSČ 68712"/>
    <s v="94991"/>
    <s v="Činnosti organizací dětí a mládeže"/>
    <m/>
    <m/>
    <m/>
    <m/>
    <m/>
    <m/>
    <m/>
    <m/>
    <m/>
    <m/>
    <m/>
    <m/>
    <m/>
    <m/>
    <m/>
    <m/>
    <m/>
  </r>
  <r>
    <s v="42866251"/>
    <s v="Spolek rodičů žáků sportovních tříd"/>
    <s v="706"/>
    <x v="1"/>
    <x v="1"/>
    <s v="Rožnov pod Radhoštěm"/>
    <s v="Rožnov pod Radhoštěm, Videčská 6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49065"/>
    <s v="Spolek Romů a Sintů ČR"/>
    <s v="706"/>
    <x v="1"/>
    <x v="0"/>
    <s v="Otrokovice"/>
    <s v="Otrokovice, Kvítkovice, K. H. Máchy 107, PSČ 765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4742036"/>
    <s v="Spolek ROSA Roštění"/>
    <s v="706"/>
    <x v="1"/>
    <x v="3"/>
    <s v="Roštění"/>
    <s v="Roštění 91, PSČ 76843"/>
    <s v="94993"/>
    <s v="Činnosti organizací na podporu rekreační a zájmové činnosti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48471313"/>
    <s v="Spolek RUBÍN"/>
    <s v="706"/>
    <x v="1"/>
    <x v="2"/>
    <s v="Uherské Hradiště"/>
    <s v="Uherské Hradiště, Za Alejí 1015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0487"/>
    <s v="Spolek rybářů Mistřice"/>
    <s v="706"/>
    <x v="1"/>
    <x v="2"/>
    <s v="Mistřice"/>
    <s v="Mistřice 9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436541"/>
    <s v="SPOLEK RYBÁŘŮ MÍŠKOVICE"/>
    <s v="706"/>
    <x v="1"/>
    <x v="3"/>
    <s v="Míškovice"/>
    <s v="Míškovice 76, PSČ 76852"/>
    <s v="9499"/>
    <s v="Činnosti ostatních organizací sdružujících osoby za účelem prosazování společných zájmů j. n."/>
    <s v="Podpůrné činnosti pro zemědělství a posklizňové činnosti"/>
    <s v="Destilace, rektifikace a míchání lihovin"/>
    <s v="Stravování v restauracích, u stánků a v mobilních zařízeních"/>
    <s v="Podpůrné činnosti pro scénická umění"/>
    <s v="Ostatní sportovní činnosti"/>
    <m/>
    <m/>
    <m/>
    <m/>
    <m/>
    <m/>
    <m/>
    <m/>
    <m/>
    <m/>
    <m/>
    <m/>
  </r>
  <r>
    <s v="22867074"/>
    <s v="Spolek rybářů Polešovice"/>
    <s v="706"/>
    <x v="1"/>
    <x v="2"/>
    <s v="Polešovice"/>
    <s v="Polešovice 551, PSČ 6873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1801"/>
    <s v="Spolek rybářů, rybníkářství Holomňa"/>
    <s v="706"/>
    <x v="1"/>
    <x v="2"/>
    <s v="Prakšice"/>
    <s v="Prakšice 127, PSČ 6875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14287"/>
    <s v="Spolek rybářů Žeranovice"/>
    <s v="706"/>
    <x v="1"/>
    <x v="3"/>
    <s v="Žeranovice"/>
    <s v="Žeranovice 260, PSČ 76901"/>
    <s v="9499"/>
    <s v="Činnosti ostatních organizací sdružujících osoby za účelem prosazování společných zájmů j. n."/>
    <s v="Akvakultura"/>
    <s v="Sladkovodní akvakultura"/>
    <m/>
    <m/>
    <m/>
    <m/>
    <m/>
    <m/>
    <m/>
    <m/>
    <m/>
    <m/>
    <m/>
    <m/>
    <m/>
    <m/>
    <m/>
  </r>
  <r>
    <s v="70896950"/>
    <s v="Spolek rybářů Žopy"/>
    <s v="706"/>
    <x v="1"/>
    <x v="3"/>
    <s v="Holešov"/>
    <s v="Žopy 166, Holešov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008291"/>
    <s v="Spolek Rybníkářství Jezera Šumice"/>
    <s v="706"/>
    <x v="1"/>
    <x v="2"/>
    <s v="Šumice"/>
    <s v="Šumice 400, PSČ 687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832140"/>
    <s v="SPOLEK R-72"/>
    <s v="706"/>
    <x v="1"/>
    <x v="2"/>
    <s v="Staré Město"/>
    <s v="Staré Město, Brněnská 369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51313"/>
    <s v="Spolek Řetechov, z.s."/>
    <s v="706"/>
    <x v="1"/>
    <x v="0"/>
    <s v="Luhačovice"/>
    <s v="Luhačovice, Řetechov 48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740590"/>
    <s v="Spolek s názvem ORIENTKLUB Vsetín"/>
    <s v="706"/>
    <x v="1"/>
    <x v="1"/>
    <s v="Vsetín"/>
    <s v="Vsetín, Semetín 1717, PSČ 75501"/>
    <s v="93120"/>
    <s v="Činnosti sportovních klubů"/>
    <m/>
    <m/>
    <m/>
    <m/>
    <m/>
    <m/>
    <m/>
    <m/>
    <m/>
    <m/>
    <m/>
    <m/>
    <m/>
    <m/>
    <m/>
    <m/>
    <m/>
  </r>
  <r>
    <s v="65270002"/>
    <s v="spolek Sdružení Woodcraft Chřiby"/>
    <s v="706"/>
    <x v="1"/>
    <x v="3"/>
    <s v="Koryčany"/>
    <s v="Koryčany, Smetanova 624, PSČ 768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126569"/>
    <s v="Spolek seniorů Břest"/>
    <s v="706"/>
    <x v="1"/>
    <x v="3"/>
    <s v="Břest"/>
    <s v="Břest 87, PSČ 768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87610"/>
    <s v="Spolek seniorů Dolní Lhota"/>
    <s v="706"/>
    <x v="1"/>
    <x v="0"/>
    <s v="Dolní Lhota"/>
    <s v="Dolní Lhota 129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163835"/>
    <s v="Spolek seniorů Klásek,z.s."/>
    <s v="706"/>
    <x v="1"/>
    <x v="0"/>
    <s v="Fryšták"/>
    <s v="Fryšták, Lúčky 438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043434"/>
    <s v="Spolek seniorů ve Velkých Karlovicích"/>
    <s v="706"/>
    <x v="1"/>
    <x v="1"/>
    <s v="Velké Karlovice"/>
    <s v="Velké Karlovice 1, PSČ 75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22790"/>
    <s v="Spolek singularistů v Lukově z.s."/>
    <s v="706"/>
    <x v="1"/>
    <x v="0"/>
    <s v="Lukov"/>
    <s v="Lukov, Hrušoví 41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884988"/>
    <s v="Spolek singularistů velkousedlých Horní Ves"/>
    <s v="706"/>
    <x v="1"/>
    <x v="0"/>
    <s v="Fryšták"/>
    <s v="Fryšták, Horní Ves, Ke Skalce 442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14538"/>
    <s v="Spolek singularistů Zlobice"/>
    <s v="706"/>
    <x v="1"/>
    <x v="3"/>
    <s v="Zlobice"/>
    <s v="Zlobice 41, PSČ 768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0460"/>
    <s v="Spolek singulárních domkařů Zlín - Štípa, z.s."/>
    <s v="706"/>
    <x v="1"/>
    <x v="0"/>
    <s v="Želechovice nad Dřevnicí"/>
    <s v="Želechovice nad Dřevnicí, Osvobození 408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956573"/>
    <s v="Spolek singulárních podílníků Bojkovice"/>
    <s v="706"/>
    <x v="1"/>
    <x v="2"/>
    <s v="Bojkovice"/>
    <s v="Bojkovice, Sušilova 95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395625"/>
    <s v="Spolek singulárních podílníků Bzová"/>
    <s v="706"/>
    <x v="1"/>
    <x v="2"/>
    <s v="Bojkovice"/>
    <s v="Bojkovice, Bzová 40, PSČ 68771"/>
    <s v="9499"/>
    <s v="Činnosti ostatních organizací sdružujících osoby za účelem prosazování společných zájmů j. n."/>
    <s v="Maloobchod v nespecializovaných prodejnách"/>
    <m/>
    <m/>
    <m/>
    <m/>
    <m/>
    <m/>
    <m/>
    <m/>
    <m/>
    <m/>
    <m/>
    <m/>
    <m/>
    <m/>
    <m/>
    <m/>
  </r>
  <r>
    <s v="48489182"/>
    <s v="Spolek singulárních podílníků Komňa"/>
    <s v="706"/>
    <x v="1"/>
    <x v="2"/>
    <s v="Komňa"/>
    <s v="Komňa 213, PSČ 68771"/>
    <s v="02400"/>
    <s v="Podpůrné činnosti pro lesnictví"/>
    <m/>
    <m/>
    <m/>
    <m/>
    <m/>
    <m/>
    <m/>
    <m/>
    <m/>
    <m/>
    <m/>
    <m/>
    <m/>
    <m/>
    <m/>
    <m/>
    <m/>
  </r>
  <r>
    <s v="46254919"/>
    <s v="Spolek singulárních podílníků Krhov"/>
    <s v="706"/>
    <x v="1"/>
    <x v="2"/>
    <s v="Bojkovice"/>
    <s v="Bojkovice, Krhov 134, PSČ 68771"/>
    <s v="02"/>
    <s v="Lesnictví a těžba dřeva"/>
    <m/>
    <m/>
    <m/>
    <m/>
    <m/>
    <m/>
    <m/>
    <m/>
    <m/>
    <m/>
    <m/>
    <m/>
    <m/>
    <m/>
    <m/>
    <m/>
    <m/>
  </r>
  <r>
    <s v="07270160"/>
    <s v="Spolek singulárních podílníků Slavkov"/>
    <s v="706"/>
    <x v="1"/>
    <x v="2"/>
    <s v="Slavkov"/>
    <s v="Slavkov 114, PSČ 687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5153"/>
    <s v="Spolek singulárních podílníků Suchá Loz"/>
    <s v="706"/>
    <x v="1"/>
    <x v="2"/>
    <s v="Suchá Loz"/>
    <s v="Suchá Loz 72, PSČ 687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61916"/>
    <s v="Spolek singulárních podílníků Třešinky  Cetechovice"/>
    <s v="706"/>
    <x v="1"/>
    <x v="3"/>
    <s v="Cetechovice"/>
    <s v="Cetechovice 45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186804"/>
    <s v="Spolek singulárních vlastníků Lukoveček, z.s."/>
    <s v="706"/>
    <x v="1"/>
    <x v="0"/>
    <s v="Fryšták"/>
    <s v="Fryšták, Dolní Ves, Dolnoveská 197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080565"/>
    <s v="Spolek S&amp;K"/>
    <s v="706"/>
    <x v="1"/>
    <x v="0"/>
    <s v="Napajedla"/>
    <s v="Napajedla, Smetanova 1401, PSČ 76361"/>
    <s v="94993"/>
    <s v="Činnosti organizací na podporu rekreační a zájmové činnosti"/>
    <s v="Maloobchod, kromě motorových vozidel"/>
    <s v="Vydavatelské činnosti"/>
    <s v="Zprostředkování velkoobchodu a velkoobchod v zastoupení"/>
    <s v="Ostatní vzdělávání"/>
    <s v="Ostatní profesní, vědecké a technické činnosti j. n."/>
    <s v="Činnosti reklamních agentur"/>
    <s v="Podpůrné činnosti pro scénická umění"/>
    <s v="Ostatní sportovní činnosti"/>
    <m/>
    <m/>
    <m/>
    <m/>
    <m/>
    <m/>
    <m/>
    <m/>
    <m/>
  </r>
  <r>
    <s v="46308911"/>
    <s v="Spolek SK GMG Zlín"/>
    <s v="706"/>
    <x v="1"/>
    <x v="0"/>
    <s v="Zlín"/>
    <s v="Zlín, Díly IV 88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39426"/>
    <s v="Spolek Skatepark Slavičín"/>
    <s v="706"/>
    <x v="1"/>
    <x v="0"/>
    <s v="Slavičín"/>
    <s v="Slavičín, K Hájenkám 358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6917"/>
    <s v="&quot;Spolek Slatina Slavkov pod Hostýnem&quot;"/>
    <s v="706"/>
    <x v="1"/>
    <x v="3"/>
    <s v="Slavkov pod Hostýnem"/>
    <s v="Slavkov pod Hostýnem 14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90189"/>
    <s v="Spolek soukromých chovatelů koní na Moravě se sídlem v Holešově"/>
    <s v="706"/>
    <x v="1"/>
    <x v="3"/>
    <s v="Martinice"/>
    <s v="Martinice 128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081238"/>
    <s v="Spolek Speranza di Cavalli"/>
    <s v="706"/>
    <x v="1"/>
    <x v="2"/>
    <s v="Uherský Brod"/>
    <s v="Uherský Brod, Králov 1576, PSČ 688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7724520"/>
    <s v="Spolek spoluvlastníků bytového domu Odboje 1081, 1082 a 1083, Bystřice pod Hostýnem"/>
    <s v="706"/>
    <x v="1"/>
    <x v="3"/>
    <s v="Bystřice pod Hostýnem"/>
    <s v="Bystřice pod Hostýnem, Odboje 1083, PSČ 76861"/>
    <s v="6820"/>
    <s v="Pronájem a správa vlastních nebo pronajatých nemovitostí"/>
    <m/>
    <m/>
    <m/>
    <m/>
    <m/>
    <m/>
    <m/>
    <m/>
    <m/>
    <m/>
    <m/>
    <m/>
    <m/>
    <m/>
    <m/>
    <m/>
    <m/>
  </r>
  <r>
    <s v="22725288"/>
    <s v="Spolek spoluvlastníků podzemní hromadné garáže Plesníkova 5572, Zlín"/>
    <s v="706"/>
    <x v="1"/>
    <x v="0"/>
    <s v="Zlín"/>
    <s v="Zlín, Zarámí 9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5296"/>
    <s v="Spolek spoluvlastníků podzemní hromadné garáže Voženílkova 5573, Zlín"/>
    <s v="706"/>
    <x v="1"/>
    <x v="0"/>
    <s v="Zlín"/>
    <s v="Zlín, Zarámí 9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89992"/>
    <s v="Spolek Sportovní klub Jarohněvice"/>
    <s v="706"/>
    <x v="1"/>
    <x v="3"/>
    <s v="Jarohněvice"/>
    <s v="Jarohněvice 83, PSČ 76801"/>
    <s v="93190"/>
    <s v="Ostatní sportovní činnosti"/>
    <m/>
    <m/>
    <m/>
    <m/>
    <m/>
    <m/>
    <m/>
    <m/>
    <m/>
    <m/>
    <m/>
    <m/>
    <m/>
    <m/>
    <m/>
    <m/>
    <m/>
  </r>
  <r>
    <s v="09305882"/>
    <s v="Spolek Staroměští mládenci"/>
    <s v="706"/>
    <x v="1"/>
    <x v="2"/>
    <s v="Staré Město"/>
    <s v="Staré Město, Svatoplukova 2193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649425"/>
    <s v="spolek Střelců Újezd, z.s."/>
    <s v="706"/>
    <x v="1"/>
    <x v="0"/>
    <s v="Újezd"/>
    <s v="Újezd č. ev. 1, PSČ 76325"/>
    <s v="93190"/>
    <s v="Ostatní sportovní činnosti"/>
    <m/>
    <m/>
    <m/>
    <m/>
    <m/>
    <m/>
    <m/>
    <m/>
    <m/>
    <m/>
    <m/>
    <m/>
    <m/>
    <m/>
    <m/>
    <m/>
    <m/>
  </r>
  <r>
    <s v="02425076"/>
    <s v="Spolek ŠTĚPY SPYTIHNĚV"/>
    <s v="706"/>
    <x v="1"/>
    <x v="0"/>
    <s v="Otrokovice"/>
    <s v="Otrokovice, Obchodní 1320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042567"/>
    <s v="Spolek TANCKLUB Vsetín"/>
    <s v="706"/>
    <x v="1"/>
    <x v="1"/>
    <s v="Vsetín"/>
    <s v="Vsetín, Rokytnice, Rokytnice 413, PSČ 7550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06832636"/>
    <s v="Spolek TENIS Podvesná XI/XII Zlín z.s."/>
    <s v="706"/>
    <x v="1"/>
    <x v="0"/>
    <s v="Zlín"/>
    <s v="Zlín, Podvesná XI 741, PSČ 76001"/>
    <s v="93120"/>
    <s v="Činnosti sportovních klubů"/>
    <m/>
    <m/>
    <m/>
    <m/>
    <m/>
    <m/>
    <m/>
    <m/>
    <m/>
    <m/>
    <m/>
    <m/>
    <m/>
    <m/>
    <m/>
    <m/>
    <m/>
  </r>
  <r>
    <s v="06882617"/>
    <s v="SPOLEK TENIS ZÁLEŠNÁ VI/VII ZLÍN, z.s."/>
    <s v="706"/>
    <x v="1"/>
    <x v="0"/>
    <s v="Zlín"/>
    <s v="Zlín, Zálešná X 5874, PSČ 76001"/>
    <s v="93120"/>
    <s v="Činnosti sportovních klubů"/>
    <m/>
    <m/>
    <m/>
    <m/>
    <m/>
    <m/>
    <m/>
    <m/>
    <m/>
    <m/>
    <m/>
    <m/>
    <m/>
    <m/>
    <m/>
    <m/>
    <m/>
  </r>
  <r>
    <s v="06400612"/>
    <s v="Spolek Topolská chasa"/>
    <s v="706"/>
    <x v="1"/>
    <x v="2"/>
    <s v="Topolná"/>
    <s v="Topolná 204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423292"/>
    <s v="Spolek Tylovjané"/>
    <s v="706"/>
    <x v="1"/>
    <x v="1"/>
    <s v="Rožnov pod Radhoštěm"/>
    <s v="Rožnov pod Radhoštěm, Za Hážovkou 1944, PSČ 75661"/>
    <s v="90030"/>
    <s v="Umělecká tvorba"/>
    <m/>
    <m/>
    <m/>
    <m/>
    <m/>
    <m/>
    <m/>
    <m/>
    <m/>
    <m/>
    <m/>
    <m/>
    <m/>
    <m/>
    <m/>
    <m/>
    <m/>
  </r>
  <r>
    <s v="10754148"/>
    <s v="Spolek Valašských cyklistů"/>
    <s v="706"/>
    <x v="1"/>
    <x v="1"/>
    <s v="Nový Hrozenkov"/>
    <s v="Nový Hrozenkov 845, PSČ 75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373918"/>
    <s v="Spolek věřících kaple Sv. Ducha v Podolí"/>
    <s v="706"/>
    <x v="1"/>
    <x v="2"/>
    <s v="Vlčnov"/>
    <s v="Vlčnov 508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3351"/>
    <s v="SPOLEK VÉSKY"/>
    <s v="706"/>
    <x v="1"/>
    <x v="2"/>
    <s v="Uherské Hradiště"/>
    <s v="Uherské Hradiště, Vésky, Zámostí 10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35721"/>
    <s v="spolek VIA SOPHIAE"/>
    <s v="706"/>
    <x v="1"/>
    <x v="0"/>
    <s v="Březnice"/>
    <s v="Březnice 517, PSČ 76001"/>
    <s v="94991"/>
    <s v="Činnosti organizací dětí a mládeže"/>
    <m/>
    <m/>
    <m/>
    <m/>
    <m/>
    <m/>
    <m/>
    <m/>
    <m/>
    <m/>
    <m/>
    <m/>
    <m/>
    <m/>
    <m/>
    <m/>
    <m/>
  </r>
  <r>
    <s v="05484936"/>
    <s v="Spolek vlastníků lesa Loučka Zániví Paseky"/>
    <s v="706"/>
    <x v="1"/>
    <x v="0"/>
    <s v="Loučka"/>
    <s v="Loučka 129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667003"/>
    <s v="Spolek vlastníků lesa Újezd"/>
    <s v="706"/>
    <x v="1"/>
    <x v="0"/>
    <s v="Újezd"/>
    <s v="Újezd 308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397696"/>
    <s v="Spolek vlastníků zahrádek ZaO3 Slavičín"/>
    <s v="706"/>
    <x v="1"/>
    <x v="0"/>
    <s v="Slavičín"/>
    <s v="Slavičín, U Rybníka 410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06354"/>
    <s v="Spolek V+M, z.s."/>
    <s v="706"/>
    <x v="1"/>
    <x v="2"/>
    <s v="Uherský Brod"/>
    <s v="Uherský Brod, Kučerovo nám. 47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9316"/>
    <s v="Spolek westernové střelby Otrokovice"/>
    <s v="706"/>
    <x v="1"/>
    <x v="0"/>
    <s v="Otrokovice"/>
    <s v="Otrokovice, Komenského 248, PSČ 76502"/>
    <s v="93120"/>
    <s v="Činnosti sportovních klubů"/>
    <m/>
    <m/>
    <m/>
    <m/>
    <m/>
    <m/>
    <m/>
    <m/>
    <m/>
    <m/>
    <m/>
    <m/>
    <m/>
    <m/>
    <m/>
    <m/>
    <m/>
  </r>
  <r>
    <s v="10914064"/>
    <s v="Spolek za kvalitní rozvoj Štípy a Kostelce"/>
    <s v="706"/>
    <x v="1"/>
    <x v="0"/>
    <s v="Fryšták"/>
    <s v="Fryšták, Zlínská 241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62363"/>
    <s v="Spolek za ochranu přírody Fabiánka"/>
    <s v="706"/>
    <x v="1"/>
    <x v="0"/>
    <s v="Březnice"/>
    <s v="Březnice 43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17537"/>
    <s v="Spolek za otevřený a prosperující Zlín, z.s."/>
    <s v="706"/>
    <x v="1"/>
    <x v="0"/>
    <s v="Zlín"/>
    <s v="Zlín, U Splavu 153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695648"/>
    <s v="SPOLEK ZA PRÁVA JIŘÍHO KUBÍČKA, z. s."/>
    <s v="706"/>
    <x v="1"/>
    <x v="0"/>
    <s v="Zlín"/>
    <s v="Zlín, Malenovice, Tyršova 1071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1295"/>
    <s v="Spolek Za starou Moravu"/>
    <s v="706"/>
    <x v="1"/>
    <x v="0"/>
    <s v="Všemina"/>
    <s v="Všemina 120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995734"/>
    <s v="Spolek za vládu práva v kauzách obnovitelných zdrojů energie, z. s."/>
    <s v="706"/>
    <x v="1"/>
    <x v="2"/>
    <s v="Uherský Ostroh"/>
    <s v="Uherský Ostroh, Třebízského 82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9263"/>
    <s v="Spolek za zachování rázu krajiny Zašové"/>
    <s v="706"/>
    <x v="1"/>
    <x v="1"/>
    <s v="Zašová"/>
    <s v="Zašová 166, PSČ 75651"/>
    <s v="94995"/>
    <s v="Činnosti environmentálních a ekologických hnutí"/>
    <m/>
    <m/>
    <m/>
    <m/>
    <m/>
    <m/>
    <m/>
    <m/>
    <m/>
    <m/>
    <m/>
    <m/>
    <m/>
    <m/>
    <m/>
    <m/>
    <m/>
  </r>
  <r>
    <s v="06590080"/>
    <s v="Spolek za zdravé prostředí pro všechny"/>
    <s v="706"/>
    <x v="1"/>
    <x v="1"/>
    <s v="Lešná"/>
    <s v="Lešná, Lhotka nad Bečvou 55, PSČ 756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1503"/>
    <s v="&quot;Spolek Za zdravé Valašsko&quot;"/>
    <s v="706"/>
    <x v="1"/>
    <x v="0"/>
    <s v="Vlachovice"/>
    <s v="Vlachovice, Vrbětice 109, PSČ 76324"/>
    <s v="94995"/>
    <s v="Činnosti environmentálních a ekologických hnutí"/>
    <m/>
    <m/>
    <m/>
    <m/>
    <m/>
    <m/>
    <m/>
    <m/>
    <m/>
    <m/>
    <m/>
    <m/>
    <m/>
    <m/>
    <m/>
    <m/>
    <m/>
  </r>
  <r>
    <s v="26615096"/>
    <s v="Spolek za zdravé životní prostředí - Vršava, z.s."/>
    <s v="706"/>
    <x v="1"/>
    <x v="0"/>
    <s v="Zlín"/>
    <s v="Zlín, Horní Vršava IV 537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884"/>
    <s v="spolek Zahrádkáři Rožnov-město"/>
    <s v="706"/>
    <x v="1"/>
    <x v="1"/>
    <s v="Rožnov pod Radhoštěm"/>
    <s v="Rožnov pod Radhoštěm, Hradišťko 2531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0670"/>
    <s v="Spolek Zákopčan"/>
    <s v="706"/>
    <x v="1"/>
    <x v="1"/>
    <s v="Hutisko-Solanec"/>
    <s v="Hutisko-Solanec, Hutisko 512, PSČ 756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11291"/>
    <s v="&quot;Spolek Zdravá Napajedla&quot;"/>
    <s v="706"/>
    <x v="1"/>
    <x v="0"/>
    <s v="Napajedla"/>
    <s v="Napajedla, Žerotínova 253, PSČ 76361"/>
    <s v="94995"/>
    <s v="Činnosti environmentálních a ekologických hnutí"/>
    <m/>
    <m/>
    <m/>
    <m/>
    <m/>
    <m/>
    <m/>
    <m/>
    <m/>
    <m/>
    <m/>
    <m/>
    <m/>
    <m/>
    <m/>
    <m/>
    <m/>
  </r>
  <r>
    <s v="26599180"/>
    <s v="Spolek zdravotně postižených v Hulíně"/>
    <s v="706"/>
    <x v="1"/>
    <x v="3"/>
    <s v="Hulín"/>
    <s v="Hulín, Třebízského 194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0980"/>
    <s v="Spolek ZELENÁ HRÁZ na ochranu přírodních a historických hodnot Uh.Ostrohu"/>
    <s v="706"/>
    <x v="1"/>
    <x v="2"/>
    <s v="Uherský Ostroh"/>
    <s v="Uherský Ostroh, Sv. Čecha 73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099541"/>
    <s v="spolek Zlínský Zvěřinec"/>
    <s v="706"/>
    <x v="1"/>
    <x v="0"/>
    <s v="Lukov"/>
    <s v="Lukov, Průmyslová 513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39482"/>
    <s v="Spolek Zoufalých rodičů"/>
    <s v="706"/>
    <x v="1"/>
    <x v="2"/>
    <s v="Uherské Hradiště"/>
    <s v="Uherské Hradiště, Míkovice, Lesní 36, PSČ 686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44429"/>
    <s v="Spolek ZUŠKA?ZUŠKA!"/>
    <s v="706"/>
    <x v="1"/>
    <x v="0"/>
    <s v="Zlín"/>
    <s v="Zlín, Štefánikova 2987/91, PSČ 76001"/>
    <s v="94999"/>
    <s v="Činnosti ostatních organizací j. n."/>
    <m/>
    <m/>
    <m/>
    <m/>
    <m/>
    <m/>
    <m/>
    <m/>
    <m/>
    <m/>
    <m/>
    <m/>
    <m/>
    <m/>
    <m/>
    <m/>
    <m/>
  </r>
  <r>
    <s v="06058990"/>
    <s v="Spolek Zvonek"/>
    <s v="706"/>
    <x v="1"/>
    <x v="0"/>
    <s v="Slavičín"/>
    <s v="Slavičín, Nevšová 98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44491"/>
    <s v="Spolek žen Kurovice, z.s."/>
    <s v="706"/>
    <x v="1"/>
    <x v="3"/>
    <s v="Kurovice"/>
    <s v="Kurovice 51, PSČ 768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53448"/>
    <s v="Spolek žen Žeranovice"/>
    <s v="706"/>
    <x v="1"/>
    <x v="3"/>
    <s v="Žeranovice"/>
    <s v="Žeranovice 179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6311"/>
    <s v="Spolek Žítek"/>
    <s v="706"/>
    <x v="1"/>
    <x v="2"/>
    <s v="Žítková"/>
    <s v="pošta Starý Hrozenkov, Žítková 88"/>
    <s v="9499"/>
    <s v="Činnosti ostatních organizací sdružujících osoby za účelem prosazování společných zájmů j. n."/>
    <s v="Maloobchod, kromě motorových vozidel"/>
    <m/>
    <m/>
    <m/>
    <m/>
    <m/>
    <m/>
    <m/>
    <m/>
    <m/>
    <m/>
    <m/>
    <m/>
    <m/>
    <m/>
    <m/>
    <m/>
  </r>
  <r>
    <s v="22716211"/>
    <s v="Spolek Živé Přečkovice"/>
    <s v="706"/>
    <x v="1"/>
    <x v="2"/>
    <s v="Bojkovice"/>
    <s v="Bojkovice, Přečkovice 60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1911"/>
    <s v="Spolek-Klub outdoorových aktivit"/>
    <s v="706"/>
    <x v="1"/>
    <x v="0"/>
    <s v="Zlín"/>
    <s v="Zlín, Prostřední 3375, PSČ 76001"/>
    <s v="93120"/>
    <s v="Činnosti sportovních klubů"/>
    <m/>
    <m/>
    <m/>
    <m/>
    <m/>
    <m/>
    <m/>
    <m/>
    <m/>
    <m/>
    <m/>
    <m/>
    <m/>
    <m/>
    <m/>
    <m/>
    <m/>
  </r>
  <r>
    <s v="04236343"/>
    <s v="SPOLU - Spolek ochotníků Lukoveček"/>
    <s v="706"/>
    <x v="1"/>
    <x v="0"/>
    <s v="Lukoveček"/>
    <s v="Lukoveček, Záhumenní 156, PSČ 76316"/>
    <s v="90010"/>
    <s v="Scénická umění"/>
    <m/>
    <m/>
    <m/>
    <m/>
    <m/>
    <m/>
    <m/>
    <m/>
    <m/>
    <m/>
    <m/>
    <m/>
    <m/>
    <m/>
    <m/>
    <m/>
    <m/>
  </r>
  <r>
    <s v="05645841"/>
    <s v="Sport Academy B2M, z.s."/>
    <s v="706"/>
    <x v="1"/>
    <x v="2"/>
    <s v="Ostrožská Nová Ves"/>
    <s v="Ostrožská Nová Ves, Za kostelem 785, PSČ 68722"/>
    <s v="93190"/>
    <s v="Ostatní sportovní činnosti"/>
    <m/>
    <m/>
    <m/>
    <m/>
    <m/>
    <m/>
    <m/>
    <m/>
    <m/>
    <m/>
    <m/>
    <m/>
    <m/>
    <m/>
    <m/>
    <m/>
    <m/>
  </r>
  <r>
    <s v="22755306"/>
    <s v="SPORT AKADEMIE, z.s."/>
    <s v="706"/>
    <x v="1"/>
    <x v="0"/>
    <s v="Brumov-Bylnice"/>
    <s v="Brumov-Bylnice, Brumov, Družba 1180, PSČ 76331"/>
    <s v="93110"/>
    <s v="Provozování sportovních zařízení"/>
    <m/>
    <m/>
    <m/>
    <m/>
    <m/>
    <m/>
    <m/>
    <m/>
    <m/>
    <m/>
    <m/>
    <m/>
    <m/>
    <m/>
    <m/>
    <m/>
    <m/>
  </r>
  <r>
    <s v="67010148"/>
    <s v="SPORT CENTRUM KOHÚTKA, z.s."/>
    <s v="706"/>
    <x v="1"/>
    <x v="1"/>
    <s v="Nový Hrozenkov"/>
    <s v="Nový Hrozenkov 241, PSČ 75604"/>
    <s v="931"/>
    <s v="Sportovní činnosti"/>
    <m/>
    <m/>
    <m/>
    <m/>
    <m/>
    <m/>
    <m/>
    <m/>
    <m/>
    <m/>
    <m/>
    <m/>
    <m/>
    <m/>
    <m/>
    <m/>
    <m/>
  </r>
  <r>
    <s v="22686070"/>
    <s v="SPORT CENTRUM SLUŠOVICE o.s."/>
    <s v="706"/>
    <x v="1"/>
    <x v="0"/>
    <s v="Slušovice"/>
    <s v="Slušovice, U Vodojemu 576, PSČ 76315"/>
    <s v="93110"/>
    <s v="Provozování sportovních zařízení"/>
    <m/>
    <m/>
    <m/>
    <m/>
    <m/>
    <m/>
    <m/>
    <m/>
    <m/>
    <m/>
    <m/>
    <m/>
    <m/>
    <m/>
    <m/>
    <m/>
    <m/>
  </r>
  <r>
    <s v="67006451"/>
    <s v="Sport club GÖRÖ Zlín"/>
    <s v="706"/>
    <x v="1"/>
    <x v="0"/>
    <s v="Zlín"/>
    <s v="Zlín, Příluky, Dřevnická 377, PSČ 76001"/>
    <s v="93120"/>
    <s v="Činnosti sportovních klubů"/>
    <m/>
    <m/>
    <m/>
    <m/>
    <m/>
    <m/>
    <m/>
    <m/>
    <m/>
    <m/>
    <m/>
    <m/>
    <m/>
    <m/>
    <m/>
    <m/>
    <m/>
  </r>
  <r>
    <s v="65274512"/>
    <s v="Sport Club MBC - MOTOR BOAT CLUB"/>
    <s v="706"/>
    <x v="1"/>
    <x v="3"/>
    <s v="Kroměříž"/>
    <s v="Kroměříž, Hulínská 3221/26, PSČ 76701"/>
    <s v="93120"/>
    <s v="Činnosti sportovních klubů"/>
    <m/>
    <m/>
    <m/>
    <m/>
    <m/>
    <m/>
    <m/>
    <m/>
    <m/>
    <m/>
    <m/>
    <m/>
    <m/>
    <m/>
    <m/>
    <m/>
    <m/>
  </r>
  <r>
    <s v="17722365"/>
    <s v="SPORT CLUB STŘÍLKY z.s."/>
    <s v="706"/>
    <x v="1"/>
    <x v="3"/>
    <s v="Střílky"/>
    <s v="Střílky, Koryčanská 56, PSČ 76804"/>
    <s v="93190"/>
    <s v="Ostatní sportovní činnosti"/>
    <m/>
    <m/>
    <m/>
    <m/>
    <m/>
    <m/>
    <m/>
    <m/>
    <m/>
    <m/>
    <m/>
    <m/>
    <m/>
    <m/>
    <m/>
    <m/>
    <m/>
  </r>
  <r>
    <s v="26586835"/>
    <s v="Sport Klub Holešov"/>
    <s v="706"/>
    <x v="1"/>
    <x v="3"/>
    <s v="Rymice"/>
    <s v="Rymice 134, PSČ 76901"/>
    <s v="93110"/>
    <s v="Provozování sportovních zařízení"/>
    <m/>
    <m/>
    <m/>
    <m/>
    <m/>
    <m/>
    <m/>
    <m/>
    <m/>
    <m/>
    <m/>
    <m/>
    <m/>
    <m/>
    <m/>
    <m/>
    <m/>
  </r>
  <r>
    <s v="22665552"/>
    <s v="SPORT KLUB KARPATY o.s."/>
    <s v="706"/>
    <x v="1"/>
    <x v="2"/>
    <s v="Vápenice"/>
    <s v="Vápenice 56, PSČ 68774"/>
    <s v="93120"/>
    <s v="Činnosti sportovních klubů"/>
    <m/>
    <m/>
    <m/>
    <m/>
    <m/>
    <m/>
    <m/>
    <m/>
    <m/>
    <m/>
    <m/>
    <m/>
    <m/>
    <m/>
    <m/>
    <m/>
    <m/>
  </r>
  <r>
    <s v="05584795"/>
    <s v="Sport klub U Lukášů, z.s."/>
    <s v="706"/>
    <x v="1"/>
    <x v="1"/>
    <s v="Bystřička"/>
    <s v="Bystřička 82, PSČ 75624"/>
    <s v="93190"/>
    <s v="Ostatní sportovní činnosti"/>
    <m/>
    <m/>
    <m/>
    <m/>
    <m/>
    <m/>
    <m/>
    <m/>
    <m/>
    <m/>
    <m/>
    <m/>
    <m/>
    <m/>
    <m/>
    <m/>
    <m/>
  </r>
  <r>
    <s v="18055061"/>
    <s v="SPORT KLUB VOLEJBAL Hošťálková, z.s."/>
    <s v="706"/>
    <x v="1"/>
    <x v="1"/>
    <s v="Hošťálková"/>
    <s v="Hošťálková 496, PSČ 75622"/>
    <s v="93120"/>
    <s v="Činnosti sportovních klubů"/>
    <m/>
    <m/>
    <m/>
    <m/>
    <m/>
    <m/>
    <m/>
    <m/>
    <m/>
    <m/>
    <m/>
    <m/>
    <m/>
    <m/>
    <m/>
    <m/>
    <m/>
  </r>
  <r>
    <s v="26590891"/>
    <s v="SPORT KLUB ZLÍN - MLADCOVÁ"/>
    <s v="706"/>
    <x v="1"/>
    <x v="0"/>
    <s v="Zlín"/>
    <s v="Zlín, Mladcová, Vinohrádek 493, PSČ 76001"/>
    <s v="9311"/>
    <s v="Provozování sportovních zařízení"/>
    <s v="Stravování v restauracích, u stánků a v mobilních zařízeních"/>
    <s v="Pronájem a správa vlastních nebo pronajatých nemovitostí"/>
    <s v="Činnosti reklamních agentur"/>
    <s v="Činnosti sportovních klubů"/>
    <m/>
    <m/>
    <m/>
    <m/>
    <m/>
    <m/>
    <m/>
    <m/>
    <m/>
    <m/>
    <m/>
    <m/>
    <m/>
  </r>
  <r>
    <s v="22707964"/>
    <s v="SPORT Luhačovice, spolek"/>
    <s v="706"/>
    <x v="1"/>
    <x v="0"/>
    <s v="Luhačovice"/>
    <s v="Luhačovice, Rumunská 590, PSČ 76326"/>
    <s v="93190"/>
    <s v="Ostatní sportovní činnosti"/>
    <m/>
    <m/>
    <m/>
    <m/>
    <m/>
    <m/>
    <m/>
    <m/>
    <m/>
    <m/>
    <m/>
    <m/>
    <m/>
    <m/>
    <m/>
    <m/>
    <m/>
  </r>
  <r>
    <s v="22820507"/>
    <s v="Sport Poker Klub Zlín o.s."/>
    <s v="706"/>
    <x v="1"/>
    <x v="0"/>
    <s v="Zlín"/>
    <s v="Zlín, U Zimního stadionu 428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44638"/>
    <s v="Sport pomáhá, z.s."/>
    <s v="706"/>
    <x v="1"/>
    <x v="1"/>
    <s v="Liptál"/>
    <s v="Liptál 84, PSČ 75631"/>
    <s v="93190"/>
    <s v="Ostatní sportovní činnosti"/>
    <m/>
    <m/>
    <m/>
    <m/>
    <m/>
    <m/>
    <m/>
    <m/>
    <m/>
    <m/>
    <m/>
    <m/>
    <m/>
    <m/>
    <m/>
    <m/>
    <m/>
  </r>
  <r>
    <s v="09476989"/>
    <s v="Sport pro všechny Vsetín, z.s."/>
    <s v="706"/>
    <x v="1"/>
    <x v="1"/>
    <s v="Vsetín"/>
    <s v="Vsetín, Jabloňová 946, PSČ 75501"/>
    <s v="93190"/>
    <s v="Ostatní sportovní činnosti"/>
    <m/>
    <m/>
    <m/>
    <m/>
    <m/>
    <m/>
    <m/>
    <m/>
    <m/>
    <m/>
    <m/>
    <m/>
    <m/>
    <m/>
    <m/>
    <m/>
    <m/>
  </r>
  <r>
    <s v="07461941"/>
    <s v="Sport pro zdravý život, z.s."/>
    <s v="706"/>
    <x v="1"/>
    <x v="1"/>
    <s v="Vsetín"/>
    <s v="Vsetín, Rokytnice, Rokytnice 190, PSČ 75501"/>
    <s v="93110"/>
    <s v="Provozování sportovních zařízení"/>
    <m/>
    <m/>
    <m/>
    <m/>
    <m/>
    <m/>
    <m/>
    <m/>
    <m/>
    <m/>
    <m/>
    <m/>
    <m/>
    <m/>
    <m/>
    <m/>
    <m/>
  </r>
  <r>
    <s v="22725407"/>
    <s v="SPORT PRO ŽIVOT 2008"/>
    <s v="706"/>
    <x v="1"/>
    <x v="0"/>
    <s v="Zlín"/>
    <s v="Zlín, Nad Dolinou 4982, PSČ 76001"/>
    <s v="93110"/>
    <s v="Provozování sportovních zařízení"/>
    <s v="Ostatní sportovní činnosti"/>
    <m/>
    <m/>
    <m/>
    <m/>
    <m/>
    <m/>
    <m/>
    <m/>
    <m/>
    <m/>
    <m/>
    <m/>
    <m/>
    <m/>
    <m/>
    <m/>
  </r>
  <r>
    <s v="19322658"/>
    <s v="Sport to life z.s."/>
    <s v="706"/>
    <x v="1"/>
    <x v="2"/>
    <s v="Kněžpole"/>
    <s v="Kněžpole 366, PSČ 68712"/>
    <s v="93190"/>
    <s v="Ostatní sportovní činnosti"/>
    <m/>
    <m/>
    <m/>
    <m/>
    <m/>
    <m/>
    <m/>
    <m/>
    <m/>
    <m/>
    <m/>
    <m/>
    <m/>
    <m/>
    <m/>
    <m/>
    <m/>
  </r>
  <r>
    <s v="26680769"/>
    <s v="Sportcentrum Beneško, z.s."/>
    <s v="706"/>
    <x v="1"/>
    <x v="0"/>
    <s v="Zlín"/>
    <s v="Zlín, Benešovo nábřeží 1739, PSČ 76001"/>
    <s v="93110"/>
    <s v="Provozování sportovních zařízení"/>
    <m/>
    <m/>
    <m/>
    <m/>
    <m/>
    <m/>
    <m/>
    <m/>
    <m/>
    <m/>
    <m/>
    <m/>
    <m/>
    <m/>
    <m/>
    <m/>
    <m/>
  </r>
  <r>
    <s v="69653445"/>
    <s v="SPORTcentrum BYLNICE, z. s."/>
    <s v="706"/>
    <x v="1"/>
    <x v="0"/>
    <s v="Brumov-Bylnice"/>
    <s v="Brumov-Bylnice, Bylnice, Mýto 44, PSČ 76331"/>
    <s v="931"/>
    <s v="Sportovní činnosti"/>
    <m/>
    <m/>
    <m/>
    <m/>
    <m/>
    <m/>
    <m/>
    <m/>
    <m/>
    <m/>
    <m/>
    <m/>
    <m/>
    <m/>
    <m/>
    <m/>
    <m/>
  </r>
  <r>
    <s v="68689632"/>
    <s v="Sportcentrum ROZLET"/>
    <s v="706"/>
    <x v="1"/>
    <x v="3"/>
    <s v="Kroměříž"/>
    <s v="Kroměříž, Kolojedská 2590"/>
    <s v="94991"/>
    <s v="Činnosti organizací dětí a mládeže"/>
    <m/>
    <m/>
    <m/>
    <m/>
    <m/>
    <m/>
    <m/>
    <m/>
    <m/>
    <m/>
    <m/>
    <m/>
    <m/>
    <m/>
    <m/>
    <m/>
    <m/>
  </r>
  <r>
    <s v="05499623"/>
    <s v="sportchance.eu, z. s."/>
    <s v="706"/>
    <x v="1"/>
    <x v="2"/>
    <s v="Uherské Hradiště"/>
    <s v="Uherské Hradiště, Rostislavova 126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6161"/>
    <s v="SPORTCLUB UNION DRTIČ ZLÍN"/>
    <s v="736"/>
    <x v="0"/>
    <x v="0"/>
    <s v="Otrokovice"/>
    <s v="Otrokovice, Školní 10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54738"/>
    <s v="Sportem ke zdraví a duševní pohodě z. s."/>
    <s v="706"/>
    <x v="1"/>
    <x v="0"/>
    <s v="Zlín"/>
    <s v="Zlín, Velíková, Zvonička 216, PSČ 76314"/>
    <s v="9499"/>
    <s v="Činnosti ostatních organizací sdružujících osoby za účelem prosazování společných zájmů j. n."/>
    <s v="Ostatní vzdělávání"/>
    <s v="Ostatní sportovní činnosti"/>
    <m/>
    <m/>
    <m/>
    <m/>
    <m/>
    <m/>
    <m/>
    <m/>
    <m/>
    <m/>
    <m/>
    <m/>
    <m/>
    <m/>
    <m/>
  </r>
  <r>
    <s v="64467490"/>
    <s v="SPORTOVÁNÍ V MATEŘSKÝCH ŠKOLKÁCH, z.s."/>
    <s v="706"/>
    <x v="1"/>
    <x v="0"/>
    <s v="Zlín"/>
    <s v="Zlín, Hradská 854, PSČ 76001"/>
    <s v="94994"/>
    <s v="Činnosti spotřebitelských organizací"/>
    <m/>
    <m/>
    <m/>
    <m/>
    <m/>
    <m/>
    <m/>
    <m/>
    <m/>
    <m/>
    <m/>
    <m/>
    <m/>
    <m/>
    <m/>
    <m/>
    <m/>
  </r>
  <r>
    <s v="26545683"/>
    <s v="Sportovně kulturní klub TATANKA, z.s."/>
    <s v="706"/>
    <x v="1"/>
    <x v="0"/>
    <s v="Zlín"/>
    <s v="Zlín, Příluky, Pekárenská 35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3253"/>
    <s v="Sportovně střelecký klub Jeffa Coopera č. 2 při České zbrojovce a.s. Uherský Brod"/>
    <s v="706"/>
    <x v="1"/>
    <x v="2"/>
    <s v="Uherský Brod"/>
    <s v="Uherský Brod, Svat. Čecha 1283, PSČ 68801"/>
    <s v="93190"/>
    <s v="Ostatní sportovní činnosti"/>
    <m/>
    <m/>
    <m/>
    <m/>
    <m/>
    <m/>
    <m/>
    <m/>
    <m/>
    <m/>
    <m/>
    <m/>
    <m/>
    <m/>
    <m/>
    <m/>
    <m/>
  </r>
  <r>
    <s v="05793645"/>
    <s v="Sportovně střelecký klub Střítež nad Bečvou z.s."/>
    <s v="706"/>
    <x v="1"/>
    <x v="1"/>
    <s v="Střítež nad Bečvou"/>
    <s v="Střítež nad Bečvou 193, PSČ 75652"/>
    <s v="93120"/>
    <s v="Činnosti sportovních klubů"/>
    <m/>
    <m/>
    <m/>
    <m/>
    <m/>
    <m/>
    <m/>
    <m/>
    <m/>
    <m/>
    <m/>
    <m/>
    <m/>
    <m/>
    <m/>
    <m/>
    <m/>
  </r>
  <r>
    <s v="22041613"/>
    <s v="Sportovně-rekreační spolek Kudlovice, z.s."/>
    <s v="706"/>
    <x v="1"/>
    <x v="2"/>
    <s v="Kudlovice"/>
    <s v="Kudlovice 39, PSČ 68703"/>
    <s v="93190"/>
    <s v="Ostatní sportovní činnosti"/>
    <m/>
    <m/>
    <m/>
    <m/>
    <m/>
    <m/>
    <m/>
    <m/>
    <m/>
    <m/>
    <m/>
    <m/>
    <m/>
    <m/>
    <m/>
    <m/>
    <m/>
  </r>
  <r>
    <s v="26680661"/>
    <s v="Sportovní a turistický klub Sulimov"/>
    <s v="706"/>
    <x v="1"/>
    <x v="3"/>
    <s v="Sulimov"/>
    <s v="Sulimov 51, PSČ 76821"/>
    <s v="93120"/>
    <s v="Činnosti sportovních klubů"/>
    <m/>
    <m/>
    <m/>
    <m/>
    <m/>
    <m/>
    <m/>
    <m/>
    <m/>
    <m/>
    <m/>
    <m/>
    <m/>
    <m/>
    <m/>
    <m/>
    <m/>
  </r>
  <r>
    <s v="27018903"/>
    <s v="Sportovní a turistický klub Valašského království"/>
    <s v="706"/>
    <x v="1"/>
    <x v="0"/>
    <s v="Neubuz"/>
    <s v="Neubuz 149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2936"/>
    <s v="Sportovní agentura MULTI, z.s."/>
    <s v="706"/>
    <x v="1"/>
    <x v="0"/>
    <s v="Fryšták"/>
    <s v="Fryšták, Komenského 206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2426"/>
    <s v="Sportovní asociace Ostrožská Nová Ves"/>
    <s v="706"/>
    <x v="1"/>
    <x v="2"/>
    <s v="Ostrožská Nová Ves"/>
    <s v="Ostrožská Nová Ves, Nádražní č. ev. 5, PSČ 68722"/>
    <s v="93110"/>
    <s v="Provozování sportovních zařízení"/>
    <m/>
    <m/>
    <m/>
    <m/>
    <m/>
    <m/>
    <m/>
    <m/>
    <m/>
    <m/>
    <m/>
    <m/>
    <m/>
    <m/>
    <m/>
    <m/>
    <m/>
  </r>
  <r>
    <s v="10886311"/>
    <s v="Sportovní dětské kempy z. s."/>
    <s v="706"/>
    <x v="1"/>
    <x v="0"/>
    <s v="Zlín"/>
    <s v="Zlín, Příluky, Pod Mlýnem 31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236221"/>
    <s v="Sportovní DH Vsetín z.s."/>
    <s v="706"/>
    <x v="1"/>
    <x v="1"/>
    <s v="Oznice"/>
    <s v="Oznice 3, PSČ 75624"/>
    <s v="93190"/>
    <s v="Ostatní sportovní činnosti"/>
    <m/>
    <m/>
    <m/>
    <m/>
    <m/>
    <m/>
    <m/>
    <m/>
    <m/>
    <m/>
    <m/>
    <m/>
    <m/>
    <m/>
    <m/>
    <m/>
    <m/>
  </r>
  <r>
    <s v="60042524"/>
    <s v="Sportovní klub - Křídla Valachů SK Vsetín"/>
    <s v="706"/>
    <x v="1"/>
    <x v="1"/>
    <s v="Vsetín"/>
    <s v="Vsetín - Svárov 936"/>
    <s v="931"/>
    <s v="Sportovní činnosti"/>
    <m/>
    <m/>
    <m/>
    <m/>
    <m/>
    <m/>
    <m/>
    <m/>
    <m/>
    <m/>
    <m/>
    <m/>
    <m/>
    <m/>
    <m/>
    <m/>
    <m/>
  </r>
  <r>
    <s v="66934605"/>
    <s v="Sportovní klub Balloons Propag Vsetín"/>
    <s v="706"/>
    <x v="1"/>
    <x v="1"/>
    <s v="Vsetín"/>
    <s v="Vsetín"/>
    <s v="93120"/>
    <s v="Činnosti sportovních klubů"/>
    <m/>
    <m/>
    <m/>
    <m/>
    <m/>
    <m/>
    <m/>
    <m/>
    <m/>
    <m/>
    <m/>
    <m/>
    <m/>
    <m/>
    <m/>
    <m/>
    <m/>
  </r>
  <r>
    <s v="15530841"/>
    <s v="SPORTOVNÍ KLUB BASKETBALU ZLÍN, z.s."/>
    <s v="706"/>
    <x v="1"/>
    <x v="0"/>
    <s v="Zlín"/>
    <s v="Zlín, Hradská 854, PSČ 76001"/>
    <s v="93110"/>
    <s v="Provozování sportovních zařízení"/>
    <m/>
    <m/>
    <m/>
    <m/>
    <m/>
    <m/>
    <m/>
    <m/>
    <m/>
    <m/>
    <m/>
    <m/>
    <m/>
    <m/>
    <m/>
    <m/>
    <m/>
  </r>
  <r>
    <s v="26610361"/>
    <s v="Sportovní klub Berani Naděje Zlín, z. s."/>
    <s v="706"/>
    <x v="1"/>
    <x v="0"/>
    <s v="Zlín"/>
    <s v="Zlín, Bratří Sousedíků 349, PSČ 76001"/>
    <s v="93110"/>
    <s v="Provozování sportovních zařízení"/>
    <m/>
    <m/>
    <m/>
    <m/>
    <m/>
    <m/>
    <m/>
    <m/>
    <m/>
    <m/>
    <m/>
    <m/>
    <m/>
    <m/>
    <m/>
    <m/>
    <m/>
  </r>
  <r>
    <s v="26647681"/>
    <s v="Sportovní klub BNT"/>
    <s v="706"/>
    <x v="1"/>
    <x v="2"/>
    <s v="Uherské Hradiště"/>
    <s v="Uherské Hradiště, Mařatice, Vinohradská 398, PSČ 68605"/>
    <s v="93110"/>
    <s v="Provozování sportovních zařízení"/>
    <m/>
    <m/>
    <m/>
    <m/>
    <m/>
    <m/>
    <m/>
    <m/>
    <m/>
    <m/>
    <m/>
    <m/>
    <m/>
    <m/>
    <m/>
    <m/>
    <m/>
  </r>
  <r>
    <s v="18757561"/>
    <s v="Sportovní klub Brumov-Bylnice, z.s."/>
    <s v="706"/>
    <x v="1"/>
    <x v="0"/>
    <s v="Brumov-Bylnice"/>
    <s v="Brumov-Bylnice, Brumov, Družba 1188, PSČ 76331"/>
    <s v="93120"/>
    <s v="Činnosti sportovních klubů"/>
    <m/>
    <m/>
    <m/>
    <m/>
    <m/>
    <m/>
    <m/>
    <m/>
    <m/>
    <m/>
    <m/>
    <m/>
    <m/>
    <m/>
    <m/>
    <m/>
    <m/>
  </r>
  <r>
    <s v="18189814"/>
    <s v="SPORTOVNÍ KLUB BŘEST, z.s."/>
    <s v="706"/>
    <x v="1"/>
    <x v="3"/>
    <s v="Břest"/>
    <s v="Břest 87, PSČ 76823"/>
    <s v="93110"/>
    <s v="Provozování sportovních zařízení"/>
    <m/>
    <m/>
    <m/>
    <m/>
    <m/>
    <m/>
    <m/>
    <m/>
    <m/>
    <m/>
    <m/>
    <m/>
    <m/>
    <m/>
    <m/>
    <m/>
    <m/>
  </r>
  <r>
    <s v="26624338"/>
    <s v="Sportovní klub Březnice, z.s."/>
    <s v="706"/>
    <x v="1"/>
    <x v="0"/>
    <s v="Březnice"/>
    <s v="Březnice 566, PSČ 76001"/>
    <s v="93110"/>
    <s v="Provozování sportovních zařízení"/>
    <m/>
    <m/>
    <m/>
    <m/>
    <m/>
    <m/>
    <m/>
    <m/>
    <m/>
    <m/>
    <m/>
    <m/>
    <m/>
    <m/>
    <m/>
    <m/>
    <m/>
  </r>
  <r>
    <s v="26528487"/>
    <s v="Sportovní klub BULDOK"/>
    <s v="706"/>
    <x v="1"/>
    <x v="0"/>
    <s v="Vlachovice"/>
    <s v="Vlachovice 9, PSČ 763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76432"/>
    <s v="Sportovní klub Chan-Shaolin-Si Dju-Su Kung-Fu Zlín, z.s."/>
    <s v="706"/>
    <x v="1"/>
    <x v="0"/>
    <s v="Zlín"/>
    <s v="Zlín, Lazy VI 288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875336"/>
    <s v="Sportovní klub cyklistů Hluk, z.s."/>
    <s v="706"/>
    <x v="1"/>
    <x v="2"/>
    <s v="Hluk"/>
    <s v="Hluk, Vyšehradská 1388, PSČ 68725"/>
    <s v="93120"/>
    <s v="Činnosti sportovních klubů"/>
    <m/>
    <m/>
    <m/>
    <m/>
    <m/>
    <m/>
    <m/>
    <m/>
    <m/>
    <m/>
    <m/>
    <m/>
    <m/>
    <m/>
    <m/>
    <m/>
    <m/>
  </r>
  <r>
    <s v="47934450"/>
    <s v="Sportovní klub cyklistů Kroměříž"/>
    <s v="706"/>
    <x v="1"/>
    <x v="3"/>
    <s v="Kroměříž"/>
    <s v="Kroměříž"/>
    <s v="93110"/>
    <s v="Provozování sportovních zařízení"/>
    <m/>
    <m/>
    <m/>
    <m/>
    <m/>
    <m/>
    <m/>
    <m/>
    <m/>
    <m/>
    <m/>
    <m/>
    <m/>
    <m/>
    <m/>
    <m/>
    <m/>
  </r>
  <r>
    <s v="26541491"/>
    <s v="Sportovní klub DC BILLIARD CLUB &quot;4&quot;"/>
    <s v="706"/>
    <x v="1"/>
    <x v="2"/>
    <s v="Uherský Brod"/>
    <s v="Uherský Brod, Weberova 2, PSČ 68801"/>
    <s v="93110"/>
    <s v="Provozování sportovních zařízení"/>
    <m/>
    <m/>
    <m/>
    <m/>
    <m/>
    <m/>
    <m/>
    <m/>
    <m/>
    <m/>
    <m/>
    <m/>
    <m/>
    <m/>
    <m/>
    <m/>
    <m/>
  </r>
  <r>
    <s v="67028349"/>
    <s v="Sportovní klub DC KORÁDO Staré Město"/>
    <s v="706"/>
    <x v="1"/>
    <x v="2"/>
    <s v="Staré Město"/>
    <s v="Staré Město, Hradišťská 1911"/>
    <s v="931"/>
    <s v="Sportovní činnosti"/>
    <m/>
    <m/>
    <m/>
    <m/>
    <m/>
    <m/>
    <m/>
    <m/>
    <m/>
    <m/>
    <m/>
    <m/>
    <m/>
    <m/>
    <m/>
    <m/>
    <m/>
  </r>
  <r>
    <s v="02246333"/>
    <s v="Sportovní klub DC KRAKEN Dřínov"/>
    <s v="706"/>
    <x v="1"/>
    <x v="3"/>
    <s v="Dřínov"/>
    <s v="Dřínov"/>
    <s v="94999"/>
    <s v="Činnosti ostatních organizací j. n."/>
    <m/>
    <m/>
    <m/>
    <m/>
    <m/>
    <m/>
    <m/>
    <m/>
    <m/>
    <m/>
    <m/>
    <m/>
    <m/>
    <m/>
    <m/>
    <m/>
    <m/>
  </r>
  <r>
    <s v="26638576"/>
    <s v="Sportovní klub Demons, z.s."/>
    <s v="706"/>
    <x v="1"/>
    <x v="0"/>
    <s v="Brumov-Bylnice"/>
    <s v="Brumov-Bylnice, Brumov, Družba 1188, PSČ 76331"/>
    <s v="93110"/>
    <s v="Provozování sportovních zařízení"/>
    <m/>
    <m/>
    <m/>
    <m/>
    <m/>
    <m/>
    <m/>
    <m/>
    <m/>
    <m/>
    <m/>
    <m/>
    <m/>
    <m/>
    <m/>
    <m/>
    <m/>
  </r>
  <r>
    <s v="27006310"/>
    <s v="Sportovní klub Demons-VK"/>
    <s v="706"/>
    <x v="1"/>
    <x v="0"/>
    <s v="Valašské Klobouky"/>
    <s v="Valašské Klobouky, Jamy 968, PSČ 76601"/>
    <s v="93110"/>
    <s v="Provozování sportovních zařízení"/>
    <m/>
    <m/>
    <m/>
    <m/>
    <m/>
    <m/>
    <m/>
    <m/>
    <m/>
    <m/>
    <m/>
    <m/>
    <m/>
    <m/>
    <m/>
    <m/>
    <m/>
  </r>
  <r>
    <s v="44117531"/>
    <s v="Sportovní klub DERBY"/>
    <s v="706"/>
    <x v="1"/>
    <x v="0"/>
    <s v="Zlín"/>
    <s v="Zlín, Zarámí 4077, PSČ 76001"/>
    <s v="93110"/>
    <s v="Provozování sportovních zařízení"/>
    <m/>
    <m/>
    <m/>
    <m/>
    <m/>
    <m/>
    <m/>
    <m/>
    <m/>
    <m/>
    <m/>
    <m/>
    <m/>
    <m/>
    <m/>
    <m/>
    <m/>
  </r>
  <r>
    <s v="06396119"/>
    <s v="Sportovní klub DTB serie, z.s."/>
    <s v="706"/>
    <x v="1"/>
    <x v="1"/>
    <s v="Kunovice"/>
    <s v="Kunovice 213, PSČ 75644"/>
    <s v="93190"/>
    <s v="Ostatní sportovní činnosti"/>
    <m/>
    <m/>
    <m/>
    <m/>
    <m/>
    <m/>
    <m/>
    <m/>
    <m/>
    <m/>
    <m/>
    <m/>
    <m/>
    <m/>
    <m/>
    <m/>
    <m/>
  </r>
  <r>
    <s v="26647036"/>
    <s v="Sportovní klub EDIE team Vsetín, z.s."/>
    <s v="706"/>
    <x v="1"/>
    <x v="1"/>
    <s v="Vsetín"/>
    <s v="Vsetín, Mostecká 130, PSČ 75501"/>
    <s v="93110"/>
    <s v="Provozování sportovních zařízení"/>
    <m/>
    <m/>
    <m/>
    <m/>
    <m/>
    <m/>
    <m/>
    <m/>
    <m/>
    <m/>
    <m/>
    <m/>
    <m/>
    <m/>
    <m/>
    <m/>
    <m/>
  </r>
  <r>
    <s v="65337964"/>
    <s v="Sportovní klub EKOBIKE Zlín"/>
    <s v="706"/>
    <x v="1"/>
    <x v="0"/>
    <s v="Zlín"/>
    <s v="Zlín, Nad Vývozem 4857, PSČ 76005"/>
    <s v="93110"/>
    <s v="Provozování sportovních zařízení"/>
    <m/>
    <m/>
    <m/>
    <m/>
    <m/>
    <m/>
    <m/>
    <m/>
    <m/>
    <m/>
    <m/>
    <m/>
    <m/>
    <m/>
    <m/>
    <m/>
    <m/>
  </r>
  <r>
    <s v="22754121"/>
    <s v="Sportovní klub EMKaD Holešov, z.s."/>
    <s v="706"/>
    <x v="1"/>
    <x v="3"/>
    <s v="Holešov"/>
    <s v="Holešov, Masarykova 635, PSČ 76901"/>
    <s v="93120"/>
    <s v="Činnosti sportovních klubů"/>
    <m/>
    <m/>
    <m/>
    <m/>
    <m/>
    <m/>
    <m/>
    <m/>
    <m/>
    <m/>
    <m/>
    <m/>
    <m/>
    <m/>
    <m/>
    <m/>
    <m/>
  </r>
  <r>
    <s v="01650904"/>
    <s v="Sportovní klub FORTES Zlín"/>
    <s v="706"/>
    <x v="1"/>
    <x v="0"/>
    <s v="Zlín"/>
    <s v="Zlín, Příluky, Boněcko I 26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7960"/>
    <s v="&quot;SPORTOVNÍ KLUB GARI&quot;"/>
    <s v="706"/>
    <x v="1"/>
    <x v="0"/>
    <s v="Zlín"/>
    <s v="Zlín, třída Tomáše Bati 56, PSČ 76001"/>
    <s v="93120"/>
    <s v="Činnosti sportovních klubů"/>
    <m/>
    <m/>
    <m/>
    <m/>
    <m/>
    <m/>
    <m/>
    <m/>
    <m/>
    <m/>
    <m/>
    <m/>
    <m/>
    <m/>
    <m/>
    <m/>
    <m/>
  </r>
  <r>
    <s v="19113960"/>
    <s v="Sportovní klub Gymnastika specializace Prostná z.s."/>
    <s v="706"/>
    <x v="1"/>
    <x v="1"/>
    <s v="Rožnov pod Radhoštěm"/>
    <s v="Rožnov pod Radhoštěm, 1. máje 1161, PSČ 75661"/>
    <s v="9312"/>
    <s v="Činnosti sportovních klubů"/>
    <m/>
    <m/>
    <m/>
    <m/>
    <m/>
    <m/>
    <m/>
    <m/>
    <m/>
    <m/>
    <m/>
    <m/>
    <m/>
    <m/>
    <m/>
    <m/>
    <m/>
  </r>
  <r>
    <s v="26624036"/>
    <s v="Sportovní klub hasiči Zlín, z.s."/>
    <s v="706"/>
    <x v="1"/>
    <x v="0"/>
    <s v="Zlín"/>
    <s v="Zlín, Příluky, Přílucká 213, PSČ 76001"/>
    <s v="93110"/>
    <s v="Provozování sportovních zařízení"/>
    <m/>
    <m/>
    <m/>
    <m/>
    <m/>
    <m/>
    <m/>
    <m/>
    <m/>
    <m/>
    <m/>
    <m/>
    <m/>
    <m/>
    <m/>
    <m/>
    <m/>
  </r>
  <r>
    <s v="46276211"/>
    <s v="Sportovní klub Jaroslavice z.s."/>
    <s v="706"/>
    <x v="1"/>
    <x v="0"/>
    <s v="Zlín"/>
    <s v="Zlín, Jaroslavice, Na Vrše 295, PSČ 76001"/>
    <s v="93110"/>
    <s v="Provozování sportovních zařízení"/>
    <m/>
    <m/>
    <m/>
    <m/>
    <m/>
    <m/>
    <m/>
    <m/>
    <m/>
    <m/>
    <m/>
    <m/>
    <m/>
    <m/>
    <m/>
    <m/>
    <m/>
  </r>
  <r>
    <s v="27025756"/>
    <s v="Sportovní klub Jestřabí"/>
    <s v="706"/>
    <x v="1"/>
    <x v="0"/>
    <s v="Štítná nad Vláří-Popov"/>
    <s v="Štítná nad Vláří-Popov, Štítná nad Vláří 1, PSČ 76333"/>
    <s v="93110"/>
    <s v="Provozování sportovních zařízení"/>
    <m/>
    <m/>
    <m/>
    <m/>
    <m/>
    <m/>
    <m/>
    <m/>
    <m/>
    <m/>
    <m/>
    <m/>
    <m/>
    <m/>
    <m/>
    <m/>
    <m/>
  </r>
  <r>
    <s v="22685855"/>
    <s v="SPORTOVNÍ KLUB JS ZLÍN o.s."/>
    <s v="706"/>
    <x v="1"/>
    <x v="0"/>
    <s v="Zlín"/>
    <s v="Zlín, Plesníkova 5559, PSČ 76005"/>
    <s v="93110"/>
    <s v="Provozování sportovních zařízení"/>
    <m/>
    <m/>
    <m/>
    <m/>
    <m/>
    <m/>
    <m/>
    <m/>
    <m/>
    <m/>
    <m/>
    <m/>
    <m/>
    <m/>
    <m/>
    <m/>
    <m/>
  </r>
  <r>
    <s v="68689772"/>
    <s v="Sportovní klub KARATE-DO Goju Ryu, Team Bojkovice"/>
    <s v="706"/>
    <x v="1"/>
    <x v="2"/>
    <s v="Starý Hrozenkov"/>
    <s v="Starý Hrozenkov 257, PSČ 68774"/>
    <s v="93120"/>
    <s v="Činnosti sportovních klubů"/>
    <m/>
    <m/>
    <m/>
    <m/>
    <m/>
    <m/>
    <m/>
    <m/>
    <m/>
    <m/>
    <m/>
    <m/>
    <m/>
    <m/>
    <m/>
    <m/>
    <m/>
  </r>
  <r>
    <s v="66599865"/>
    <s v="Sportovní klub KAVÁRNA GRÉTA Boršice"/>
    <s v="706"/>
    <x v="1"/>
    <x v="2"/>
    <s v="Boršice"/>
    <s v="Boršice 498, PSČ 68709"/>
    <s v="93120"/>
    <s v="Činnosti sportovních klubů"/>
    <m/>
    <m/>
    <m/>
    <m/>
    <m/>
    <m/>
    <m/>
    <m/>
    <m/>
    <m/>
    <m/>
    <m/>
    <m/>
    <m/>
    <m/>
    <m/>
    <m/>
  </r>
  <r>
    <s v="68898274"/>
    <s v="Sportovní klub Kobra Vsetín, z.s."/>
    <s v="706"/>
    <x v="1"/>
    <x v="1"/>
    <s v="Vsetín"/>
    <s v="Vsetín, Dolní Jasenka 776, PSČ 75501"/>
    <s v="93120"/>
    <s v="Činnosti sportovních klubů"/>
    <m/>
    <m/>
    <m/>
    <m/>
    <m/>
    <m/>
    <m/>
    <m/>
    <m/>
    <m/>
    <m/>
    <m/>
    <m/>
    <m/>
    <m/>
    <m/>
    <m/>
  </r>
  <r>
    <s v="70641803"/>
    <s v="Sportovní klub Krásno Valašské Meziříčí"/>
    <s v="706"/>
    <x v="1"/>
    <x v="1"/>
    <s v="Valašské Meziříčí"/>
    <s v="Valašské Meziříčí, Krásno nad Bečvou, Na Šištotě 721, PSČ 75701"/>
    <s v="93120"/>
    <s v="Činnosti sportovních klubů"/>
    <m/>
    <m/>
    <m/>
    <m/>
    <m/>
    <m/>
    <m/>
    <m/>
    <m/>
    <m/>
    <m/>
    <m/>
    <m/>
    <m/>
    <m/>
    <m/>
    <m/>
  </r>
  <r>
    <s v="01460170"/>
    <s v="Sportovní klub Kudlovice"/>
    <s v="706"/>
    <x v="1"/>
    <x v="2"/>
    <s v="Kudlovice"/>
    <s v="Kudlovice 319, PSČ 68703"/>
    <s v="9312"/>
    <s v="Činnosti sportovních klubů"/>
    <m/>
    <m/>
    <m/>
    <m/>
    <m/>
    <m/>
    <m/>
    <m/>
    <m/>
    <m/>
    <m/>
    <m/>
    <m/>
    <m/>
    <m/>
    <m/>
    <m/>
  </r>
  <r>
    <s v="68689861"/>
    <s v="Sportovní klub kulturistiky Hulín"/>
    <s v="706"/>
    <x v="1"/>
    <x v="3"/>
    <s v="Hulín"/>
    <s v="Hulín, Záhlinická 1267 /Petr Poszytek/"/>
    <s v="93120"/>
    <s v="Činnosti sportovních klubů"/>
    <m/>
    <m/>
    <m/>
    <m/>
    <m/>
    <m/>
    <m/>
    <m/>
    <m/>
    <m/>
    <m/>
    <m/>
    <m/>
    <m/>
    <m/>
    <m/>
    <m/>
  </r>
  <r>
    <s v="17275792"/>
    <s v="Sportovní klub LOVE Dědině, z.s."/>
    <s v="706"/>
    <x v="1"/>
    <x v="2"/>
    <s v="Ostrožská Nová Ves"/>
    <s v="Ostrožská Nová Ves, Dědina 2, PSČ 68722"/>
    <s v="93190"/>
    <s v="Ostatní sportovní činnosti"/>
    <s v="Výroba, obchod a služby neuvedené v přílohách 1 až 3 živnostenského zákona"/>
    <s v="Sociální služby poskytované dětem"/>
    <m/>
    <m/>
    <m/>
    <m/>
    <m/>
    <m/>
    <m/>
    <m/>
    <m/>
    <m/>
    <m/>
    <m/>
    <m/>
    <m/>
    <m/>
  </r>
  <r>
    <s v="46311289"/>
    <s v="Sportovní klub Lukov z.s."/>
    <s v="706"/>
    <x v="1"/>
    <x v="0"/>
    <s v="Lukov"/>
    <s v="Lukov, Padělky č. ev. 501, PSČ 7631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9492"/>
    <s v="SPORTOVNÍ KLUB Malenovice"/>
    <s v="706"/>
    <x v="1"/>
    <x v="0"/>
    <s v="Zlín"/>
    <s v="Zlín, Malenovice, Havlíčkova 422, PSČ 76302"/>
    <s v="93110"/>
    <s v="Provozování sportovních zařízení"/>
    <m/>
    <m/>
    <m/>
    <m/>
    <m/>
    <m/>
    <m/>
    <m/>
    <m/>
    <m/>
    <m/>
    <m/>
    <m/>
    <m/>
    <m/>
    <m/>
    <m/>
  </r>
  <r>
    <s v="05890357"/>
    <s v="Sportovní klub mládeže JUNIOR Chropyně, z.s."/>
    <s v="706"/>
    <x v="1"/>
    <x v="3"/>
    <s v="Chropyně"/>
    <s v="Chropyně, J. Fučíka 675, PSČ 76811"/>
    <s v="93190"/>
    <s v="Ostatní sportovní činnosti"/>
    <m/>
    <m/>
    <m/>
    <m/>
    <m/>
    <m/>
    <m/>
    <m/>
    <m/>
    <m/>
    <m/>
    <m/>
    <m/>
    <m/>
    <m/>
    <m/>
    <m/>
  </r>
  <r>
    <s v="26639823"/>
    <s v="Sportovní klub mládeže Valašské Meziříčí, z.s."/>
    <s v="706"/>
    <x v="1"/>
    <x v="1"/>
    <s v="Valašské Meziříčí"/>
    <s v="Valašské Meziříčí, Krásno nad Bečvou, Svěrákova 531/32, PSČ 75701"/>
    <s v="93110"/>
    <s v="Provozování sportovních zařízení"/>
    <m/>
    <m/>
    <m/>
    <m/>
    <m/>
    <m/>
    <m/>
    <m/>
    <m/>
    <m/>
    <m/>
    <m/>
    <m/>
    <m/>
    <m/>
    <m/>
    <m/>
  </r>
  <r>
    <s v="27052591"/>
    <s v="Sportovní klub Natursport o.s."/>
    <s v="706"/>
    <x v="1"/>
    <x v="0"/>
    <s v="Otrokovice"/>
    <s v="Otrokovice, Moravní 1636, PSČ 76502"/>
    <s v="93110"/>
    <s v="Provozování sportovních zařízení"/>
    <m/>
    <m/>
    <m/>
    <m/>
    <m/>
    <m/>
    <m/>
    <m/>
    <m/>
    <m/>
    <m/>
    <m/>
    <m/>
    <m/>
    <m/>
    <m/>
    <m/>
  </r>
  <r>
    <s v="47863943"/>
    <s v="Sportovní klub neslyšících Valašské Meziříčí,z.s."/>
    <s v="706"/>
    <x v="1"/>
    <x v="1"/>
    <s v="Valašské Meziříčí"/>
    <s v="Valašské Meziříčí, Vsetínská 553, PSČ 75701"/>
    <s v="93120"/>
    <s v="Činnosti sportovních klubů"/>
    <m/>
    <m/>
    <m/>
    <m/>
    <m/>
    <m/>
    <m/>
    <m/>
    <m/>
    <m/>
    <m/>
    <m/>
    <m/>
    <m/>
    <m/>
    <m/>
    <m/>
  </r>
  <r>
    <s v="26572052"/>
    <s v="Sportovní klub NS7, z.s."/>
    <s v="706"/>
    <x v="1"/>
    <x v="1"/>
    <s v="Nový Hrozenkov"/>
    <s v="Nový Hrozenkov 389, PSČ 75604"/>
    <s v="93120"/>
    <s v="Činnosti sportovních klubů"/>
    <m/>
    <m/>
    <m/>
    <m/>
    <m/>
    <m/>
    <m/>
    <m/>
    <m/>
    <m/>
    <m/>
    <m/>
    <m/>
    <m/>
    <m/>
    <m/>
    <m/>
  </r>
  <r>
    <s v="46308393"/>
    <s v="Sportovní klub Olympia Zlín, z.s."/>
    <s v="706"/>
    <x v="1"/>
    <x v="0"/>
    <s v="Zlín"/>
    <s v="Zlín, Burešov 488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7566"/>
    <s v="Sportovní klub orientačního běhu Zlín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22850201"/>
    <s v="Sportovní klub Pacetluky, z.s."/>
    <s v="706"/>
    <x v="1"/>
    <x v="3"/>
    <s v="Pacetluky"/>
    <s v="Pacetluky 10, PSČ 76843"/>
    <s v="93120"/>
    <s v="Činnosti sportovních klubů"/>
    <m/>
    <m/>
    <m/>
    <m/>
    <m/>
    <m/>
    <m/>
    <m/>
    <m/>
    <m/>
    <m/>
    <m/>
    <m/>
    <m/>
    <m/>
    <m/>
    <m/>
  </r>
  <r>
    <s v="26538164"/>
    <s v="Sportovní klub Paseky Zlín o.s."/>
    <s v="706"/>
    <x v="1"/>
    <x v="0"/>
    <s v="Zlín"/>
    <s v="Zlín, Pasecká ul.čp. 5551, sportovní stadion"/>
    <s v="93110"/>
    <s v="Provozování sportovních zařízení"/>
    <m/>
    <m/>
    <m/>
    <m/>
    <m/>
    <m/>
    <m/>
    <m/>
    <m/>
    <m/>
    <m/>
    <m/>
    <m/>
    <m/>
    <m/>
    <m/>
    <m/>
  </r>
  <r>
    <s v="26578913"/>
    <s v="Sportovní klub Phar Lap, o.s."/>
    <s v="706"/>
    <x v="1"/>
    <x v="3"/>
    <s v="Bezměrov"/>
    <s v="Bezměrov 29, PSČ 76701"/>
    <s v="93120"/>
    <s v="Činnosti sportovních klubů"/>
    <m/>
    <m/>
    <m/>
    <m/>
    <m/>
    <m/>
    <m/>
    <m/>
    <m/>
    <m/>
    <m/>
    <m/>
    <m/>
    <m/>
    <m/>
    <m/>
    <m/>
  </r>
  <r>
    <s v="03119556"/>
    <s v="Sportovní klub P+K Zlín, z.s."/>
    <s v="706"/>
    <x v="1"/>
    <x v="0"/>
    <s v="Zlín"/>
    <s v="Zlín, Kostelec, Za Humny 393, PSČ 76314"/>
    <s v="93190"/>
    <s v="Ostatní sportovní činnosti"/>
    <m/>
    <m/>
    <m/>
    <m/>
    <m/>
    <m/>
    <m/>
    <m/>
    <m/>
    <m/>
    <m/>
    <m/>
    <m/>
    <m/>
    <m/>
    <m/>
    <m/>
  </r>
  <r>
    <s v="26989841"/>
    <s v="Sportovní klub PLANET BIKES, z. s."/>
    <s v="706"/>
    <x v="1"/>
    <x v="1"/>
    <s v="Vsetín"/>
    <s v="Vsetín, U Skláren 1306, PSČ 75501"/>
    <s v="93110"/>
    <s v="Provozování sportovních zařízení"/>
    <m/>
    <m/>
    <m/>
    <m/>
    <m/>
    <m/>
    <m/>
    <m/>
    <m/>
    <m/>
    <m/>
    <m/>
    <m/>
    <m/>
    <m/>
    <m/>
    <m/>
  </r>
  <r>
    <s v="22727892"/>
    <s v="Sportovní klub Podkopná Lhota, z.s."/>
    <s v="706"/>
    <x v="1"/>
    <x v="0"/>
    <s v="Podkopná Lhota"/>
    <s v="Podkopná Lhota 16, PSČ 76318"/>
    <s v="93110"/>
    <s v="Provozování sportovních zařízení"/>
    <m/>
    <m/>
    <m/>
    <m/>
    <m/>
    <m/>
    <m/>
    <m/>
    <m/>
    <m/>
    <m/>
    <m/>
    <m/>
    <m/>
    <m/>
    <m/>
    <m/>
  </r>
  <r>
    <s v="26679477"/>
    <s v="Sportovní klub policie ČR-Referát cizinecké a pohraniční policie Brumov-Bylnice"/>
    <s v="706"/>
    <x v="1"/>
    <x v="0"/>
    <s v="Brumov-Bylnice"/>
    <s v="Brumov-Bylnice, Svatý Štěpán 146, PSČ 76334"/>
    <s v="93110"/>
    <s v="Provozování sportovních zařízení"/>
    <m/>
    <m/>
    <m/>
    <m/>
    <m/>
    <m/>
    <m/>
    <m/>
    <m/>
    <m/>
    <m/>
    <m/>
    <m/>
    <m/>
    <m/>
    <m/>
    <m/>
  </r>
  <r>
    <s v="47933852"/>
    <s v="Sportovní klub policie Holešov, z.s."/>
    <s v="706"/>
    <x v="1"/>
    <x v="3"/>
    <s v="Holešov"/>
    <s v="Holešov, Zlínská 991, PSČ 76901"/>
    <s v="93110"/>
    <s v="Provozování sportovních zařízení"/>
    <s v="Ostatní profesní, vědecké a technické činnosti j. n."/>
    <s v="Činnosti sportovních klubů"/>
    <s v="Destilace, rektifikace a míchání lihovin"/>
    <s v="Stravování v restauracích, u stánků a v mobilních zařízeních"/>
    <s v="Podpůrné činnosti pro scénická umění"/>
    <s v="Ostatní sportovní činnosti"/>
    <m/>
    <m/>
    <m/>
    <m/>
    <m/>
    <m/>
    <m/>
    <m/>
    <m/>
    <m/>
    <m/>
  </r>
  <r>
    <s v="60990104"/>
    <s v="Sportovní klub policie Vsetín, spolek"/>
    <s v="706"/>
    <x v="1"/>
    <x v="1"/>
    <s v="Vsetín"/>
    <s v="Vsetín, Hlásenka 1516, PSČ 75501"/>
    <s v="93120"/>
    <s v="Činnosti sportovních klubů"/>
    <m/>
    <m/>
    <m/>
    <m/>
    <m/>
    <m/>
    <m/>
    <m/>
    <m/>
    <m/>
    <m/>
    <m/>
    <m/>
    <m/>
    <m/>
    <m/>
    <m/>
  </r>
  <r>
    <s v="46307311"/>
    <s v="Sportovní klub Policie Zlín, z.s."/>
    <s v="706"/>
    <x v="1"/>
    <x v="0"/>
    <s v="Zlín"/>
    <s v="Zlín, nám. T. G. Masaryka 3218, PSČ 76001"/>
    <s v="93120"/>
    <s v="Činnosti sportovních klubů"/>
    <m/>
    <m/>
    <m/>
    <m/>
    <m/>
    <m/>
    <m/>
    <m/>
    <m/>
    <m/>
    <m/>
    <m/>
    <m/>
    <m/>
    <m/>
    <m/>
    <m/>
  </r>
  <r>
    <s v="18810748"/>
    <s v="Sportovní klub Pozlovice, z.s."/>
    <s v="706"/>
    <x v="1"/>
    <x v="0"/>
    <s v="Pozlovice"/>
    <s v="Pozlovice, Hlavní 361, PSČ 76326"/>
    <s v="931"/>
    <s v="Sportovní činnosti"/>
    <m/>
    <m/>
    <m/>
    <m/>
    <m/>
    <m/>
    <m/>
    <m/>
    <m/>
    <m/>
    <m/>
    <m/>
    <m/>
    <m/>
    <m/>
    <m/>
    <m/>
  </r>
  <r>
    <s v="18189334"/>
    <s v="Sportovní klub Rajnochovice z. s."/>
    <s v="706"/>
    <x v="1"/>
    <x v="3"/>
    <s v="Rajnochovice"/>
    <s v="Rajnochovice 278, PSČ 76871"/>
    <s v="93110"/>
    <s v="Provozování sportovních zařízení"/>
    <m/>
    <m/>
    <m/>
    <m/>
    <m/>
    <m/>
    <m/>
    <m/>
    <m/>
    <m/>
    <m/>
    <m/>
    <m/>
    <m/>
    <m/>
    <m/>
    <m/>
  </r>
  <r>
    <s v="01536401"/>
    <s v="Sportovní klub RANČ REBEL"/>
    <s v="706"/>
    <x v="1"/>
    <x v="0"/>
    <s v="Napajedla"/>
    <s v="Napajedla, Nábřeží 1333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51905"/>
    <s v="Sportovní klub Rokytnice, z. s."/>
    <s v="706"/>
    <x v="1"/>
    <x v="0"/>
    <s v="Rokytnice"/>
    <s v="Rokytnice 159, PSČ 76321"/>
    <s v="93120"/>
    <s v="Činnosti sportovních klubů"/>
    <m/>
    <m/>
    <m/>
    <m/>
    <m/>
    <m/>
    <m/>
    <m/>
    <m/>
    <m/>
    <m/>
    <m/>
    <m/>
    <m/>
    <m/>
    <m/>
    <m/>
  </r>
  <r>
    <s v="04924380"/>
    <s v="Sportovní klub Rožnov, z.s."/>
    <s v="706"/>
    <x v="1"/>
    <x v="1"/>
    <s v="Rožnov pod Radhoštěm"/>
    <s v="Rožnov pod Radhoštěm, Travinářská 1170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6998161"/>
    <s v="Sportovní klub Rusava, z.s."/>
    <s v="706"/>
    <x v="1"/>
    <x v="3"/>
    <s v="Rusava"/>
    <s v="Rusava 248, PSČ 76841"/>
    <s v="93110"/>
    <s v="Provozování sportovních zařízení"/>
    <m/>
    <m/>
    <m/>
    <m/>
    <m/>
    <m/>
    <m/>
    <m/>
    <m/>
    <m/>
    <m/>
    <m/>
    <m/>
    <m/>
    <m/>
    <m/>
    <m/>
  </r>
  <r>
    <s v="26579545"/>
    <s v="Sportovní klub RYCHLOV, z.s."/>
    <s v="706"/>
    <x v="1"/>
    <x v="3"/>
    <s v="Bystřice pod Hostýnem"/>
    <s v="Bystřice pod Hostýnem, Rychlov, Za Potokem 239, PSČ 76861"/>
    <s v="93120"/>
    <s v="Činnosti sportovních klubů"/>
    <m/>
    <m/>
    <m/>
    <m/>
    <m/>
    <m/>
    <m/>
    <m/>
    <m/>
    <m/>
    <m/>
    <m/>
    <m/>
    <m/>
    <m/>
    <m/>
    <m/>
  </r>
  <r>
    <s v="48739294"/>
    <s v="Sportovní klub sjezdového lyžování Hutisko-Solanec"/>
    <s v="706"/>
    <x v="1"/>
    <x v="1"/>
    <s v="Hutisko-Solanec"/>
    <s v="Hutisko-Solanec"/>
    <s v="93120"/>
    <s v="Činnosti sportovních klubů"/>
    <m/>
    <m/>
    <m/>
    <m/>
    <m/>
    <m/>
    <m/>
    <m/>
    <m/>
    <m/>
    <m/>
    <m/>
    <m/>
    <m/>
    <m/>
    <m/>
    <m/>
  </r>
  <r>
    <s v="44018894"/>
    <s v="Sportovní klub Slovácká Viktoria Bojkovice z.s."/>
    <s v="706"/>
    <x v="1"/>
    <x v="2"/>
    <s v="Bojkovice"/>
    <s v="Bojkovice, Tovární 615, PSČ 68771"/>
    <s v="93110"/>
    <s v="Provozování sportovních zařízení"/>
    <s v="Shromažďování, sběr a odstraňování odpadů, úprava odpadů k dalšímu využití"/>
    <s v="Maloobchod v nespecializovaných prodejnách"/>
    <s v="Výstavba bytových a nebytových budov"/>
    <s v="Sklenářské, malířské a natěračské práce"/>
    <m/>
    <m/>
    <m/>
    <m/>
    <m/>
    <m/>
    <m/>
    <m/>
    <m/>
    <m/>
    <m/>
    <m/>
    <m/>
  </r>
  <r>
    <s v="44119160"/>
    <s v="Sportovní klub Sokol - FK Kudlov, z.s."/>
    <s v="706"/>
    <x v="1"/>
    <x v="0"/>
    <s v="Zlín"/>
    <s v="Zlín, Kudlov, Na Vrchovici 1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88541"/>
    <s v="Sportovní klub Spartak Hulín, z. s."/>
    <s v="706"/>
    <x v="1"/>
    <x v="3"/>
    <s v="Hulín"/>
    <s v="Hulín, Javorová 439, PSČ 76824"/>
    <s v="931"/>
    <s v="Sportovní činnosti"/>
    <m/>
    <m/>
    <m/>
    <m/>
    <m/>
    <m/>
    <m/>
    <m/>
    <m/>
    <m/>
    <m/>
    <m/>
    <m/>
    <m/>
    <m/>
    <m/>
    <m/>
  </r>
  <r>
    <s v="48473286"/>
    <s v="Sportovní klub Spoje Zlín"/>
    <s v="706"/>
    <x v="1"/>
    <x v="0"/>
    <s v="Zlín"/>
    <s v="Zlín"/>
    <s v="93120"/>
    <s v="Činnosti sportovních klubů"/>
    <m/>
    <m/>
    <m/>
    <m/>
    <m/>
    <m/>
    <m/>
    <m/>
    <m/>
    <m/>
    <m/>
    <m/>
    <m/>
    <m/>
    <m/>
    <m/>
    <m/>
  </r>
  <r>
    <s v="27004821"/>
    <s v="Sportovní klub Squash Valmez"/>
    <s v="706"/>
    <x v="1"/>
    <x v="1"/>
    <s v="Lešná"/>
    <s v="Valašské Meziříčí, Lhotka nad Bečvou 75"/>
    <s v="93110"/>
    <s v="Provozování sportovních zařízení"/>
    <m/>
    <m/>
    <m/>
    <m/>
    <m/>
    <m/>
    <m/>
    <m/>
    <m/>
    <m/>
    <m/>
    <m/>
    <m/>
    <m/>
    <m/>
    <m/>
    <m/>
  </r>
  <r>
    <s v="03163946"/>
    <s v="Sportovní klub Strání, z.s."/>
    <s v="706"/>
    <x v="1"/>
    <x v="0"/>
    <s v="Zlín"/>
    <s v="Zlín, U Trojáku 4634, PSČ 76005"/>
    <s v="93190"/>
    <s v="Ostatní sportovní činnosti"/>
    <m/>
    <m/>
    <m/>
    <m/>
    <m/>
    <m/>
    <m/>
    <m/>
    <m/>
    <m/>
    <m/>
    <m/>
    <m/>
    <m/>
    <m/>
    <m/>
    <m/>
  </r>
  <r>
    <s v="22852492"/>
    <s v="Sportovní klub Střední průmyslové školy Zlín"/>
    <s v="706"/>
    <x v="1"/>
    <x v="0"/>
    <s v="Zlín"/>
    <s v="Zlín, tř. T. Bati 4187"/>
    <s v="93120"/>
    <s v="Činnosti sportovních klubů"/>
    <m/>
    <m/>
    <m/>
    <m/>
    <m/>
    <m/>
    <m/>
    <m/>
    <m/>
    <m/>
    <m/>
    <m/>
    <m/>
    <m/>
    <m/>
    <m/>
    <m/>
  </r>
  <r>
    <s v="61704342"/>
    <s v="Sportovní klub Stříbrnice, z.s."/>
    <s v="706"/>
    <x v="1"/>
    <x v="2"/>
    <s v="Stříbrnice"/>
    <s v="Stříbrnice 283, PSČ 68709"/>
    <s v="9312"/>
    <s v="Činnosti sportovních klubů"/>
    <s v="Stravování v restauracích, u stánků a v mobilních zařízeních"/>
    <s v="Podpůrné činnosti pro scénická umění"/>
    <s v="Destilace, rektifikace a míchání lihovin"/>
    <m/>
    <m/>
    <m/>
    <m/>
    <m/>
    <m/>
    <m/>
    <m/>
    <m/>
    <m/>
    <m/>
    <m/>
    <m/>
    <m/>
  </r>
  <r>
    <s v="22839950"/>
    <s v="Sportovní klub Stupava, občanské sdružení"/>
    <s v="706"/>
    <x v="1"/>
    <x v="2"/>
    <s v="Stupava"/>
    <s v="Stupava 111, PSČ 68601"/>
    <s v="93120"/>
    <s v="Činnosti sportovních klubů"/>
    <m/>
    <m/>
    <m/>
    <m/>
    <m/>
    <m/>
    <m/>
    <m/>
    <m/>
    <m/>
    <m/>
    <m/>
    <m/>
    <m/>
    <m/>
    <m/>
    <m/>
  </r>
  <r>
    <s v="46277536"/>
    <s v="Sportovní klub Šanov, z. s."/>
    <s v="706"/>
    <x v="1"/>
    <x v="0"/>
    <s v="Šanov"/>
    <s v="Šanov 209, PSČ 76321"/>
    <s v="93120"/>
    <s v="Činnosti sportovních klubů"/>
    <m/>
    <m/>
    <m/>
    <m/>
    <m/>
    <m/>
    <m/>
    <m/>
    <m/>
    <m/>
    <m/>
    <m/>
    <m/>
    <m/>
    <m/>
    <m/>
    <m/>
  </r>
  <r>
    <s v="01588664"/>
    <s v="Sportovní klub ŠK M.A.S.H. Polešovice"/>
    <s v="706"/>
    <x v="1"/>
    <x v="2"/>
    <s v="Polešovice"/>
    <s v="Polešovice 746, PSČ 68737"/>
    <s v="93120"/>
    <s v="Činnosti sportovních klubů"/>
    <m/>
    <m/>
    <m/>
    <m/>
    <m/>
    <m/>
    <m/>
    <m/>
    <m/>
    <m/>
    <m/>
    <m/>
    <m/>
    <m/>
    <m/>
    <m/>
    <m/>
  </r>
  <r>
    <s v="09746528"/>
    <s v="Sportovní klub Študlov z. s."/>
    <s v="706"/>
    <x v="1"/>
    <x v="0"/>
    <s v="Študlov"/>
    <s v="Študlov 142, PSČ 75612"/>
    <s v="931"/>
    <s v="Sportovní činnosti"/>
    <m/>
    <m/>
    <m/>
    <m/>
    <m/>
    <m/>
    <m/>
    <m/>
    <m/>
    <m/>
    <m/>
    <m/>
    <m/>
    <m/>
    <m/>
    <m/>
    <m/>
  </r>
  <r>
    <s v="26581698"/>
    <s v="Sportovní klub Tenis Hvozdná"/>
    <s v="706"/>
    <x v="1"/>
    <x v="0"/>
    <s v="Hvozdná"/>
    <s v="Hvozdná, Záhumení 251, PSČ 76310"/>
    <s v="93120"/>
    <s v="Činnosti sportovních klubů"/>
    <m/>
    <m/>
    <m/>
    <m/>
    <m/>
    <m/>
    <m/>
    <m/>
    <m/>
    <m/>
    <m/>
    <m/>
    <m/>
    <m/>
    <m/>
    <m/>
    <m/>
  </r>
  <r>
    <s v="01560531"/>
    <s v="Sportovní klub Tomšů"/>
    <s v="706"/>
    <x v="1"/>
    <x v="0"/>
    <s v="Zlín"/>
    <s v="Kúty 1960 760 01 Zl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184380"/>
    <s v="Sportovní klub tradičních bojových umění - Vsetín"/>
    <s v="706"/>
    <x v="1"/>
    <x v="1"/>
    <s v="Vsetín"/>
    <s v="Vsetín, Rokytnice, Pod Žamboškou 252, PSČ 75501"/>
    <s v="93120"/>
    <s v="Činnosti sportovních klubů"/>
    <m/>
    <m/>
    <m/>
    <m/>
    <m/>
    <m/>
    <m/>
    <m/>
    <m/>
    <m/>
    <m/>
    <m/>
    <m/>
    <m/>
    <m/>
    <m/>
    <m/>
  </r>
  <r>
    <s v="26987091"/>
    <s v="Sportovní Klub Uherský Brod, z.s."/>
    <s v="706"/>
    <x v="1"/>
    <x v="2"/>
    <s v="Uherský Brod"/>
    <s v="Uherský Brod, Zátiší 1958, PSČ 68801"/>
    <s v="93110"/>
    <s v="Provozování sportovních zařízení"/>
    <m/>
    <m/>
    <m/>
    <m/>
    <m/>
    <m/>
    <m/>
    <m/>
    <m/>
    <m/>
    <m/>
    <m/>
    <m/>
    <m/>
    <m/>
    <m/>
    <m/>
  </r>
  <r>
    <s v="11776706"/>
    <s v="Sportovní Klub Valachy z.s."/>
    <s v="706"/>
    <x v="1"/>
    <x v="1"/>
    <s v="Velké Karlovice"/>
    <s v="Velké Karlovice 1144, PSČ 75606"/>
    <s v="93190"/>
    <s v="Ostatní sportovní činnosti"/>
    <m/>
    <m/>
    <m/>
    <m/>
    <m/>
    <m/>
    <m/>
    <m/>
    <m/>
    <m/>
    <m/>
    <m/>
    <m/>
    <m/>
    <m/>
    <m/>
    <m/>
  </r>
  <r>
    <s v="22878530"/>
    <s v="Sportovní klub Vesani.cz, z.s."/>
    <s v="706"/>
    <x v="1"/>
    <x v="3"/>
    <s v="Holešov"/>
    <s v="Holešov, Sadová 1542, PSČ 76901"/>
    <s v="93120"/>
    <s v="Činnosti sportovních klubů"/>
    <m/>
    <m/>
    <m/>
    <m/>
    <m/>
    <m/>
    <m/>
    <m/>
    <m/>
    <m/>
    <m/>
    <m/>
    <m/>
    <m/>
    <m/>
    <m/>
    <m/>
  </r>
  <r>
    <s v="15526259"/>
    <s v="Sportovní klub Vlachovice, z. s."/>
    <s v="706"/>
    <x v="1"/>
    <x v="0"/>
    <s v="Vlachovice"/>
    <s v="Vlachovice 399, PSČ 76324"/>
    <s v="93120"/>
    <s v="Činnosti sportovních klubů"/>
    <m/>
    <m/>
    <m/>
    <m/>
    <m/>
    <m/>
    <m/>
    <m/>
    <m/>
    <m/>
    <m/>
    <m/>
    <m/>
    <m/>
    <m/>
    <m/>
    <m/>
  </r>
  <r>
    <s v="22872141"/>
    <s v="Sportovní klub VLÁRA BYLNICE"/>
    <s v="706"/>
    <x v="1"/>
    <x v="0"/>
    <s v="Brumov-Bylnice"/>
    <s v="Brumov-Bylnice, Pod Strání čp.44"/>
    <s v="93120"/>
    <s v="Činnosti sportovních klubů"/>
    <m/>
    <m/>
    <m/>
    <m/>
    <m/>
    <m/>
    <m/>
    <m/>
    <m/>
    <m/>
    <m/>
    <m/>
    <m/>
    <m/>
    <m/>
    <m/>
    <m/>
  </r>
  <r>
    <s v="26984334"/>
    <s v="Sportovní klub vytrvalostních a extrémních sportů Zlín"/>
    <s v="706"/>
    <x v="1"/>
    <x v="0"/>
    <s v="Zlín"/>
    <s v="Zlín, Dolní 2302, PSČ 76001"/>
    <s v="93110"/>
    <s v="Provozování sportovních zařízení"/>
    <m/>
    <m/>
    <m/>
    <m/>
    <m/>
    <m/>
    <m/>
    <m/>
    <m/>
    <m/>
    <m/>
    <m/>
    <m/>
    <m/>
    <m/>
    <m/>
    <m/>
  </r>
  <r>
    <s v="14296667"/>
    <s v="Sportovní klub Yacimu z. s."/>
    <s v="706"/>
    <x v="1"/>
    <x v="1"/>
    <s v="Branky"/>
    <s v="Branky 95, PSČ 75645"/>
    <s v="93120"/>
    <s v="Činnosti sportovních klubů"/>
    <m/>
    <m/>
    <m/>
    <m/>
    <m/>
    <m/>
    <m/>
    <m/>
    <m/>
    <m/>
    <m/>
    <m/>
    <m/>
    <m/>
    <m/>
    <m/>
    <m/>
  </r>
  <r>
    <s v="03621031"/>
    <s v="Sportovní klub Zlín z.s."/>
    <s v="706"/>
    <x v="1"/>
    <x v="0"/>
    <s v="Zlín"/>
    <s v="Zlín, Potoky 5145, PSČ 76001"/>
    <s v="93190"/>
    <s v="Ostatní sportovní činnosti"/>
    <m/>
    <m/>
    <m/>
    <m/>
    <m/>
    <m/>
    <m/>
    <m/>
    <m/>
    <m/>
    <m/>
    <m/>
    <m/>
    <m/>
    <m/>
    <m/>
    <m/>
  </r>
  <r>
    <s v="27017583"/>
    <s v="Sportovní klub Želechovice z.s."/>
    <s v="706"/>
    <x v="1"/>
    <x v="0"/>
    <s v="Želechovice nad Dřevnicí"/>
    <s v="Želechovice nad Dřevnicí, Přílucká 17, PSČ 76311"/>
    <s v="93110"/>
    <s v="Provozování sportovních zařízení"/>
    <m/>
    <m/>
    <m/>
    <m/>
    <m/>
    <m/>
    <m/>
    <m/>
    <m/>
    <m/>
    <m/>
    <m/>
    <m/>
    <m/>
    <m/>
    <m/>
    <m/>
  </r>
  <r>
    <s v="00544621"/>
    <s v="Sportovní kluby Slavičín, z.s."/>
    <s v="706"/>
    <x v="1"/>
    <x v="0"/>
    <s v="Slavičín"/>
    <s v="Slavičín, Školní 29, PSČ 76321"/>
    <s v="93120"/>
    <s v="Činnosti sportovních klubů"/>
    <s v="Ubytování v hotelích a podobných ubytovacích zařízeních"/>
    <m/>
    <m/>
    <m/>
    <m/>
    <m/>
    <m/>
    <m/>
    <m/>
    <m/>
    <m/>
    <m/>
    <m/>
    <m/>
    <m/>
    <m/>
    <m/>
  </r>
  <r>
    <s v="26587408"/>
    <s v="Sportovní kluby Staré Město, z.s."/>
    <s v="706"/>
    <x v="1"/>
    <x v="2"/>
    <s v="Staré Město"/>
    <s v="Staré Město, Brněnská 1249, PSČ 68603"/>
    <s v="93110"/>
    <s v="Provozování sportovních zařízení"/>
    <m/>
    <m/>
    <m/>
    <m/>
    <m/>
    <m/>
    <m/>
    <m/>
    <m/>
    <m/>
    <m/>
    <m/>
    <m/>
    <m/>
    <m/>
    <m/>
    <m/>
  </r>
  <r>
    <s v="00531944"/>
    <s v="Sportovní kluby Zlín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22613030"/>
    <s v="Sportovní kynologický klub Uh.Brod"/>
    <s v="706"/>
    <x v="1"/>
    <x v="2"/>
    <s v="Uherský Brod"/>
    <s v="Uherský Brod, Vazová 2452, PSČ 688 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900161"/>
    <s v="Sportovní paintball Slovácko, o. s."/>
    <s v="706"/>
    <x v="1"/>
    <x v="2"/>
    <s v="Nivnice"/>
    <s v="Nivnice, Podohradí 690, PSČ 68751"/>
    <s v="93190"/>
    <s v="Ostatní sportovní činnosti"/>
    <m/>
    <m/>
    <m/>
    <m/>
    <m/>
    <m/>
    <m/>
    <m/>
    <m/>
    <m/>
    <m/>
    <m/>
    <m/>
    <m/>
    <m/>
    <m/>
    <m/>
  </r>
  <r>
    <s v="26593289"/>
    <s v="Sportovní sdružení Memoriálu L. Oškery"/>
    <s v="706"/>
    <x v="1"/>
    <x v="0"/>
    <s v="Zlín"/>
    <s v="Zlín, Kudlov, Žlutá 483, PSČ 76001"/>
    <s v="93110"/>
    <s v="Provozování sportovních zařízení"/>
    <m/>
    <m/>
    <m/>
    <m/>
    <m/>
    <m/>
    <m/>
    <m/>
    <m/>
    <m/>
    <m/>
    <m/>
    <m/>
    <m/>
    <m/>
    <m/>
    <m/>
  </r>
  <r>
    <s v="26648041"/>
    <s v="SPORTOVNÍ SPOLEK BŘEZOLUPY"/>
    <s v="706"/>
    <x v="1"/>
    <x v="2"/>
    <s v="Březolupy"/>
    <s v="Březolupy 555, PSČ 68713"/>
    <s v="93110"/>
    <s v="Provozování sportovních zařízení"/>
    <m/>
    <m/>
    <m/>
    <m/>
    <m/>
    <m/>
    <m/>
    <m/>
    <m/>
    <m/>
    <m/>
    <m/>
    <m/>
    <m/>
    <m/>
    <m/>
    <m/>
  </r>
  <r>
    <s v="26668327"/>
    <s v="Sportovní spolek Pod Chlumem"/>
    <s v="706"/>
    <x v="1"/>
    <x v="3"/>
    <s v="Bystřice pod Hostýnem"/>
    <s v="Bystřice pod Hostýnem, Bílavsko 34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9525"/>
    <s v="Sportovní stáj VITTORIA"/>
    <s v="706"/>
    <x v="1"/>
    <x v="3"/>
    <s v="Skaštice"/>
    <s v="Skaštice 16, PSČ 76701"/>
    <s v="93110"/>
    <s v="Provozování sportovních zařízení"/>
    <m/>
    <m/>
    <m/>
    <m/>
    <m/>
    <m/>
    <m/>
    <m/>
    <m/>
    <m/>
    <m/>
    <m/>
    <m/>
    <m/>
    <m/>
    <m/>
    <m/>
  </r>
  <r>
    <s v="22844406"/>
    <s v="Sportovní šerm Zlín, z.s."/>
    <s v="706"/>
    <x v="1"/>
    <x v="0"/>
    <s v="Zlín"/>
    <s v="Zlín, třída Tomáše Bati 6247, PSČ 76001"/>
    <s v="93190"/>
    <s v="Ostatní sportovní činnosti"/>
    <m/>
    <m/>
    <m/>
    <m/>
    <m/>
    <m/>
    <m/>
    <m/>
    <m/>
    <m/>
    <m/>
    <m/>
    <m/>
    <m/>
    <m/>
    <m/>
    <m/>
  </r>
  <r>
    <s v="27022463"/>
    <s v="Sportovní škola judo, jiu-jitsu Zlín, z. s."/>
    <s v="706"/>
    <x v="1"/>
    <x v="0"/>
    <s v="Zlín"/>
    <s v="Zlín, Nad Ovčírnou IV 344, PSČ 76001"/>
    <s v="93110"/>
    <s v="Provozování sportovních zařízení"/>
    <m/>
    <m/>
    <m/>
    <m/>
    <m/>
    <m/>
    <m/>
    <m/>
    <m/>
    <m/>
    <m/>
    <m/>
    <m/>
    <m/>
    <m/>
    <m/>
    <m/>
  </r>
  <r>
    <s v="65891040"/>
    <s v="SPORT-Relax KLUB VM, z.s."/>
    <s v="706"/>
    <x v="1"/>
    <x v="1"/>
    <s v="Valašské Meziříčí"/>
    <s v="Valašské Meziříčí, Kraiczova 1040, PSČ 75701"/>
    <s v="931"/>
    <s v="Sportovní činnosti"/>
    <m/>
    <m/>
    <m/>
    <m/>
    <m/>
    <m/>
    <m/>
    <m/>
    <m/>
    <m/>
    <m/>
    <m/>
    <m/>
    <m/>
    <m/>
    <m/>
    <m/>
  </r>
  <r>
    <s v="28559665"/>
    <s v="Sportstudio Popovice, občanské sdružení"/>
    <s v="706"/>
    <x v="1"/>
    <x v="2"/>
    <s v="Popovice"/>
    <s v="Popovice 333, PSČ 68604"/>
    <s v="93110"/>
    <s v="Provozování sportovních zařízení"/>
    <m/>
    <m/>
    <m/>
    <m/>
    <m/>
    <m/>
    <m/>
    <m/>
    <m/>
    <m/>
    <m/>
    <m/>
    <m/>
    <m/>
    <m/>
    <m/>
    <m/>
  </r>
  <r>
    <s v="22611266"/>
    <s v="Sportyzlin.cz,z.s."/>
    <s v="706"/>
    <x v="1"/>
    <x v="0"/>
    <s v="Zlín"/>
    <s v="Zlín, Prostřední 5382, PSČ 76001"/>
    <s v="93190"/>
    <s v="Ostatní sportovní činnosti"/>
    <m/>
    <m/>
    <m/>
    <m/>
    <m/>
    <m/>
    <m/>
    <m/>
    <m/>
    <m/>
    <m/>
    <m/>
    <m/>
    <m/>
    <m/>
    <m/>
    <m/>
  </r>
  <r>
    <s v="22895477"/>
    <s v="SPORT4STREET o.s."/>
    <s v="706"/>
    <x v="1"/>
    <x v="1"/>
    <s v="Vsetín"/>
    <s v="Vsetín, Na Kopečku 9, PSČ 75501"/>
    <s v="93190"/>
    <s v="Ostatní sportovní činnosti"/>
    <m/>
    <m/>
    <m/>
    <m/>
    <m/>
    <m/>
    <m/>
    <m/>
    <m/>
    <m/>
    <m/>
    <m/>
    <m/>
    <m/>
    <m/>
    <m/>
    <m/>
  </r>
  <r>
    <s v="27040674"/>
    <s v="SPOT &quot;Slunéčko&quot; z.s."/>
    <s v="706"/>
    <x v="1"/>
    <x v="2"/>
    <s v="Popovice"/>
    <s v="Popovice 303, PSČ 68604"/>
    <s v="9499"/>
    <s v="Činnosti ostatních organizací sdružujících osoby za účelem prosazování společných zájmů j. n."/>
    <s v="Maloobchod s nápoji"/>
    <s v="Stravování v restauracích, u stánků a v mobilních zařízeních"/>
    <m/>
    <m/>
    <m/>
    <m/>
    <m/>
    <m/>
    <m/>
    <m/>
    <m/>
    <m/>
    <m/>
    <m/>
    <m/>
    <m/>
    <m/>
  </r>
  <r>
    <s v="08888434"/>
    <s v="Správa Arcibiskupského zámku a zahrad v Kroměříži, z.ú."/>
    <s v="161"/>
    <x v="3"/>
    <x v="3"/>
    <s v="Kroměříž"/>
    <s v="Kroměříž, Sněmovní náměstí 1/2, PSČ 76701"/>
    <s v="9499"/>
    <s v="Činnosti ostatních organizací sdružujících osoby za účelem prosazování společných zájmů j. n."/>
    <s v="Výroba, obchod a služby neuvedené v přílohách 1 až 3 živnostenského zákona"/>
    <s v="Smíšené hospodářství"/>
    <m/>
    <m/>
    <m/>
    <m/>
    <m/>
    <m/>
    <m/>
    <m/>
    <m/>
    <m/>
    <m/>
    <m/>
    <m/>
    <m/>
    <m/>
  </r>
  <r>
    <s v="19874324"/>
    <s v="Správa singulárního majetku Popov z.s."/>
    <s v="706"/>
    <x v="1"/>
    <x v="0"/>
    <s v="Štítná nad Vláří-Popov"/>
    <s v="Štítná nad Vláří-Popov, Popov 40, PSČ 763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590328"/>
    <s v="Správný směr o.p.s."/>
    <s v="141"/>
    <x v="2"/>
    <x v="1"/>
    <s v="Valašské Meziříčí"/>
    <s v="Valašské Meziříčí, Hrachovec 26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2724"/>
    <s v="SPS Staré Město, z.s."/>
    <s v="706"/>
    <x v="1"/>
    <x v="2"/>
    <s v="Staré Město"/>
    <s v="Staré Město, Erbenova 1182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2243"/>
    <s v="„SPUNT, o.s.”"/>
    <s v="706"/>
    <x v="1"/>
    <x v="2"/>
    <s v="Nivnice"/>
    <s v="Nivnice, Pořádí 22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1562"/>
    <s v="Squash v pohodě"/>
    <s v="706"/>
    <x v="1"/>
    <x v="1"/>
    <s v="Vsetín"/>
    <s v="Vsetín, Na Příkopě 797, PSČ 75501"/>
    <s v="93110"/>
    <s v="Provozování sportovních zařízení"/>
    <m/>
    <m/>
    <m/>
    <m/>
    <m/>
    <m/>
    <m/>
    <m/>
    <m/>
    <m/>
    <m/>
    <m/>
    <m/>
    <m/>
    <m/>
    <m/>
    <m/>
  </r>
  <r>
    <s v="68729189"/>
    <s v="SRC Zlín modelářský klub p.s."/>
    <s v="736"/>
    <x v="0"/>
    <x v="0"/>
    <s v="Tlumačov"/>
    <s v="Tlumačov, Sokolská 401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09430"/>
    <s v="Srdcem pro chlupáče z.s."/>
    <s v="706"/>
    <x v="1"/>
    <x v="0"/>
    <s v="Štítná nad Vláří-Popov"/>
    <s v="Štítná nad Vláří-Popov, Štítná nad Vláří 324, PSČ 763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492689"/>
    <s v="Srdcem Rožnovák z. s."/>
    <s v="706"/>
    <x v="1"/>
    <x v="1"/>
    <s v="Rožnov pod Radhoštěm"/>
    <s v="Rožnov pod Radhoštěm, Kramolišov 290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926387"/>
    <s v="Srdeční spolek"/>
    <s v="706"/>
    <x v="1"/>
    <x v="1"/>
    <s v="Horní Lideč"/>
    <s v="Horní Lideč 114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164060"/>
    <s v="SRNÍ z.s."/>
    <s v="706"/>
    <x v="1"/>
    <x v="1"/>
    <s v="Vsetín"/>
    <s v="Vsetín, Rokytnice, Srní 345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276173"/>
    <s v="SRPDŠ při ZŠ Tlumačov, z.s."/>
    <s v="706"/>
    <x v="1"/>
    <x v="0"/>
    <s v="Tlumačov"/>
    <s v="Tlumačov, náměstí Komenského 905, PSČ 76362"/>
    <s v="94999"/>
    <s v="Činnosti ostatních organizací j. n."/>
    <m/>
    <m/>
    <m/>
    <m/>
    <m/>
    <m/>
    <m/>
    <m/>
    <m/>
    <m/>
    <m/>
    <m/>
    <m/>
    <m/>
    <m/>
    <m/>
    <m/>
  </r>
  <r>
    <s v="71194584"/>
    <s v="SRPDŠ SLOVAN, z.s."/>
    <s v="706"/>
    <x v="1"/>
    <x v="3"/>
    <s v="Kroměříž"/>
    <s v="Kroměříž, Zeyerova 3354/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972745"/>
    <s v="SRPŠ Kněžpole, z.s."/>
    <s v="706"/>
    <x v="1"/>
    <x v="2"/>
    <s v="Kněžpole"/>
    <s v="Kněžpole 125, PSČ 68712"/>
    <s v="94999"/>
    <s v="Činnosti ostatních organizací j. n."/>
    <m/>
    <m/>
    <m/>
    <m/>
    <m/>
    <m/>
    <m/>
    <m/>
    <m/>
    <m/>
    <m/>
    <m/>
    <m/>
    <m/>
    <m/>
    <m/>
    <m/>
  </r>
  <r>
    <s v="01285068"/>
    <s v="SRPŠ při Základní škole Pohořelice, okres Zlín"/>
    <s v="706"/>
    <x v="1"/>
    <x v="0"/>
    <s v="Pohořelice"/>
    <s v="Pohořelice, Školní 126, PSČ 76361"/>
    <s v="94999"/>
    <s v="Činnosti ostatních organizací j. n."/>
    <m/>
    <m/>
    <m/>
    <m/>
    <m/>
    <m/>
    <m/>
    <m/>
    <m/>
    <m/>
    <m/>
    <m/>
    <m/>
    <m/>
    <m/>
    <m/>
    <m/>
  </r>
  <r>
    <s v="22714677"/>
    <s v="SRPŠ při ZŠ Chropyně, z. s."/>
    <s v="706"/>
    <x v="1"/>
    <x v="3"/>
    <s v="Chropyně"/>
    <s v="Chropyně, Komenského 335, PSČ 76811"/>
    <s v="94999"/>
    <s v="Činnosti ostatních organizací j. n."/>
    <m/>
    <m/>
    <m/>
    <m/>
    <m/>
    <m/>
    <m/>
    <m/>
    <m/>
    <m/>
    <m/>
    <m/>
    <m/>
    <m/>
    <m/>
    <m/>
    <m/>
  </r>
  <r>
    <s v="22763180"/>
    <s v="SRPŠ při ZŠ Fryšták, z.s."/>
    <s v="706"/>
    <x v="1"/>
    <x v="0"/>
    <s v="Fryšták"/>
    <s v="Fryšták, náměstí Míru 7, PSČ 76316"/>
    <s v="94999"/>
    <s v="Činnosti ostatních organizací j. n."/>
    <m/>
    <m/>
    <m/>
    <m/>
    <m/>
    <m/>
    <m/>
    <m/>
    <m/>
    <m/>
    <m/>
    <m/>
    <m/>
    <m/>
    <m/>
    <m/>
    <m/>
  </r>
  <r>
    <s v="26675790"/>
    <s v="SRPŠ při ZUŠ Bojkovice z.s."/>
    <s v="706"/>
    <x v="1"/>
    <x v="2"/>
    <s v="Bojkovice"/>
    <s v="Bojkovice, Sušilova 952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116901"/>
    <s v="SRPŠ při ZUŠ Otrokovice z.s."/>
    <s v="706"/>
    <x v="1"/>
    <x v="0"/>
    <s v="Zlín"/>
    <s v="Zlín, Prštné, M. Alše 394, PSČ 76001"/>
    <s v="94999"/>
    <s v="Činnosti ostatních organizací j. n."/>
    <m/>
    <m/>
    <m/>
    <m/>
    <m/>
    <m/>
    <m/>
    <m/>
    <m/>
    <m/>
    <m/>
    <m/>
    <m/>
    <m/>
    <m/>
    <m/>
    <m/>
  </r>
  <r>
    <s v="18190375"/>
    <s v="SRPŠ při 1.ZŠ Holešov, z.s."/>
    <s v="706"/>
    <x v="1"/>
    <x v="3"/>
    <s v="Holešov"/>
    <s v="Holešov, Smetanovy sady 630/8, PSČ 76901"/>
    <s v="94999"/>
    <s v="Činnosti ostatních organizací j. n."/>
    <m/>
    <m/>
    <m/>
    <m/>
    <m/>
    <m/>
    <m/>
    <m/>
    <m/>
    <m/>
    <m/>
    <m/>
    <m/>
    <m/>
    <m/>
    <m/>
    <m/>
  </r>
  <r>
    <s v="26573075"/>
    <s v="SS EQUI - BŘEST o.s."/>
    <s v="706"/>
    <x v="1"/>
    <x v="3"/>
    <s v="Břest"/>
    <s v="Břest 288, PSČ 76823"/>
    <s v="93190"/>
    <s v="Ostatní sportovní činnosti"/>
    <m/>
    <m/>
    <m/>
    <m/>
    <m/>
    <m/>
    <m/>
    <m/>
    <m/>
    <m/>
    <m/>
    <m/>
    <m/>
    <m/>
    <m/>
    <m/>
    <m/>
  </r>
  <r>
    <s v="26647508"/>
    <s v="SS RENOSPORT, o.s."/>
    <s v="706"/>
    <x v="1"/>
    <x v="3"/>
    <s v="Lubná"/>
    <s v="Kroměříž, Lubné 108"/>
    <s v="931"/>
    <s v="Sportovní činnosti"/>
    <m/>
    <m/>
    <m/>
    <m/>
    <m/>
    <m/>
    <m/>
    <m/>
    <m/>
    <m/>
    <m/>
    <m/>
    <m/>
    <m/>
    <m/>
    <m/>
    <m/>
  </r>
  <r>
    <s v="61704245"/>
    <s v="ST AMON Kunovice z.s."/>
    <s v="706"/>
    <x v="1"/>
    <x v="2"/>
    <s v="Kunovice"/>
    <s v="Kunovice, Panská 9, PSČ 68604"/>
    <s v="93110"/>
    <s v="Provozování sportovních zařízení"/>
    <m/>
    <m/>
    <m/>
    <m/>
    <m/>
    <m/>
    <m/>
    <m/>
    <m/>
    <m/>
    <m/>
    <m/>
    <m/>
    <m/>
    <m/>
    <m/>
    <m/>
  </r>
  <r>
    <s v="05849829"/>
    <s v="STAGE GARDEN z.s."/>
    <s v="706"/>
    <x v="1"/>
    <x v="1"/>
    <s v="Rožnov pod Radhoštěm"/>
    <s v="Rožnov pod Radhoštěm, Horní Dráhy 2769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3306"/>
    <s v="Stáj Basilika o.s."/>
    <s v="706"/>
    <x v="1"/>
    <x v="0"/>
    <s v="Zlín"/>
    <s v="Zlín, Rašínova 72, PSČ 76001"/>
    <s v="93120"/>
    <s v="Činnosti sportovních klubů"/>
    <m/>
    <m/>
    <m/>
    <m/>
    <m/>
    <m/>
    <m/>
    <m/>
    <m/>
    <m/>
    <m/>
    <m/>
    <m/>
    <m/>
    <m/>
    <m/>
    <m/>
  </r>
  <r>
    <s v="22728325"/>
    <s v="STÁJ CHLUM, z. s."/>
    <s v="706"/>
    <x v="1"/>
    <x v="3"/>
    <s v="Bystřice pod Hostýnem"/>
    <s v="Bystřice pod Hostýnem, Bílavsko 1, PSČ 76861"/>
    <s v="93110"/>
    <s v="Provozování sportovních zařízení"/>
    <m/>
    <m/>
    <m/>
    <m/>
    <m/>
    <m/>
    <m/>
    <m/>
    <m/>
    <m/>
    <m/>
    <m/>
    <m/>
    <m/>
    <m/>
    <m/>
    <m/>
  </r>
  <r>
    <s v="03902234"/>
    <s v="Stáj Dolina Staré Město, z. s."/>
    <s v="706"/>
    <x v="1"/>
    <x v="2"/>
    <s v="Tupesy"/>
    <s v="Tupesy 187, PSČ 6870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7507286"/>
    <s v="Stáj Gamara Leskovec z.s."/>
    <s v="706"/>
    <x v="1"/>
    <x v="1"/>
    <s v="Leskovec"/>
    <s v="Leskovec 72, PSČ 756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7002179"/>
    <s v="Stáj MEVRIN z.s."/>
    <s v="706"/>
    <x v="1"/>
    <x v="0"/>
    <s v="Zádveřice-Raková"/>
    <s v="Zádveřice-Raková, Zádveřice 449, PSČ 76312"/>
    <s v="93120"/>
    <s v="Činnosti sportovních klubů"/>
    <m/>
    <m/>
    <m/>
    <m/>
    <m/>
    <m/>
    <m/>
    <m/>
    <m/>
    <m/>
    <m/>
    <m/>
    <m/>
    <m/>
    <m/>
    <m/>
    <m/>
  </r>
  <r>
    <s v="11705205"/>
    <s v="Stáj Moravia Branky z. s."/>
    <s v="706"/>
    <x v="1"/>
    <x v="1"/>
    <s v="Branky"/>
    <s v="Branky 285, PSČ 75645"/>
    <s v="93120"/>
    <s v="Činnosti sportovních klubů"/>
    <m/>
    <m/>
    <m/>
    <m/>
    <m/>
    <m/>
    <m/>
    <m/>
    <m/>
    <m/>
    <m/>
    <m/>
    <m/>
    <m/>
    <m/>
    <m/>
    <m/>
  </r>
  <r>
    <s v="22817263"/>
    <s v="Stáj Rektořík o.s."/>
    <s v="706"/>
    <x v="1"/>
    <x v="3"/>
    <s v="Holešov"/>
    <s v="Holešov, Všetuly, 6. května 39, PSČ 76901"/>
    <s v="93120"/>
    <s v="Činnosti sportovních klubů"/>
    <m/>
    <m/>
    <m/>
    <m/>
    <m/>
    <m/>
    <m/>
    <m/>
    <m/>
    <m/>
    <m/>
    <m/>
    <m/>
    <m/>
    <m/>
    <m/>
    <m/>
  </r>
  <r>
    <s v="07662041"/>
    <s v="Stáj Unity z.s."/>
    <s v="706"/>
    <x v="1"/>
    <x v="1"/>
    <s v="Dolní Bečva"/>
    <s v="Dolní Bečva 88, PSČ 7565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923501"/>
    <s v="Stáje Ťapka z.s."/>
    <s v="706"/>
    <x v="1"/>
    <x v="2"/>
    <s v="Boršice"/>
    <s v="Boršice 268, PSČ 68709"/>
    <s v="94996"/>
    <s v="Činnosti organizací na ochranu a zlepšení postavení etnických, menšinových a jiných speciálních skupin"/>
    <s v="Velkoobchod a maloobchod; opravy a údržba motorových vozidel"/>
    <s v="Chov zvířat pro zájmový chov"/>
    <s v="Opravy obuvi a kožených výrobků"/>
    <m/>
    <m/>
    <m/>
    <m/>
    <m/>
    <m/>
    <m/>
    <m/>
    <m/>
    <m/>
    <m/>
    <m/>
    <m/>
    <m/>
  </r>
  <r>
    <s v="22837141"/>
    <s v="&quot;STALKER 2009&quot;"/>
    <s v="706"/>
    <x v="1"/>
    <x v="2"/>
    <s v="Uherské Hradiště"/>
    <s v="Uherské Hradiště, Mařatice, Václava Kulíška 1157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0306"/>
    <s v="Stánek probuzení"/>
    <s v="706"/>
    <x v="1"/>
    <x v="3"/>
    <s v="Holešov"/>
    <s v="Holešov, Školní 451/14, PSČ 76901"/>
    <s v="94910"/>
    <s v="Činnosti náboženských organizací"/>
    <m/>
    <m/>
    <m/>
    <m/>
    <m/>
    <m/>
    <m/>
    <m/>
    <m/>
    <m/>
    <m/>
    <m/>
    <m/>
    <m/>
    <m/>
    <m/>
    <m/>
  </r>
  <r>
    <s v="22820744"/>
    <s v="Stanice ochrany fauny Hluk, zapsaný spolek"/>
    <s v="706"/>
    <x v="1"/>
    <x v="2"/>
    <s v="Hluk"/>
    <s v="Hluk, Hlavní 889, PSČ 68725"/>
    <s v="94995"/>
    <s v="Činnosti environmentálních a ekologických hnutí"/>
    <m/>
    <m/>
    <m/>
    <m/>
    <m/>
    <m/>
    <m/>
    <m/>
    <m/>
    <m/>
    <m/>
    <m/>
    <m/>
    <m/>
    <m/>
    <m/>
    <m/>
  </r>
  <r>
    <s v="22868569"/>
    <s v="Star team Kroměříž,z.s."/>
    <s v="706"/>
    <x v="1"/>
    <x v="3"/>
    <s v="Kroměříž"/>
    <s v="Kroměříž, Zborovská 4268/1, PSČ 76701"/>
    <s v="93190"/>
    <s v="Ostatní sportovní činnosti"/>
    <m/>
    <m/>
    <m/>
    <m/>
    <m/>
    <m/>
    <m/>
    <m/>
    <m/>
    <m/>
    <m/>
    <m/>
    <m/>
    <m/>
    <m/>
    <m/>
    <m/>
  </r>
  <r>
    <s v="05109027"/>
    <s v="Stará Cihelna z. s."/>
    <s v="706"/>
    <x v="1"/>
    <x v="2"/>
    <s v="Uherské Hradiště"/>
    <s v="Uherské Hradiště, Mařatice, Stará Cihelna 1410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400805"/>
    <s v="Stará Masna art z.s."/>
    <s v="706"/>
    <x v="1"/>
    <x v="3"/>
    <s v="Kroměříž"/>
    <s v="Kroměříž, Na Sladovnách 1479/2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70714"/>
    <s v="Staré Malenovice"/>
    <s v="706"/>
    <x v="1"/>
    <x v="0"/>
    <s v="Zlín"/>
    <s v="Zlín, Malenovice, Jarolímkovo náměstí 121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297823"/>
    <s v="STAROHROZENČAN, z.s."/>
    <s v="706"/>
    <x v="1"/>
    <x v="2"/>
    <s v="Starý Hrozenkov"/>
    <s v="Starý Hrozenkov 284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521935"/>
    <s v="Starohrozenská kapela, z.s."/>
    <s v="706"/>
    <x v="1"/>
    <x v="2"/>
    <s v="Starý Hrozenkov"/>
    <s v="Starý Hrozenkov 323, PSČ 6877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1261"/>
    <s v="Starokatolická farnost ve Zlíně"/>
    <s v="722"/>
    <x v="5"/>
    <x v="0"/>
    <s v="Zlín"/>
    <s v="Zlín, Bratří Sousedíků 6023, PSČ 76001"/>
    <s v="94910"/>
    <s v="Činnosti náboženských organizací"/>
    <m/>
    <m/>
    <m/>
    <m/>
    <m/>
    <m/>
    <m/>
    <m/>
    <m/>
    <m/>
    <m/>
    <m/>
    <m/>
    <m/>
    <m/>
    <m/>
    <m/>
  </r>
  <r>
    <s v="70837155"/>
    <s v="&quot;STAROMĚSTSKÁ KAPELA z. s.&quot;"/>
    <s v="706"/>
    <x v="1"/>
    <x v="2"/>
    <s v="Staré Město"/>
    <s v="Staré Město, náměstí Hrdinů 10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61251"/>
    <s v="Staroměstské sdružení"/>
    <s v="706"/>
    <x v="1"/>
    <x v="2"/>
    <s v="Staré Město"/>
    <s v="Staré Město, Nad Hřištěm 1891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9050"/>
    <s v="Staroměští šohajíci, spolek"/>
    <s v="706"/>
    <x v="1"/>
    <x v="2"/>
    <s v="Staré Město"/>
    <s v="Staré Město, Klukova 830, PSČ 68603"/>
    <s v="93110"/>
    <s v="Provozování sportovních zařízení"/>
    <m/>
    <m/>
    <m/>
    <m/>
    <m/>
    <m/>
    <m/>
    <m/>
    <m/>
    <m/>
    <m/>
    <m/>
    <m/>
    <m/>
    <m/>
    <m/>
    <m/>
  </r>
  <r>
    <s v="22571221"/>
    <s v="Statek Pod Ostrým, z.s."/>
    <s v="706"/>
    <x v="1"/>
    <x v="1"/>
    <s v="Zubří"/>
    <s v="Zubří, Pod Ostrým 293, PSČ 7565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520394"/>
    <s v="Stínová rada pro reklamu, z.s."/>
    <s v="706"/>
    <x v="1"/>
    <x v="3"/>
    <s v="Kroměříž"/>
    <s v="Kroměříž, Havlíčkova 3936/12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24356"/>
    <s v="Stodola Horreum z. s."/>
    <s v="706"/>
    <x v="1"/>
    <x v="0"/>
    <s v="Velký Ořechov"/>
    <s v="Velký Ořechov 9, PSČ 763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7890"/>
    <s v="Stolní tenis Bílovice, z.s."/>
    <s v="706"/>
    <x v="1"/>
    <x v="2"/>
    <s v="Bílovice"/>
    <s v="Bílovice 208, PSČ 68712"/>
    <s v="93110"/>
    <s v="Provozování sportovních zařízení"/>
    <m/>
    <m/>
    <m/>
    <m/>
    <m/>
    <m/>
    <m/>
    <m/>
    <m/>
    <m/>
    <m/>
    <m/>
    <m/>
    <m/>
    <m/>
    <m/>
    <m/>
  </r>
  <r>
    <s v="27005038"/>
    <s v="Stolní tenis Bystřice pod Lopeníkem z.s."/>
    <s v="706"/>
    <x v="1"/>
    <x v="2"/>
    <s v="Bystřice pod Lopeníkem"/>
    <s v="Bystřice pod Lopeníkem 262, PSČ 68755"/>
    <s v="93110"/>
    <s v="Provozování sportovních zařízení"/>
    <m/>
    <m/>
    <m/>
    <m/>
    <m/>
    <m/>
    <m/>
    <m/>
    <m/>
    <m/>
    <m/>
    <m/>
    <m/>
    <m/>
    <m/>
    <m/>
    <m/>
  </r>
  <r>
    <s v="07873263"/>
    <s v="Stolní tenis Kvasice z.s."/>
    <s v="706"/>
    <x v="1"/>
    <x v="3"/>
    <s v="Kvasice"/>
    <s v="Kvasice, Tlumačovská 700, PSČ 76821"/>
    <s v="93120"/>
    <s v="Činnosti sportovních klubů"/>
    <m/>
    <m/>
    <m/>
    <m/>
    <m/>
    <m/>
    <m/>
    <m/>
    <m/>
    <m/>
    <m/>
    <m/>
    <m/>
    <m/>
    <m/>
    <m/>
    <m/>
  </r>
  <r>
    <s v="03865967"/>
    <s v="Stolní tenis Rajnochovice z.s."/>
    <s v="706"/>
    <x v="1"/>
    <x v="3"/>
    <s v="Rajnochovice"/>
    <s v="Rajnochovice 155, PSČ 76871"/>
    <s v="93120"/>
    <s v="Činnosti sportovních klubů"/>
    <m/>
    <m/>
    <m/>
    <m/>
    <m/>
    <m/>
    <m/>
    <m/>
    <m/>
    <m/>
    <m/>
    <m/>
    <m/>
    <m/>
    <m/>
    <m/>
    <m/>
  </r>
  <r>
    <s v="22763244"/>
    <s v="Stolní tenis Uherské Hradiště z.s."/>
    <s v="706"/>
    <x v="1"/>
    <x v="2"/>
    <s v="Břestek"/>
    <s v="Břestek 41, PSČ 68708"/>
    <s v="93190"/>
    <s v="Ostatní sportovní činnosti"/>
    <m/>
    <m/>
    <m/>
    <m/>
    <m/>
    <m/>
    <m/>
    <m/>
    <m/>
    <m/>
    <m/>
    <m/>
    <m/>
    <m/>
    <m/>
    <m/>
    <m/>
  </r>
  <r>
    <s v="02170396"/>
    <s v="Stolní tenis Zubří, z.s."/>
    <s v="706"/>
    <x v="1"/>
    <x v="1"/>
    <s v="Zubří"/>
    <s v="Zubří, Ke Kapličce 793, PSČ 75654"/>
    <s v="9319"/>
    <s v="Ostatní sportovní činnosti"/>
    <m/>
    <m/>
    <m/>
    <m/>
    <m/>
    <m/>
    <m/>
    <m/>
    <m/>
    <m/>
    <m/>
    <m/>
    <m/>
    <m/>
    <m/>
    <m/>
    <m/>
  </r>
  <r>
    <s v="04622898"/>
    <s v="Stonožka Valašská Polanka z.s."/>
    <s v="706"/>
    <x v="1"/>
    <x v="1"/>
    <s v="Valašská Polanka"/>
    <s v="Valašská Polanka 450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2716"/>
    <s v="Stop bariérám, o.s."/>
    <s v="706"/>
    <x v="1"/>
    <x v="0"/>
    <s v="Zlín"/>
    <s v="Zlín, Mladcová, Na Drahách 52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700794"/>
    <s v="Stop HF Valašsko, o.s."/>
    <s v="706"/>
    <x v="1"/>
    <x v="1"/>
    <s v="Jablůnka"/>
    <s v="Jablůnka 188, PSČ 75623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07198337"/>
    <s v="Stoprounští vinaři, z. s."/>
    <s v="706"/>
    <x v="1"/>
    <x v="2"/>
    <s v="Boršice"/>
    <s v="Boršice 497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052393"/>
    <s v="Stormriders Freeski Club z.s"/>
    <s v="706"/>
    <x v="1"/>
    <x v="1"/>
    <s v="Prostřední Bečva"/>
    <s v="Prostřední Bečva 693, PSČ 7565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6919073"/>
    <s v="Stoupa Cup, z.s."/>
    <s v="706"/>
    <x v="1"/>
    <x v="1"/>
    <s v="Vsetín"/>
    <s v="Vsetín, Těšíkov 1170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5165083"/>
    <s v="Strategický nadační fond"/>
    <s v="118"/>
    <x v="6"/>
    <x v="1"/>
    <s v="Vsetín"/>
    <s v="Vsetín, Horní Jasenka, Pod Babykou 28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71366"/>
    <s v="Strážce valašských tradic"/>
    <s v="706"/>
    <x v="1"/>
    <x v="1"/>
    <s v="Vsetín"/>
    <s v="Vsetín, Semetín 1737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9141"/>
    <s v="&quot;Strážná Věž o.s.&quot;"/>
    <s v="706"/>
    <x v="1"/>
    <x v="1"/>
    <s v="Valašské Meziříčí"/>
    <s v="Valašské Meziříčí, Krásno nad Bečvou, Sklářská 644/1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97099"/>
    <s v="„STRBON z.s.“"/>
    <s v="706"/>
    <x v="1"/>
    <x v="3"/>
    <s v="Morkovice-Slížany"/>
    <s v="Morkovice-Slížany, Morkovice, Nádražní 11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93960"/>
    <s v="STRG Holešovský Region, z.s."/>
    <s v="706"/>
    <x v="1"/>
    <x v="3"/>
    <s v="Holešov"/>
    <s v="Holešov, Grohova 1266, PSČ 76901"/>
    <s v="94991"/>
    <s v="Činnosti organizací dětí a mládeže"/>
    <m/>
    <m/>
    <m/>
    <m/>
    <m/>
    <m/>
    <m/>
    <m/>
    <m/>
    <m/>
    <m/>
    <m/>
    <m/>
    <m/>
    <m/>
    <m/>
    <m/>
  </r>
  <r>
    <s v="19928050"/>
    <s v="STROM RODINY, z.s."/>
    <s v="706"/>
    <x v="1"/>
    <x v="1"/>
    <s v="Rožnov pod Radhoštěm"/>
    <s v="Rožnov pod Radhoštěm, Jiřího Wolkera 1021, PSČ 75661"/>
    <s v="8899"/>
    <s v="Ostatní ambulantní nebo terénní sociální služby j. n."/>
    <m/>
    <m/>
    <m/>
    <m/>
    <m/>
    <m/>
    <m/>
    <m/>
    <m/>
    <m/>
    <m/>
    <m/>
    <m/>
    <m/>
    <m/>
    <m/>
    <m/>
  </r>
  <r>
    <s v="26590620"/>
    <s v="STROP, z.ú."/>
    <s v="161"/>
    <x v="3"/>
    <x v="0"/>
    <s v="Zlín"/>
    <s v="Zlín, Dlouhá 269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412158"/>
    <s v="Středeční Monumenty z. s."/>
    <s v="706"/>
    <x v="1"/>
    <x v="1"/>
    <s v="Rožnov pod Radhoštěm"/>
    <s v="Rožnov pod Radhoštěm, Tkalcovská 1373, PSČ 75661"/>
    <s v="93190"/>
    <s v="Ostatní sportovní činnosti"/>
    <m/>
    <m/>
    <m/>
    <m/>
    <m/>
    <m/>
    <m/>
    <m/>
    <m/>
    <m/>
    <m/>
    <m/>
    <m/>
    <m/>
    <m/>
    <m/>
    <m/>
  </r>
  <r>
    <s v="29400155"/>
    <s v="Středisko občanů s tělesným postižením Vsetín o.p.s."/>
    <s v="141"/>
    <x v="2"/>
    <x v="1"/>
    <s v="Vsetín"/>
    <s v="Vsetín, Tyršova 1271, PSČ 75501"/>
    <s v="8810"/>
    <s v="Ambulantní nebo terénní sociální služby pro seniory a osoby se zdravotním postižením"/>
    <s v="Ostatní vzdělávání"/>
    <s v="Podpůrné činnosti pro scénická umění"/>
    <s v="Ostatní sportovní činnosti"/>
    <m/>
    <m/>
    <m/>
    <m/>
    <m/>
    <m/>
    <m/>
    <m/>
    <m/>
    <m/>
    <m/>
    <m/>
    <m/>
    <m/>
  </r>
  <r>
    <s v="26986728"/>
    <s v="Středisko rané péče EDUCO Zlín z.s."/>
    <s v="706"/>
    <x v="1"/>
    <x v="0"/>
    <s v="Zlín"/>
    <s v="Zlín, Louky, Chlumská 453, PSČ 76302"/>
    <s v="8899"/>
    <s v="Ostatní ambulantní nebo terénní sociální služby j. n."/>
    <m/>
    <m/>
    <m/>
    <m/>
    <m/>
    <m/>
    <m/>
    <m/>
    <m/>
    <m/>
    <m/>
    <m/>
    <m/>
    <m/>
    <m/>
    <m/>
    <m/>
  </r>
  <r>
    <s v="28279069"/>
    <s v="Středomoravská agentura rozvoje venkova, o.p.s."/>
    <s v="141"/>
    <x v="2"/>
    <x v="3"/>
    <s v="Kostelec u Holešova"/>
    <s v="Kostelec u Holešova 58, PSČ 76843"/>
    <s v="702"/>
    <s v="Poradenství v oblasti řízení"/>
    <s v="Sportovní činnosti"/>
    <s v="Ostatní vzdělávání j. n."/>
    <s v="Vydávání knih"/>
    <s v="Vydávání časopisů a ostatních periodických publikací"/>
    <s v="Ostatní zábavní a rekreační činnosti j. n."/>
    <m/>
    <m/>
    <m/>
    <m/>
    <m/>
    <m/>
    <m/>
    <m/>
    <m/>
    <m/>
    <m/>
    <m/>
  </r>
  <r>
    <s v="65270053"/>
    <s v="Středomoravský oblastní šipkový svaz"/>
    <s v="706"/>
    <x v="1"/>
    <x v="3"/>
    <s v="Hulín"/>
    <s v="Kroměříž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5224"/>
    <s v="Střelecký klub HANÁ"/>
    <s v="706"/>
    <x v="1"/>
    <x v="3"/>
    <s v="Kyselovice"/>
    <s v="Kyselovice 225, PSČ 768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81605"/>
    <s v="Střelecký klub KM z.s."/>
    <s v="706"/>
    <x v="1"/>
    <x v="3"/>
    <s v="Kroměříž"/>
    <s v="Kroměříž, Dolnozahradská 1663/3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33039"/>
    <s v="Střelecký klub Oznice, z.s."/>
    <s v="706"/>
    <x v="1"/>
    <x v="1"/>
    <s v="Oznice"/>
    <s v="Oznice 125, PSČ 75624"/>
    <s v="93120"/>
    <s v="Činnosti sportovních klubů"/>
    <m/>
    <m/>
    <m/>
    <m/>
    <m/>
    <m/>
    <m/>
    <m/>
    <m/>
    <m/>
    <m/>
    <m/>
    <m/>
    <m/>
    <m/>
    <m/>
    <m/>
  </r>
  <r>
    <s v="05545463"/>
    <s v="Střelecký klub střelnice MCV Pohořelice, z.s."/>
    <s v="706"/>
    <x v="1"/>
    <x v="0"/>
    <s v="Napajedla"/>
    <s v="Napajedla, Sládkova 1223, PSČ 76361"/>
    <s v="93190"/>
    <s v="Ostatní sportovní činnosti"/>
    <m/>
    <m/>
    <m/>
    <m/>
    <m/>
    <m/>
    <m/>
    <m/>
    <m/>
    <m/>
    <m/>
    <m/>
    <m/>
    <m/>
    <m/>
    <m/>
    <m/>
  </r>
  <r>
    <s v="22749683"/>
    <s v="STŘELECKÝ ODDÍL CBA o.s."/>
    <s v="736"/>
    <x v="0"/>
    <x v="2"/>
    <s v="Bojkovice"/>
    <s v="Bojkovice, Krhov 14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5294"/>
    <s v="Střelecký spolek Hvězda Kroměříž"/>
    <s v="706"/>
    <x v="1"/>
    <x v="3"/>
    <s v="Skaštice"/>
    <s v="Skaštice 13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90501"/>
    <s v="Střelecký spolek Valašské Klobouky"/>
    <s v="706"/>
    <x v="1"/>
    <x v="0"/>
    <s v="Valašské Klobouky"/>
    <s v="Valašské Klobouky, Masarykovo náměstí 103, PSČ 76601"/>
    <s v="93190"/>
    <s v="Ostatní sportovní činnosti"/>
    <m/>
    <m/>
    <m/>
    <m/>
    <m/>
    <m/>
    <m/>
    <m/>
    <m/>
    <m/>
    <m/>
    <m/>
    <m/>
    <m/>
    <m/>
    <m/>
    <m/>
  </r>
  <r>
    <s v="26582295"/>
    <s v="Střelecký svaz Bystřička z.s."/>
    <s v="706"/>
    <x v="1"/>
    <x v="1"/>
    <s v="Bystřička"/>
    <s v="Bystřička 312, PSČ 75624"/>
    <s v="93110"/>
    <s v="Provozování sportovních zařízení"/>
    <m/>
    <m/>
    <m/>
    <m/>
    <m/>
    <m/>
    <m/>
    <m/>
    <m/>
    <m/>
    <m/>
    <m/>
    <m/>
    <m/>
    <m/>
    <m/>
    <m/>
  </r>
  <r>
    <s v="17506093"/>
    <s v="Stříbrná linka z. s."/>
    <s v="706"/>
    <x v="1"/>
    <x v="0"/>
    <s v="Lukov"/>
    <s v="Lukov, U Rybníka 301, PSČ 76317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668152"/>
    <s v="Stříška, zapsaný spolek"/>
    <s v="706"/>
    <x v="1"/>
    <x v="2"/>
    <s v="Uherský Brod"/>
    <s v="Uherský Brod, Havřice, Brodská 1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071908"/>
    <s v="Střítežský vlk z.s."/>
    <s v="706"/>
    <x v="1"/>
    <x v="1"/>
    <s v="Střítež nad Bečvou"/>
    <s v="Střítež nad Bečvou 173, PSČ 75652"/>
    <s v="94995"/>
    <s v="Činnosti environmentálních a ekologických hnutí"/>
    <m/>
    <m/>
    <m/>
    <m/>
    <m/>
    <m/>
    <m/>
    <m/>
    <m/>
    <m/>
    <m/>
    <m/>
    <m/>
    <m/>
    <m/>
    <m/>
    <m/>
  </r>
  <r>
    <s v="26606682"/>
    <s v="Students 4U"/>
    <s v="706"/>
    <x v="1"/>
    <x v="3"/>
    <s v="Kroměříž"/>
    <s v="Kroměříž, Tovačovského 337/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05461"/>
    <s v="Studentská tvůrčí unie"/>
    <s v="706"/>
    <x v="1"/>
    <x v="0"/>
    <s v="Březůvky"/>
    <s v="Březůvky 64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0971"/>
    <s v="Studentská unie fakulty technologické Univerzita Tomáše Bati ve Zlíně"/>
    <s v="706"/>
    <x v="1"/>
    <x v="0"/>
    <s v="Zlín"/>
    <s v="Zlín, T.G.Masaryka 27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6286"/>
    <s v="Studentská unie UTB, z.s."/>
    <s v="706"/>
    <x v="1"/>
    <x v="0"/>
    <s v="Zlín"/>
    <s v="Zlín, Růmy 4046, PSČ 76001"/>
    <s v="94991"/>
    <s v="Činnosti organizací dětí a mládeže"/>
    <m/>
    <m/>
    <m/>
    <m/>
    <m/>
    <m/>
    <m/>
    <m/>
    <m/>
    <m/>
    <m/>
    <m/>
    <m/>
    <m/>
    <m/>
    <m/>
    <m/>
  </r>
  <r>
    <s v="26641364"/>
    <s v="Studentský domov - sdružení rodičů, přátel a studentů Domova mládeže"/>
    <s v="706"/>
    <x v="1"/>
    <x v="3"/>
    <s v="Kroměříž"/>
    <s v="Kroměříž, Na Lindovce 1463/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61898"/>
    <s v="Studentský domov, z. s."/>
    <s v="706"/>
    <x v="1"/>
    <x v="0"/>
    <s v="Zlín"/>
    <s v="Zlín, nám. T. G. Masaryka 270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7641"/>
    <s v="Studentský klub U TeBe"/>
    <s v="706"/>
    <x v="1"/>
    <x v="0"/>
    <s v="Zlín"/>
    <s v="Zlín, Mostní 513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934591"/>
    <s v="Studijní nadace CS Cabot"/>
    <s v="117"/>
    <x v="7"/>
    <x v="1"/>
    <s v="Valašské Meziříčí"/>
    <s v="Valašské Meziříčí, Krásno nad Bečvou, Masarykova 753, PSČ 75701"/>
    <s v="9499"/>
    <s v="Činnosti ostatních organizací sdružujících osoby za účelem prosazování společných zájmů j. n."/>
    <s v="Ostatní vzdělávání j. n."/>
    <m/>
    <m/>
    <m/>
    <m/>
    <m/>
    <m/>
    <m/>
    <m/>
    <m/>
    <m/>
    <m/>
    <m/>
    <m/>
    <m/>
    <m/>
    <m/>
  </r>
  <r>
    <s v="44740867"/>
    <s v="Studijní nadační fond a.s. DEZA"/>
    <s v="118"/>
    <x v="6"/>
    <x v="1"/>
    <s v="Valašské Meziříčí"/>
    <s v="Valašské Meziříčí, Krásno nad Bečvou, Masarykova 75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83737"/>
    <s v="Studio Activity Kroměříž, z.s."/>
    <s v="706"/>
    <x v="1"/>
    <x v="3"/>
    <s v="Chropyně"/>
    <s v="Chropyně, Hrad 459, PSČ 76811"/>
    <s v="93110"/>
    <s v="Provozování sportovních zařízení"/>
    <m/>
    <m/>
    <m/>
    <m/>
    <m/>
    <m/>
    <m/>
    <m/>
    <m/>
    <m/>
    <m/>
    <m/>
    <m/>
    <m/>
    <m/>
    <m/>
    <m/>
  </r>
  <r>
    <s v="22672052"/>
    <s v="Studna extreme riders z. s."/>
    <s v="706"/>
    <x v="1"/>
    <x v="2"/>
    <s v="Uherské Hradiště"/>
    <s v="Uherské Hradiště, Mařatice, Sokolovská 476, PSČ 68601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22605525"/>
    <s v="STUDUJ TO, z. s."/>
    <s v="706"/>
    <x v="1"/>
    <x v="0"/>
    <s v="Zlín"/>
    <s v="Zlín, Zelinova 5589, PSČ 76005"/>
    <s v="94993"/>
    <s v="Činnosti organizací na podporu rekreační a zájmové činnosti"/>
    <s v="Výroba, obchod a služby neuvedené v přílohách 1 až 3 živnostenského zákona"/>
    <s v="Výroba potravinářských výrobků"/>
    <s v="Velkoobchod, kromě motorových vozidel"/>
    <s v="Maloobchod, kromě motorových vozidel"/>
    <s v="Zprostředkování velkoobchodu a velkoobchod v zastoupení"/>
    <s v="Reklamní činnosti"/>
    <s v="Průzkum trhu a veřejného mínění"/>
    <s v="Ostatní profesní, vědecké a technické činnosti j. n."/>
    <s v="Ostatní vzdělávání"/>
    <s v="Ostatní vydavatelské činnosti"/>
    <s v="Pronájem a leasing ostatních výrobků pro osobní potřebu a převážně pro domácnost"/>
    <s v="Univerzální administrativní činnosti"/>
    <s v="Podpůrné činnosti pro scénická umění"/>
    <m/>
    <m/>
    <m/>
    <m/>
  </r>
  <r>
    <s v="71245995"/>
    <s v="SUBARU SPORT SERVICE AČR"/>
    <s v="736"/>
    <x v="0"/>
    <x v="2"/>
    <s v="Hluk"/>
    <s v="Hluk, Prostřední 794, PSČ 68725"/>
    <s v="931"/>
    <s v="Sportovní činnosti"/>
    <m/>
    <m/>
    <m/>
    <m/>
    <m/>
    <m/>
    <m/>
    <m/>
    <m/>
    <m/>
    <m/>
    <m/>
    <m/>
    <m/>
    <m/>
    <m/>
    <m/>
  </r>
  <r>
    <s v="70849188"/>
    <s v="Sucholožský občanský spolek"/>
    <s v="706"/>
    <x v="1"/>
    <x v="2"/>
    <s v="Suchá Loz"/>
    <s v="Suchá Loz 72, PSČ 687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9450"/>
    <s v="SUK o.s."/>
    <s v="706"/>
    <x v="1"/>
    <x v="2"/>
    <s v="Uherské Hradiště"/>
    <s v="Uherské Hradiště, Mařatice, Nad Rybníkem 479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27534"/>
    <s v="SUMUS Plus z. s."/>
    <s v="706"/>
    <x v="1"/>
    <x v="2"/>
    <s v="Staré Město"/>
    <s v="Staré Město, Alšova 1350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8988"/>
    <s v="Sun Jardin o.s."/>
    <s v="706"/>
    <x v="1"/>
    <x v="2"/>
    <s v="Komňa"/>
    <s v="Komňa 164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3866"/>
    <s v="SUPERIOR RIDERS, z.s."/>
    <s v="706"/>
    <x v="1"/>
    <x v="1"/>
    <s v="Rožnov pod Radhoštěm"/>
    <s v="Rožnov pod Radhoštěm, Hážovice 2168, PSČ 75661"/>
    <s v="93110"/>
    <s v="Provozování sportovních zařízení"/>
    <m/>
    <m/>
    <m/>
    <m/>
    <m/>
    <m/>
    <m/>
    <m/>
    <m/>
    <m/>
    <m/>
    <m/>
    <m/>
    <m/>
    <m/>
    <m/>
    <m/>
  </r>
  <r>
    <s v="02103125"/>
    <s v="SUPPORTERS o. s."/>
    <s v="706"/>
    <x v="1"/>
    <x v="2"/>
    <s v="Uherské Hradiště"/>
    <s v="Uherské Hradiště, Rostislavova 670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6755"/>
    <s v="Súsedé, z.s."/>
    <s v="706"/>
    <x v="1"/>
    <x v="3"/>
    <s v="Střílky"/>
    <s v="Střílky, Komná 281, PSČ 768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58263"/>
    <s v="&quot;Svah J. Šperky o.s.&quot;"/>
    <s v="706"/>
    <x v="1"/>
    <x v="0"/>
    <s v="Zlín"/>
    <s v="Zlín, nám. T. G. Masaryka 514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243548"/>
    <s v="Svah Rochus, z.ú."/>
    <s v="161"/>
    <x v="3"/>
    <x v="2"/>
    <s v="Uherské Hradiště"/>
    <s v="Uherské Hradiště, Jarošov, Drahy 406, PSČ 68601"/>
    <s v="9499"/>
    <s v="Činnosti ostatních organizací sdružujících osoby za účelem prosazování společných zájmů j. n."/>
    <s v="Ostatní vzdělávání j. n."/>
    <s v="Provozování sportovních zařízení"/>
    <m/>
    <m/>
    <m/>
    <m/>
    <m/>
    <m/>
    <m/>
    <m/>
    <m/>
    <m/>
    <m/>
    <m/>
    <m/>
    <m/>
    <m/>
  </r>
  <r>
    <s v="21177899"/>
    <s v="Svah Zlín spolek"/>
    <s v="706"/>
    <x v="1"/>
    <x v="3"/>
    <s v="Kroměříž"/>
    <s v="Kroměříž, K Terezovu 4247/5, PSČ 76701"/>
    <s v="9499"/>
    <s v="Činnosti ostatních organizací sdružujících osoby za účelem prosazování společných zájmů j. n."/>
    <s v="Ostatní sportovní činnosti"/>
    <m/>
    <m/>
    <m/>
    <m/>
    <m/>
    <m/>
    <m/>
    <m/>
    <m/>
    <m/>
    <m/>
    <m/>
    <m/>
    <m/>
    <m/>
    <m/>
  </r>
  <r>
    <s v="26560461"/>
    <s v="&quot;Svahovky, o.s.&quot;"/>
    <s v="706"/>
    <x v="1"/>
    <x v="0"/>
    <s v="Zlín"/>
    <s v="Zlín, Krátká 1930/3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2999"/>
    <s v="Svaťa Božák ultracycling"/>
    <s v="706"/>
    <x v="1"/>
    <x v="1"/>
    <s v="Rožnov pod Radhoštěm"/>
    <s v="Rožnov pod Radhoštěm, Tylovice 272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14272"/>
    <s v="Svatá Sidonie, z.s."/>
    <s v="706"/>
    <x v="1"/>
    <x v="0"/>
    <s v="Brumov-Bylnice"/>
    <s v="Brumov-Bylnice, Sidonie 35, PSČ 7633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70096"/>
    <s v="Svaz chovatelů a příznivců moravského teplokrevníka z. s."/>
    <s v="706"/>
    <x v="1"/>
    <x v="3"/>
    <s v="Zdounky"/>
    <s v="Zdounky, Lebedov 108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042583"/>
    <s v="Svaz diabetiků ČR - územní organizace Val.Meziř."/>
    <s v="736"/>
    <x v="0"/>
    <x v="1"/>
    <s v="Valašské Meziříčí"/>
    <s v="Valašské Meziříčí,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63459558"/>
    <s v="Svaz diabetiků ČR, pobočný spolek Kroměříž"/>
    <s v="736"/>
    <x v="0"/>
    <x v="3"/>
    <s v="Kvasice"/>
    <s v="Kvasice, Husova 559, PSČ 7682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49563327"/>
    <s v="Svaz diabetiků ČR, pobočný spolek Vsetín"/>
    <s v="736"/>
    <x v="0"/>
    <x v="1"/>
    <s v="Vsetín"/>
    <s v="Vsetín, Pod Žamboškou 1579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1716936"/>
    <s v="Svaz diabetiků ČR, pobočný spolek Zlín"/>
    <s v="736"/>
    <x v="0"/>
    <x v="0"/>
    <s v="Zlín"/>
    <s v="Zlín, Podvesná XIV 5922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640513"/>
    <s v="Svaz diabetiků ČR, územní organizace Rožnov pod Radhoštěm"/>
    <s v="736"/>
    <x v="0"/>
    <x v="1"/>
    <s v="Rožnov pod Radhoštěm"/>
    <s v="Rožnov pod Radhoštěm, Valašská 1658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4024"/>
    <s v="Svaz diabetiků ČR, územní organizace Uh. Brod"/>
    <s v="736"/>
    <x v="0"/>
    <x v="2"/>
    <s v="Vlčnov"/>
    <s v="Vlčnov 727, PSČ 687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921472"/>
    <s v="Svaz dobrovolných záchranářů Otrokovice, z.s."/>
    <s v="706"/>
    <x v="1"/>
    <x v="0"/>
    <s v="Otrokovice"/>
    <s v="Otrokovice, J. Jabůrkové 1427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3844"/>
    <s v="Svaz mládeže Lechotice"/>
    <s v="706"/>
    <x v="1"/>
    <x v="3"/>
    <s v="Lechotice"/>
    <s v="Lechotice"/>
    <s v="94991"/>
    <s v="Činnosti organizací dětí a mládeže"/>
    <m/>
    <m/>
    <m/>
    <m/>
    <m/>
    <m/>
    <m/>
    <m/>
    <m/>
    <m/>
    <m/>
    <m/>
    <m/>
    <m/>
    <m/>
    <m/>
    <m/>
  </r>
  <r>
    <s v="26540711"/>
    <s v="Svaz Moravanů"/>
    <s v="706"/>
    <x v="1"/>
    <x v="2"/>
    <s v="Uherský Ostroh"/>
    <s v="Uherský Ostroh, Ostrožské Předměstí, Veselská 724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38981"/>
    <s v="Svaz Motokrosu Boršice, z.s."/>
    <s v="706"/>
    <x v="1"/>
    <x v="2"/>
    <s v="Boršice"/>
    <s v="Boršice č. ev. 116, PSČ 6870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28681"/>
    <s v="Svaz neslyšících a nedoslýchavých osob v ČR, z.s.,  Základní organizace Vsetín, p.s."/>
    <s v="736"/>
    <x v="0"/>
    <x v="1"/>
    <s v="Vsetín"/>
    <s v="Vsetín, Smetanova 1484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232362"/>
    <s v="Svaz neslyšících a nedoslýchavých osob v ČR, z.s., Základní organizace nedoslýchavých Zlín, p.s."/>
    <s v="736"/>
    <x v="0"/>
    <x v="0"/>
    <s v="Tečovice"/>
    <s v="Tečovice 105, PSČ 763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46308938"/>
    <s v="Svaz neslyšících a nedoslýchavých osob v ČR, z.s., Zlínský spolek neslyšících, p.s."/>
    <s v="736"/>
    <x v="0"/>
    <x v="0"/>
    <s v="Zlín"/>
    <s v="Zlín, Gahurova 5265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4422453"/>
    <s v="Svaz postižených civilizačními chorobami ČR, z.s., Základní organizace Kroměříž"/>
    <s v="736"/>
    <x v="0"/>
    <x v="3"/>
    <s v="Kroměříž"/>
    <s v="Kroměříž, Velehradská 625/4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2182790"/>
    <s v="Svaz postižených civilizačními chorobami v ČR - základní organizace KARDI Zlín"/>
    <s v="736"/>
    <x v="0"/>
    <x v="0"/>
    <s v="Zlín"/>
    <s v="Zlín, Dolní 222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15682"/>
    <s v="Svaz postižených civilizačními chorobami v ČR, o.s. Okresní organizace Kroměříž"/>
    <s v="736"/>
    <x v="0"/>
    <x v="3"/>
    <s v="Kroměříž"/>
    <s v="Kroměříž, Velehradská 625/4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1891"/>
    <s v="Svaz postižených civilizačními chorobami v ČR, o.s. základní organizace ROSKA Zlín"/>
    <s v="736"/>
    <x v="0"/>
    <x v="0"/>
    <s v="Zlín"/>
    <s v="Zlín, Kudlov, Skalka I 21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1475"/>
    <s v="Svaz postižených civilizačními chorobami v ČR, základní organizace Onko Zlín"/>
    <s v="736"/>
    <x v="0"/>
    <x v="0"/>
    <s v="Zlín"/>
    <s v="Zlín, Dlouhá 16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8225"/>
    <s v="Svaz postižených civilizačními chorobami v ČR, z.s.,  základní organizace RESPI Zlín"/>
    <s v="736"/>
    <x v="0"/>
    <x v="0"/>
    <s v="Zlín"/>
    <s v="Zlín, 2. května 4099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925402"/>
    <s v="Svaz postižených civilizačními chorobami v ČR, z.s. Krajská organizace Zlín"/>
    <s v="736"/>
    <x v="0"/>
    <x v="2"/>
    <s v="Boršice"/>
    <s v="Boršice 698, PSČ 68709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2831704"/>
    <s v="Svaz postižených civilizačními chorobami v ČR, z.s. okresní organizace Uherské Hradiště"/>
    <s v="736"/>
    <x v="0"/>
    <x v="2"/>
    <s v="Boršice"/>
    <s v="Boršice 698, PSČ 68709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2334417"/>
    <s v="Svaz postižených civilizačními chorobami v ČR, z.s. okresní organizace Vsetín"/>
    <s v="736"/>
    <x v="0"/>
    <x v="1"/>
    <s v="Halenkov"/>
    <s v="Halenkov 655, PSČ 7560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2182030"/>
    <s v="Svaz postižených civilizačními chorobami v ČR, z.s., Okresní organizace Zlín"/>
    <s v="736"/>
    <x v="0"/>
    <x v="0"/>
    <s v="Zlín"/>
    <s v="Zlín-Příluky, Zborovská 416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164987"/>
    <s v="Svaz postižených civilizačními chorobami v ČR, z.s., základní organizace Bílovice"/>
    <s v="736"/>
    <x v="0"/>
    <x v="2"/>
    <s v="Bílovice"/>
    <s v="Bílovice 80, PSČ 6871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5326491"/>
    <s v="Svaz postižených civilizačními chorobami v ČR, z.s. základní organizace Boršice"/>
    <s v="736"/>
    <x v="0"/>
    <x v="2"/>
    <s v="Boršice"/>
    <s v="Boršice 698, PSČ 68709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8726589"/>
    <s v="Svaz postižených civilizačními chorobami v ČR, z.s., základní organizace diabetiků Zlín"/>
    <s v="736"/>
    <x v="0"/>
    <x v="0"/>
    <s v="Zlín"/>
    <s v="Zlín, Slunečná 4556, PSČ 760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038358"/>
    <s v="Svaz postižených civilizačními chorobami v ČR, z.s. základní organizace Halenkov"/>
    <s v="736"/>
    <x v="0"/>
    <x v="1"/>
    <s v="Halenkov"/>
    <s v="Halenkov 701, PSČ 7560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013258"/>
    <s v="Svaz postižených civilizačními chorobami v ČR, z.s. základní organizace Karolinka"/>
    <s v="736"/>
    <x v="0"/>
    <x v="1"/>
    <s v="Karolinka"/>
    <s v="Karolinka, U školy 549, PSČ 756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013304"/>
    <s v="Svaz postižených civilizačními chorobami v ČR, z.s., základní organizace Koryčany"/>
    <s v="736"/>
    <x v="0"/>
    <x v="3"/>
    <s v="Koryčany"/>
    <s v="Koryčany, Lískovec 141, PSČ 768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803986"/>
    <s v="Svaz postižených civilizačními chorobami v ČR, z.s. základní organizace Medlovice"/>
    <s v="736"/>
    <x v="0"/>
    <x v="2"/>
    <s v="Medlovice"/>
    <s v="Medlovice 160, PSČ 6874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3214507"/>
    <s v="Svaz postižených civilizačními chorobami v ČR, z.s., základní organizace Růžďka"/>
    <s v="736"/>
    <x v="0"/>
    <x v="1"/>
    <s v="Růžďka"/>
    <s v="Růžďka 75, PSČ 7562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833620"/>
    <s v="Svaz postižených civilizačními chorobami v ČR, z.s. základní organizace Uherský Ostroh"/>
    <s v="736"/>
    <x v="0"/>
    <x v="2"/>
    <s v="Uherský Ostroh"/>
    <s v="Uherský Ostroh, Ostrožské Předměstí, Výhon 307, PSČ 6872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2334409"/>
    <s v="Svaz postižených civilizačními chorobami v ČR, z.s. základní organizace Valašské Meziříčí"/>
    <s v="736"/>
    <x v="0"/>
    <x v="1"/>
    <s v="Valašské Meziříčí"/>
    <s v="Valašské Meziříčí, Krásno nad Bečvou, Vodní 59/5, PSČ 75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910421"/>
    <s v="Svaz postižených civilizačními chorobami v ČR, z.s., základní organizace Velehrad"/>
    <s v="736"/>
    <x v="0"/>
    <x v="2"/>
    <s v="Velehrad"/>
    <s v="Velehrad, Hradišťská 231, PSČ 68706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5793064"/>
    <s v="Svaz postižených civilizačními chorobami v ČR, z.s. základní organizace VERTEBRO Zlín"/>
    <s v="736"/>
    <x v="0"/>
    <x v="0"/>
    <s v="Zlín"/>
    <s v="Zlín, Příluky, Zborovská 4163, PSČ 760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5325753"/>
    <s v="Svaz postižených civilizačními chorobami v ČR, z.s. základní organizace Vlčnov"/>
    <s v="736"/>
    <x v="0"/>
    <x v="2"/>
    <s v="Vlčnov"/>
    <s v="Vlčnov 124, PSČ 6876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2334654"/>
    <s v="Svaz postižených civilizačními chorobami v ČR, z.s. základní organizace Vsetín"/>
    <s v="736"/>
    <x v="0"/>
    <x v="1"/>
    <s v="Vsetín"/>
    <s v="Vsetín, Semetín 1704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171401"/>
    <s v="Svaz postižených civilizačními chorobami v ČR, z.s.základní organizace Jablůnka"/>
    <s v="736"/>
    <x v="0"/>
    <x v="1"/>
    <s v="Jablůnka"/>
    <s v="Jablůnka 341, PSČ 7562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806667"/>
    <s v="Svaz postižených civilizačními chorobami v ČR,z.s. základní organizace Hluk"/>
    <s v="736"/>
    <x v="0"/>
    <x v="2"/>
    <s v="Hluk"/>
    <s v="Hluk, Hlavní 63, PSČ 6872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036584"/>
    <s v="Svaz postižených civilizačními chorobami v ČR,z.s.základní organizace Staré Město"/>
    <s v="736"/>
    <x v="0"/>
    <x v="2"/>
    <s v="Staré Město"/>
    <s v="Staré Město, Komenského 1651, PSČ 6860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1303112"/>
    <s v="Svaz psovodů s handicapem, o.s."/>
    <s v="706"/>
    <x v="1"/>
    <x v="3"/>
    <s v="Kroměříž"/>
    <s v="Kroměříž, Kotojedská 2807/22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536865"/>
    <s v="Svaz sálového fotbalu ČR - Futsal"/>
    <s v="706"/>
    <x v="1"/>
    <x v="3"/>
    <s v="Kvasice"/>
    <s v="Kvasice, Husova 627, PSČ 76821"/>
    <s v="93110"/>
    <s v="Provozování sportovních zařízení"/>
    <m/>
    <m/>
    <m/>
    <m/>
    <m/>
    <m/>
    <m/>
    <m/>
    <m/>
    <m/>
    <m/>
    <m/>
    <m/>
    <m/>
    <m/>
    <m/>
    <m/>
  </r>
  <r>
    <s v="19854901"/>
    <s v="Svaz skautů a skautek České republiky 10. oddíl oldskautů Fryšták, z.s."/>
    <s v="736"/>
    <x v="0"/>
    <x v="0"/>
    <s v="Fryšták"/>
    <s v="Fryšták, P. I. Stuchlého 25, PSČ 76316"/>
    <s v="94991"/>
    <s v="Činnosti organizací dětí a mládeže"/>
    <m/>
    <m/>
    <m/>
    <m/>
    <m/>
    <m/>
    <m/>
    <m/>
    <m/>
    <m/>
    <m/>
    <m/>
    <m/>
    <m/>
    <m/>
    <m/>
    <m/>
  </r>
  <r>
    <s v="71245928"/>
    <s v="Svaz skautů a skautek České Republiky, 5. oddíl skautů Fryšták, z.s."/>
    <s v="736"/>
    <x v="0"/>
    <x v="0"/>
    <s v="Fryšták"/>
    <s v="Fryšták, P. I. Stuchlého 25, PSČ 76316"/>
    <s v="94991"/>
    <s v="Činnosti organizací dětí a mládeže"/>
    <m/>
    <m/>
    <m/>
    <m/>
    <m/>
    <m/>
    <m/>
    <m/>
    <m/>
    <m/>
    <m/>
    <m/>
    <m/>
    <m/>
    <m/>
    <m/>
    <m/>
  </r>
  <r>
    <s v="47934824"/>
    <s v="Svaz technických sportů a činností SOU zemědělského Kroměříž"/>
    <s v="706"/>
    <x v="1"/>
    <x v="3"/>
    <s v="Kroměříž"/>
    <s v="Kroměříž"/>
    <s v="93110"/>
    <s v="Provozování sportovních zařízení"/>
    <m/>
    <m/>
    <m/>
    <m/>
    <m/>
    <m/>
    <m/>
    <m/>
    <m/>
    <m/>
    <m/>
    <m/>
    <m/>
    <m/>
    <m/>
    <m/>
    <m/>
  </r>
  <r>
    <s v="47935359"/>
    <s v="Svaz technických sportů &quot;Morava&quot; Střílky, z.s."/>
    <s v="706"/>
    <x v="1"/>
    <x v="3"/>
    <s v="Střílky"/>
    <s v="Střílky, Hlavní 12, PSČ 76804"/>
    <s v="93190"/>
    <s v="Ostatní sportovní činnosti"/>
    <m/>
    <m/>
    <m/>
    <m/>
    <m/>
    <m/>
    <m/>
    <m/>
    <m/>
    <m/>
    <m/>
    <m/>
    <m/>
    <m/>
    <m/>
    <m/>
    <m/>
  </r>
  <r>
    <s v="70925658"/>
    <s v="Svaz tělesně postižených v České republice, o.s., krajská organizace Zlínského kraje"/>
    <s v="736"/>
    <x v="0"/>
    <x v="0"/>
    <s v="Zlín"/>
    <s v="Zlín, Podlesí IV 5348, PSČ 760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037360"/>
    <s v="Svaz tělesně postižených v České republice, o.s., místní organizace Valašské Klobouky"/>
    <s v="736"/>
    <x v="0"/>
    <x v="0"/>
    <s v="Valašské Klobouky"/>
    <s v="Valašské Klobouky, U Náhonu 100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227"/>
    <s v="Svaz tělesně postižených v České republice, o.s., místní organizace Valašské Meziříčí"/>
    <s v="736"/>
    <x v="0"/>
    <x v="1"/>
    <s v="Valašské Meziříčí"/>
    <s v="Valašské Meziříčí, Krásno nad Bečvou, Zašovská 78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28194"/>
    <s v="Svaz tělesně postižených v České republice, o.s., okresní organizace Kroměříž"/>
    <s v="736"/>
    <x v="0"/>
    <x v="3"/>
    <s v="Kroměříž"/>
    <s v="Kroměříž, Velehradská 625/4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118424"/>
    <s v="Svaz tělesně postižených v České republice z. s. místní organizace Chropyně"/>
    <s v="736"/>
    <x v="0"/>
    <x v="3"/>
    <s v="Chropyně"/>
    <s v="Chropyně, Moravská 611, PSČ 7681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152652"/>
    <s v="Svaz tělesně postižených v České republice z. s. místní organizace Halenkovice"/>
    <s v="736"/>
    <x v="0"/>
    <x v="0"/>
    <s v="Halenkovice"/>
    <s v="Halenkovice 76, PSČ 7636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53225"/>
    <s v="Svaz tělesně postižených v České republice z. s. místní organizace Kunovice"/>
    <s v="736"/>
    <x v="0"/>
    <x v="2"/>
    <s v="Kunovice"/>
    <s v="Kunovice, Osvobození 1157, PSČ 6860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158405"/>
    <s v="Svaz tělesně postižených v České republice z. s. místní organizace Luhačovice"/>
    <s v="736"/>
    <x v="0"/>
    <x v="0"/>
    <s v="Dolní Lhota"/>
    <s v="Dolní Lhota 29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154141"/>
    <s v="Svaz tělesně postižených v České republice z. s. místní organizace Napajedla"/>
    <s v="736"/>
    <x v="0"/>
    <x v="0"/>
    <s v="Napajedla"/>
    <s v="Napajedla, Sadová 1554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3214434"/>
    <s v="Svaz tělesně postižených v České republice z. s. místní organizace Rožnov pod Radhoštěm"/>
    <s v="736"/>
    <x v="0"/>
    <x v="1"/>
    <s v="Rožnov pod Radhoštěm"/>
    <s v="Rožnov pod Radhoštěm, 1. máje 1000, PSČ 7566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213953"/>
    <s v="Svaz tělesně postižených v České republice z. s. místní organizace Staré Město"/>
    <s v="736"/>
    <x v="0"/>
    <x v="2"/>
    <s v="Staré Město"/>
    <s v="Staré Město, Komenského 1651, PSČ 6860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208232"/>
    <s v="Svaz tělesně postižených v České republice z. s. místní organizace Uherské Hradiště"/>
    <s v="736"/>
    <x v="0"/>
    <x v="2"/>
    <s v="Uherské Hradiště"/>
    <s v="Uherské Hradiště, Tř. Maršála Malinovského 880, PSČ 686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1190473"/>
    <s v="Svaz tělesně postižených v České republice z. s. místní organizace Velehrad"/>
    <s v="736"/>
    <x v="0"/>
    <x v="2"/>
    <s v="Velehrad"/>
    <s v="Velehrad, Hradišťská 231, PSČ 68706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6184266"/>
    <s v="Svaz tělesně postižených v České republice z. s. místní organizace Vsetín"/>
    <s v="736"/>
    <x v="0"/>
    <x v="1"/>
    <s v="Vsetín"/>
    <s v="Vsetín, Tyršova 1271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86552872"/>
    <s v="Svaz tělesně postižených v České republice z. s. místní organizace Zlín"/>
    <s v="736"/>
    <x v="0"/>
    <x v="0"/>
    <s v="Zlín"/>
    <s v="Zlín, Podlesí IV 5348, PSČ 760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18188052"/>
    <s v="Svaz tělesně postižených v České republice z. s. místní organizace 1 Kroměříž"/>
    <s v="736"/>
    <x v="0"/>
    <x v="3"/>
    <s v="Kroměříž"/>
    <s v="Kroměříž, Velehradská 625/4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820139"/>
    <s v="Svaz tělesně postižených v České republice z. s. místní organizace 2 Kroměříž"/>
    <s v="736"/>
    <x v="0"/>
    <x v="3"/>
    <s v="Kroměříž"/>
    <s v="Kroměříž, Velehradská 625/4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2830392"/>
    <s v="Svaz tělesně postižených v České republice z. s. okresní organizace Uherské Hradiště"/>
    <s v="736"/>
    <x v="0"/>
    <x v="2"/>
    <s v="Uherské Hradiště"/>
    <s v="Uherské Hradiště, Palackého náměstí 293, PSČ 686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4124070"/>
    <s v="Svaz tělesně postižených v České republice z. s. okresní organizace Vsetín"/>
    <s v="736"/>
    <x v="0"/>
    <x v="1"/>
    <s v="Vsetín"/>
    <s v="Vsetín, Tyršova 1271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2181017"/>
    <s v="Svaz tělesně postižených v České republice z. s. okresní organizace Zlín"/>
    <s v="736"/>
    <x v="0"/>
    <x v="0"/>
    <s v="Zlín"/>
    <s v="Zlín, Podlesí IV 5348, PSČ 76005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012766"/>
    <s v="Svaz tělesně postižených v ČR Nivnice"/>
    <s v="736"/>
    <x v="0"/>
    <x v="2"/>
    <s v="Nivnice"/>
    <s v="Nivnice, Komenského 126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0021"/>
    <s v="SVAZ TĚŠÁNSKÝCH BOJOVNÍKŮ TĚŠÁNKY- SÁLOVÁ KOPANÁ"/>
    <s v="736"/>
    <x v="0"/>
    <x v="3"/>
    <s v="Zdounky"/>
    <s v="Zdounky,"/>
    <s v="93110"/>
    <s v="Provozování sportovních zařízení"/>
    <m/>
    <m/>
    <m/>
    <m/>
    <m/>
    <m/>
    <m/>
    <m/>
    <m/>
    <m/>
    <m/>
    <m/>
    <m/>
    <m/>
    <m/>
    <m/>
    <m/>
  </r>
  <r>
    <s v="02445158"/>
    <s v="Svaz valašských soukromých podnikatelů"/>
    <s v="706"/>
    <x v="1"/>
    <x v="1"/>
    <s v="Vsetín"/>
    <s v="Vset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0479"/>
    <s v="Svaz vodáků České republiky, klub vodáků Akvatechnika Zlín, p.s."/>
    <s v="736"/>
    <x v="0"/>
    <x v="0"/>
    <s v="Zlín"/>
    <s v="Zlín, Podvesná VII 3092, PSČ 76001"/>
    <s v="931"/>
    <s v="Sportovní činnosti"/>
    <m/>
    <m/>
    <m/>
    <m/>
    <m/>
    <m/>
    <m/>
    <m/>
    <m/>
    <m/>
    <m/>
    <m/>
    <m/>
    <m/>
    <m/>
    <m/>
    <m/>
  </r>
  <r>
    <s v="26999447"/>
    <s v="Svaz výrobců a distributorů stavebních a nátěrových hmot"/>
    <s v="706"/>
    <x v="1"/>
    <x v="0"/>
    <s v="Zlín"/>
    <s v="Zlín, Nad Ovčírnou V 1778/1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9341"/>
    <s v="Svaz výrobců, zpracovatelů a montážníků úsporných energetických technologií, o. s."/>
    <s v="706"/>
    <x v="1"/>
    <x v="3"/>
    <s v="Kroměříž"/>
    <s v="Kroměříž, Kotojedská 2588/91, PSČ 76701"/>
    <s v="94120"/>
    <s v="Činnosti profesních organizací"/>
    <m/>
    <m/>
    <m/>
    <m/>
    <m/>
    <m/>
    <m/>
    <m/>
    <m/>
    <m/>
    <m/>
    <m/>
    <m/>
    <m/>
    <m/>
    <m/>
    <m/>
  </r>
  <r>
    <s v="07674805"/>
    <s v="Svět bez hladu, z.s."/>
    <s v="706"/>
    <x v="1"/>
    <x v="2"/>
    <s v="Uherské Hradiště"/>
    <s v="Uherské Hradiště, Mariánské náměstí 7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1130"/>
    <s v="SVĚTLOVÁNEK z.s."/>
    <s v="706"/>
    <x v="1"/>
    <x v="2"/>
    <s v="Bojkovice"/>
    <s v="Bojkovice, Jiráskova 452, PSČ 68771"/>
    <s v="90030"/>
    <s v="Umělecká tvorba"/>
    <m/>
    <m/>
    <m/>
    <m/>
    <m/>
    <m/>
    <m/>
    <m/>
    <m/>
    <m/>
    <m/>
    <m/>
    <m/>
    <m/>
    <m/>
    <m/>
    <m/>
  </r>
  <r>
    <s v="27008673"/>
    <s v="Světský řád Černí myslivci pobeskydští - SRŘ ČMP"/>
    <s v="706"/>
    <x v="1"/>
    <x v="1"/>
    <s v="Rožnov pod Radhoštěm"/>
    <s v="Rožnov pod Radhoštěm 1678, PSČ 756 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6063"/>
    <s v="SVÍTÁNÍ-Mikulůvka"/>
    <s v="706"/>
    <x v="1"/>
    <x v="1"/>
    <s v="Mikulůvka"/>
    <s v="Mikulůvka 61, PSČ 756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211719"/>
    <s v="Svobodní Kroměřížané, z.s."/>
    <s v="706"/>
    <x v="1"/>
    <x v="3"/>
    <s v="Kroměříž"/>
    <s v="Kroměříž, Žerotínova 2915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061045"/>
    <s v="SWAP ZLÍN, z.s."/>
    <s v="706"/>
    <x v="1"/>
    <x v="0"/>
    <s v="Zlín"/>
    <s v="Zlín, Malenovice, Tyršova 726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727832"/>
    <s v="Swedenborská společnost"/>
    <s v="706"/>
    <x v="1"/>
    <x v="1"/>
    <s v="Karolinka"/>
    <s v="Karolinka, Rybízovna 51, PSČ 75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9736"/>
    <s v="Swim Masters Zlín z. s."/>
    <s v="706"/>
    <x v="1"/>
    <x v="0"/>
    <s v="Zlín"/>
    <s v="Zlín, Lazy IV 3875, PSČ 76001"/>
    <s v="93120"/>
    <s v="Činnosti sportovních klubů"/>
    <m/>
    <m/>
    <m/>
    <m/>
    <m/>
    <m/>
    <m/>
    <m/>
    <m/>
    <m/>
    <m/>
    <m/>
    <m/>
    <m/>
    <m/>
    <m/>
    <m/>
  </r>
  <r>
    <s v="22736166"/>
    <s v="Swing Band Zubří Jindřicha Dořičáka, z.s."/>
    <s v="706"/>
    <x v="1"/>
    <x v="1"/>
    <s v="Zubří"/>
    <s v="Zubří, U Bečvy 685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25685"/>
    <s v="Swing Dance z.s."/>
    <s v="706"/>
    <x v="1"/>
    <x v="1"/>
    <s v="Valašské Meziříčí"/>
    <s v="Valašské Meziříčí, Kálalova 993, PSČ 75701"/>
    <s v="90010"/>
    <s v="Scénická umění"/>
    <m/>
    <m/>
    <m/>
    <m/>
    <m/>
    <m/>
    <m/>
    <m/>
    <m/>
    <m/>
    <m/>
    <m/>
    <m/>
    <m/>
    <m/>
    <m/>
    <m/>
  </r>
  <r>
    <s v="66597293"/>
    <s v="Syndikát novinářů Zlínského kraje"/>
    <s v="736"/>
    <x v="0"/>
    <x v="0"/>
    <s v="Zlín"/>
    <s v="Zlín, Kvítková 4703, PSČ 76001"/>
    <s v="94120"/>
    <s v="Činnosti profesních organizací"/>
    <m/>
    <m/>
    <m/>
    <m/>
    <m/>
    <m/>
    <m/>
    <m/>
    <m/>
    <m/>
    <m/>
    <m/>
    <m/>
    <m/>
    <m/>
    <m/>
    <m/>
  </r>
  <r>
    <s v="08546631"/>
    <s v="Šachová škola Rošáda, z. s."/>
    <s v="706"/>
    <x v="1"/>
    <x v="2"/>
    <s v="Kostelany nad Moravou"/>
    <s v="Kostelany nad Moravou 327, PSČ 68601"/>
    <s v="93190"/>
    <s v="Ostatní sportovní činnosti"/>
    <m/>
    <m/>
    <m/>
    <m/>
    <m/>
    <m/>
    <m/>
    <m/>
    <m/>
    <m/>
    <m/>
    <m/>
    <m/>
    <m/>
    <m/>
    <m/>
    <m/>
  </r>
  <r>
    <s v="19558554"/>
    <s v="Šachový klub Bystřice pod Hostýnem, z. s."/>
    <s v="706"/>
    <x v="1"/>
    <x v="3"/>
    <s v="Bystřice pod Hostýnem"/>
    <s v="Bystřice pod Hostýnem, Čs. brigády 147, PSČ 76861"/>
    <s v="93120"/>
    <s v="Činnosti sportovních klubů"/>
    <s v="Pronájem a správa vlastních nebo pronajatých nemovitostí"/>
    <m/>
    <m/>
    <m/>
    <m/>
    <m/>
    <m/>
    <m/>
    <m/>
    <m/>
    <m/>
    <m/>
    <m/>
    <m/>
    <m/>
    <m/>
    <m/>
  </r>
  <r>
    <s v="03364496"/>
    <s v="Šachový Klub Rajnochovice z.s."/>
    <s v="706"/>
    <x v="1"/>
    <x v="3"/>
    <s v="Rajnochovice"/>
    <s v="Rajnochovice 155, PSČ 768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2001"/>
    <s v="Šachový klub Staré Město, z.s."/>
    <s v="706"/>
    <x v="1"/>
    <x v="2"/>
    <s v="Staré Město"/>
    <s v="Staré Město, Brněnská 1249, PSČ 68603"/>
    <s v="93110"/>
    <s v="Provozování sportovních zařízení"/>
    <m/>
    <m/>
    <m/>
    <m/>
    <m/>
    <m/>
    <m/>
    <m/>
    <m/>
    <m/>
    <m/>
    <m/>
    <m/>
    <m/>
    <m/>
    <m/>
    <m/>
  </r>
  <r>
    <s v="04248431"/>
    <s v="Šachový klub Valašské Klobouky z.s."/>
    <s v="706"/>
    <x v="1"/>
    <x v="0"/>
    <s v="Valašské Klobouky"/>
    <s v="Valašské Klobouky, Sušilova 401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83977"/>
    <s v="Šachový klub Vsetín, z. s."/>
    <s v="706"/>
    <x v="1"/>
    <x v="1"/>
    <s v="Vsetín"/>
    <s v="Vsetín, Na Výšině 406, PSČ 75501"/>
    <s v="93190"/>
    <s v="Ostatní sportovní činnosti"/>
    <m/>
    <m/>
    <m/>
    <m/>
    <m/>
    <m/>
    <m/>
    <m/>
    <m/>
    <m/>
    <m/>
    <m/>
    <m/>
    <m/>
    <m/>
    <m/>
    <m/>
  </r>
  <r>
    <s v="22846883"/>
    <s v="Šachový klub Zlín-Malenovice, z.s."/>
    <s v="706"/>
    <x v="1"/>
    <x v="0"/>
    <s v="Zlín"/>
    <s v="Zlín, Malenovice, Lidická 363, PSČ 76302"/>
    <s v="93120"/>
    <s v="Činnosti sportovních klubů"/>
    <m/>
    <m/>
    <m/>
    <m/>
    <m/>
    <m/>
    <m/>
    <m/>
    <m/>
    <m/>
    <m/>
    <m/>
    <m/>
    <m/>
    <m/>
    <m/>
    <m/>
  </r>
  <r>
    <s v="26600790"/>
    <s v="Šachový oddíl Kunovice, z.s."/>
    <s v="706"/>
    <x v="1"/>
    <x v="2"/>
    <s v="Kunovice"/>
    <s v="Kunovice, Za Stodolami 1490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100911"/>
    <s v="Šachový oddíl Mařatice, z. s."/>
    <s v="706"/>
    <x v="1"/>
    <x v="2"/>
    <s v="Uherské Hradiště"/>
    <s v="Uherské Hradiště, Sady, Jabloňová 437, PSČ 68605"/>
    <s v="93190"/>
    <s v="Ostatní sportovní činnosti"/>
    <m/>
    <m/>
    <m/>
    <m/>
    <m/>
    <m/>
    <m/>
    <m/>
    <m/>
    <m/>
    <m/>
    <m/>
    <m/>
    <m/>
    <m/>
    <m/>
    <m/>
  </r>
  <r>
    <s v="68898355"/>
    <s v="Šachový oddíl TJ Karolinka, z.s."/>
    <s v="706"/>
    <x v="1"/>
    <x v="1"/>
    <s v="Karolinka"/>
    <s v="Karolinka, U Sokolovny 81, PSČ 75605"/>
    <s v="931"/>
    <s v="Sportovní činnosti"/>
    <m/>
    <m/>
    <m/>
    <m/>
    <m/>
    <m/>
    <m/>
    <m/>
    <m/>
    <m/>
    <m/>
    <m/>
    <m/>
    <m/>
    <m/>
    <m/>
    <m/>
  </r>
  <r>
    <s v="70975116"/>
    <s v="Šachový svaz Zlínského kraje"/>
    <s v="736"/>
    <x v="0"/>
    <x v="0"/>
    <s v="Zlín"/>
    <s v="Zlín, Hradská 854, PSČ 76001"/>
    <s v="93190"/>
    <s v="Ostatní sportovní činnosti"/>
    <m/>
    <m/>
    <m/>
    <m/>
    <m/>
    <m/>
    <m/>
    <m/>
    <m/>
    <m/>
    <m/>
    <m/>
    <m/>
    <m/>
    <m/>
    <m/>
    <m/>
  </r>
  <r>
    <s v="05379318"/>
    <s v="Šachy Hošťálková z.s."/>
    <s v="706"/>
    <x v="1"/>
    <x v="1"/>
    <s v="Hošťálková"/>
    <s v="Hošťálková 380, PSČ 75622"/>
    <s v="9319"/>
    <s v="Ostatní sportovní činnosti"/>
    <m/>
    <m/>
    <m/>
    <m/>
    <m/>
    <m/>
    <m/>
    <m/>
    <m/>
    <m/>
    <m/>
    <m/>
    <m/>
    <m/>
    <m/>
    <m/>
    <m/>
  </r>
  <r>
    <s v="22884653"/>
    <s v="ŠANCE PRO NAŠE DĚTI z.s."/>
    <s v="706"/>
    <x v="1"/>
    <x v="1"/>
    <s v="Valašské Meziříčí"/>
    <s v="Valašské Meziříčí, Křížkovského 60/8, PSČ 75701"/>
    <s v="94999"/>
    <s v="Činnosti ostatních organizací j. n."/>
    <m/>
    <m/>
    <m/>
    <m/>
    <m/>
    <m/>
    <m/>
    <m/>
    <m/>
    <m/>
    <m/>
    <m/>
    <m/>
    <m/>
    <m/>
    <m/>
    <m/>
  </r>
  <r>
    <s v="19400446"/>
    <s v="Šance pro pohyb, nadační fond"/>
    <s v="118"/>
    <x v="6"/>
    <x v="2"/>
    <s v="Zlechov"/>
    <s v="Zlechov 64, PSČ 68710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0876185"/>
    <s v="Šance pro život, z. s."/>
    <s v="706"/>
    <x v="1"/>
    <x v="0"/>
    <s v="Otrokovice"/>
    <s v="Otrokovice, tř. Tomáše Bati 1290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0538"/>
    <s v="Šance UB, z. s."/>
    <s v="706"/>
    <x v="1"/>
    <x v="2"/>
    <s v="Vlčnov"/>
    <s v="Vlčnov 709, PSČ 68761"/>
    <s v="94999"/>
    <s v="Činnosti ostatních organizací j. n."/>
    <m/>
    <m/>
    <m/>
    <m/>
    <m/>
    <m/>
    <m/>
    <m/>
    <m/>
    <m/>
    <m/>
    <m/>
    <m/>
    <m/>
    <m/>
    <m/>
    <m/>
  </r>
  <r>
    <s v="26609789"/>
    <s v="ŠAROVEC, z.s."/>
    <s v="706"/>
    <x v="1"/>
    <x v="2"/>
    <s v="Hluk"/>
    <s v="Hluk, Vyšehradská 907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27141"/>
    <s v="Šarovská chasa, spolek"/>
    <s v="706"/>
    <x v="1"/>
    <x v="0"/>
    <s v="Šarovy"/>
    <s v="Šarovy 100, PSČ 763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34206"/>
    <s v="Šarovské hejtmanství"/>
    <s v="706"/>
    <x v="1"/>
    <x v="0"/>
    <s v="Šarovy"/>
    <s v="Šarovy 41, PSČ 763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814490"/>
    <s v="Šeltička z.s."/>
    <s v="706"/>
    <x v="1"/>
    <x v="3"/>
    <s v="Kroměříž"/>
    <s v="Kroměříž, Kojetínská 1187/1A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822500"/>
    <s v="Šerm Slovácká Slavia Uherské Hradiště, z.s."/>
    <s v="706"/>
    <x v="1"/>
    <x v="2"/>
    <s v="Uherské Hradiště"/>
    <s v="Uherské Hradiště, Stonky 860, PSČ 68601"/>
    <s v="93190"/>
    <s v="Ostatní sportovní činnosti"/>
    <m/>
    <m/>
    <m/>
    <m/>
    <m/>
    <m/>
    <m/>
    <m/>
    <m/>
    <m/>
    <m/>
    <m/>
    <m/>
    <m/>
    <m/>
    <m/>
    <m/>
  </r>
  <r>
    <s v="22757627"/>
    <s v="Šermířský klub Uherský Brod"/>
    <s v="706"/>
    <x v="1"/>
    <x v="2"/>
    <s v="Uherský Brod"/>
    <s v="Uherský Brod, Mariánské nám. 2187, PSČ 68801"/>
    <s v="93120"/>
    <s v="Činnosti sportovních klubů"/>
    <m/>
    <m/>
    <m/>
    <m/>
    <m/>
    <m/>
    <m/>
    <m/>
    <m/>
    <m/>
    <m/>
    <m/>
    <m/>
    <m/>
    <m/>
    <m/>
    <m/>
  </r>
  <r>
    <s v="61715913"/>
    <s v="Šermířský klub Zlín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09049801"/>
    <s v="Šipkařský klub Otrokovice z.s."/>
    <s v="706"/>
    <x v="1"/>
    <x v="0"/>
    <s v="Otrokovice"/>
    <s v="Otrokovice, tř. Tomáše Bati 274, PSČ 76502"/>
    <s v="93120"/>
    <s v="Činnosti sportovních klubů"/>
    <m/>
    <m/>
    <m/>
    <m/>
    <m/>
    <m/>
    <m/>
    <m/>
    <m/>
    <m/>
    <m/>
    <m/>
    <m/>
    <m/>
    <m/>
    <m/>
    <m/>
  </r>
  <r>
    <s v="21850445"/>
    <s v="Šipkařský klub Šípy Velké Karlovice, z.s."/>
    <s v="706"/>
    <x v="1"/>
    <x v="1"/>
    <s v="Velké Karlovice"/>
    <s v="Velké Karlovice č. ev. 168, PSČ 75606"/>
    <s v="93190"/>
    <s v="Ostatní sportovní činnosti"/>
    <m/>
    <m/>
    <m/>
    <m/>
    <m/>
    <m/>
    <m/>
    <m/>
    <m/>
    <m/>
    <m/>
    <m/>
    <m/>
    <m/>
    <m/>
    <m/>
    <m/>
  </r>
  <r>
    <s v="19858124"/>
    <s v="Šipkařský spolek Karlovjani, z.s."/>
    <s v="706"/>
    <x v="1"/>
    <x v="1"/>
    <s v="Velké Karlovice"/>
    <s v="Velké Karlovice 175, PSČ 75606"/>
    <s v="93120"/>
    <s v="Činnosti sportovních klubů"/>
    <m/>
    <m/>
    <m/>
    <m/>
    <m/>
    <m/>
    <m/>
    <m/>
    <m/>
    <m/>
    <m/>
    <m/>
    <m/>
    <m/>
    <m/>
    <m/>
    <m/>
  </r>
  <r>
    <s v="65270061"/>
    <s v="Šipkový klub Skaštice"/>
    <s v="706"/>
    <x v="1"/>
    <x v="3"/>
    <s v="Skaštice"/>
    <s v="Skaštice 124, p. Kroměříž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15704"/>
    <s v="ŠK Holešov z. s."/>
    <s v="706"/>
    <x v="1"/>
    <x v="3"/>
    <s v="Prusinovice"/>
    <s v="Prusinovice, Holešovská 282, PSČ 7684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439887"/>
    <s v="ŠK LION ZDOUNKY"/>
    <s v="706"/>
    <x v="1"/>
    <x v="3"/>
    <s v="Zdounky"/>
    <s v="Zdounky, Zákostelí 185, PSČ 76802"/>
    <s v="931"/>
    <s v="Sportovní činnosti"/>
    <m/>
    <m/>
    <m/>
    <m/>
    <m/>
    <m/>
    <m/>
    <m/>
    <m/>
    <m/>
    <m/>
    <m/>
    <m/>
    <m/>
    <m/>
    <m/>
    <m/>
  </r>
  <r>
    <s v="65765982"/>
    <s v="ŠK Prusinovice z.s."/>
    <s v="706"/>
    <x v="1"/>
    <x v="3"/>
    <s v="Prusinovice"/>
    <s v="Prusinovice, Zámčisko 350, PSČ 76842"/>
    <s v="93120"/>
    <s v="Činnosti sportovních klubů"/>
    <m/>
    <m/>
    <m/>
    <m/>
    <m/>
    <m/>
    <m/>
    <m/>
    <m/>
    <m/>
    <m/>
    <m/>
    <m/>
    <m/>
    <m/>
    <m/>
    <m/>
  </r>
  <r>
    <s v="26529793"/>
    <s v="ŠK Sulimov, z.s."/>
    <s v="706"/>
    <x v="1"/>
    <x v="3"/>
    <s v="Sulimov"/>
    <s v="Sulimov 39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8023"/>
    <s v="ŠK Zlín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68728239"/>
    <s v="ŠK-MALIBU SYNOT"/>
    <s v="706"/>
    <x v="1"/>
    <x v="2"/>
    <s v="Uherské Hradiště"/>
    <s v="Uherské Hradiště, Na Rybníku 972, PSČ 68601"/>
    <s v="93120"/>
    <s v="Činnosti sportovních klubů"/>
    <m/>
    <m/>
    <m/>
    <m/>
    <m/>
    <m/>
    <m/>
    <m/>
    <m/>
    <m/>
    <m/>
    <m/>
    <m/>
    <m/>
    <m/>
    <m/>
    <m/>
  </r>
  <r>
    <s v="19613873"/>
    <s v="Škola z praxe, z. s."/>
    <s v="706"/>
    <x v="1"/>
    <x v="2"/>
    <s v="Uherské Hradiště"/>
    <s v="Uherské Hradiště, Mařatice, Sadová 979, PSČ 686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77630"/>
    <s v="Škola zdraví Zlín, z. s."/>
    <s v="706"/>
    <x v="1"/>
    <x v="0"/>
    <s v="Zlín"/>
    <s v="Zlín, Příkrá 692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463654"/>
    <s v="Školka neškolka z. s."/>
    <s v="706"/>
    <x v="1"/>
    <x v="1"/>
    <s v="Valašské Meziříčí"/>
    <s v="Valašské Meziříčí, Ve Stráni 162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17200"/>
    <s v="Školní sportovní klub AŠSK při Tauferova SOŠ veterinární Kroměříž, pobočný spolek"/>
    <s v="736"/>
    <x v="0"/>
    <x v="3"/>
    <s v="Holešov"/>
    <s v="Holešov, Tyršova 1561, PSČ 76901"/>
    <s v="9311"/>
    <s v="Provozování sportovních zařízení"/>
    <m/>
    <m/>
    <m/>
    <m/>
    <m/>
    <m/>
    <m/>
    <m/>
    <m/>
    <m/>
    <m/>
    <m/>
    <m/>
    <m/>
    <m/>
    <m/>
    <m/>
  </r>
  <r>
    <s v="72553251"/>
    <s v="Školní sportovní klub AŠSK při Základní škole a Mateřské škole Želechovice nad Dřevnicí, pobočný spolek"/>
    <s v="736"/>
    <x v="0"/>
    <x v="0"/>
    <s v="Želechovice nad Dřevnicí"/>
    <s v="Želechovice nad Dřevnicí, 4. května 336, PSČ 76311"/>
    <s v="93110"/>
    <s v="Provozování sportovních zařízení"/>
    <m/>
    <m/>
    <m/>
    <m/>
    <m/>
    <m/>
    <m/>
    <m/>
    <m/>
    <m/>
    <m/>
    <m/>
    <m/>
    <m/>
    <m/>
    <m/>
    <m/>
  </r>
  <r>
    <s v="68730373"/>
    <s v="Školní sportovní klub AŠSK při ZŠ Brumov - Bylnice, pobočný spolek"/>
    <s v="736"/>
    <x v="0"/>
    <x v="0"/>
    <s v="Brumov-Bylnice"/>
    <s v="Brumov-Bylnice, Brumov, Družba 1178, PSČ 76331"/>
    <s v="93110"/>
    <s v="Provozování sportovních zařízení"/>
    <m/>
    <m/>
    <m/>
    <m/>
    <m/>
    <m/>
    <m/>
    <m/>
    <m/>
    <m/>
    <m/>
    <m/>
    <m/>
    <m/>
    <m/>
    <m/>
    <m/>
  </r>
  <r>
    <s v="70914494"/>
    <s v="Školní sportovní klub AŠSK při ZŠ Mánesova Otrokovice, p.o., pobočný spolek"/>
    <s v="736"/>
    <x v="0"/>
    <x v="0"/>
    <s v="Otrokovice"/>
    <s v="Otrokovice, Mánesova 908, PSČ 76502"/>
    <s v="93110"/>
    <s v="Provozování sportovních zařízení"/>
    <m/>
    <m/>
    <m/>
    <m/>
    <m/>
    <m/>
    <m/>
    <m/>
    <m/>
    <m/>
    <m/>
    <m/>
    <m/>
    <m/>
    <m/>
    <m/>
    <m/>
  </r>
  <r>
    <s v="72020911"/>
    <s v="Školní sportovní klub AŠSK při ZŠ Videčská Rožnov pod Radhoštěm, pobočný spolek"/>
    <s v="736"/>
    <x v="0"/>
    <x v="1"/>
    <s v="Rožnov pod Radhoštěm"/>
    <s v="Rožnov pod Radhoštěm, Videčská 63, PSČ 75661"/>
    <s v="93110"/>
    <s v="Provozování sportovních zařízení"/>
    <m/>
    <m/>
    <m/>
    <m/>
    <m/>
    <m/>
    <m/>
    <m/>
    <m/>
    <m/>
    <m/>
    <m/>
    <m/>
    <m/>
    <m/>
    <m/>
    <m/>
  </r>
  <r>
    <s v="71187952"/>
    <s v="Školní sportovní klub AŠSK při ZŠ Vsetín, Luh, pobočný spolek"/>
    <s v="736"/>
    <x v="0"/>
    <x v="1"/>
    <s v="Vsetín"/>
    <s v="Vsetín, Jasenická 1544, PSČ 75501"/>
    <s v="93110"/>
    <s v="Provozování sportovních zařízení"/>
    <m/>
    <m/>
    <m/>
    <m/>
    <m/>
    <m/>
    <m/>
    <m/>
    <m/>
    <m/>
    <m/>
    <m/>
    <m/>
    <m/>
    <m/>
    <m/>
    <m/>
  </r>
  <r>
    <s v="05572843"/>
    <s v="Školní sportovní klub AŠSK při ZŠ Vsetín, pobočný spolek"/>
    <s v="736"/>
    <x v="0"/>
    <x v="1"/>
    <s v="Vsetín"/>
    <s v="Vsetín, MUDr. Františka Sovy 97, PSČ 75501"/>
    <s v="93120"/>
    <s v="Činnosti sportovních klubů"/>
    <m/>
    <m/>
    <m/>
    <m/>
    <m/>
    <m/>
    <m/>
    <m/>
    <m/>
    <m/>
    <m/>
    <m/>
    <m/>
    <m/>
    <m/>
    <m/>
    <m/>
  </r>
  <r>
    <s v="08171718"/>
    <s v="Školní sportovní klub AŠSK při ZŠ Výsluní Uh. Brod, pobočný spolek"/>
    <s v="736"/>
    <x v="0"/>
    <x v="2"/>
    <s v="Uherský Brod"/>
    <s v="Uherský Brod, Na Výsluní 2047, PSČ 68801"/>
    <s v="93110"/>
    <s v="Provozování sportovních zařízení"/>
    <m/>
    <m/>
    <m/>
    <m/>
    <m/>
    <m/>
    <m/>
    <m/>
    <m/>
    <m/>
    <m/>
    <m/>
    <m/>
    <m/>
    <m/>
    <m/>
    <m/>
  </r>
  <r>
    <s v="75038544"/>
    <s v="Školní sportovní klub při Základní škole, J. Žižky 1355, 765 35 Otrokovice"/>
    <s v="736"/>
    <x v="0"/>
    <x v="0"/>
    <s v="Otrokovice"/>
    <s v="Otrokovice, Jana Žižky 1355, PSČ 76502"/>
    <s v="85510"/>
    <s v="Sportovní a rekreační vzdělávání"/>
    <m/>
    <m/>
    <m/>
    <m/>
    <m/>
    <m/>
    <m/>
    <m/>
    <m/>
    <m/>
    <m/>
    <m/>
    <m/>
    <m/>
    <m/>
    <m/>
    <m/>
  </r>
  <r>
    <s v="75138930"/>
    <s v="Školní sportovní klub při Základní škole Žerotínova, Valašské Meziříčí"/>
    <s v="736"/>
    <x v="0"/>
    <x v="1"/>
    <s v="Valašské Meziříčí"/>
    <s v="Valašské Meziříčí, Žerotínova 376, PSČ 75701"/>
    <s v="85510"/>
    <s v="Sportovní a rekreační vzdělávání"/>
    <m/>
    <m/>
    <m/>
    <m/>
    <m/>
    <m/>
    <m/>
    <m/>
    <m/>
    <m/>
    <m/>
    <m/>
    <m/>
    <m/>
    <m/>
    <m/>
    <m/>
  </r>
  <r>
    <s v="70935742"/>
    <s v="Školní sportovní klub při ZŠ Valašské Klobouky"/>
    <s v="736"/>
    <x v="0"/>
    <x v="0"/>
    <s v="Valašské Klobouky"/>
    <s v="Valašské Klobouky, Školní 856, PSČ 76601"/>
    <s v="85510"/>
    <s v="Sportovní a rekreační vzdělávání"/>
    <m/>
    <m/>
    <m/>
    <m/>
    <m/>
    <m/>
    <m/>
    <m/>
    <m/>
    <m/>
    <m/>
    <m/>
    <m/>
    <m/>
    <m/>
    <m/>
    <m/>
  </r>
  <r>
    <s v="49156951"/>
    <s v="Školní sportovní klub při 3. Zákl.škole Zlín"/>
    <s v="736"/>
    <x v="0"/>
    <x v="0"/>
    <s v="Zlín"/>
    <s v="Zlín, Slovenská 3076, PSČ 76001"/>
    <s v="93110"/>
    <s v="Provozování sportovních zařízení"/>
    <m/>
    <m/>
    <m/>
    <m/>
    <m/>
    <m/>
    <m/>
    <m/>
    <m/>
    <m/>
    <m/>
    <m/>
    <m/>
    <m/>
    <m/>
    <m/>
    <m/>
  </r>
  <r>
    <s v="19821344"/>
    <s v="Šmoulí město Zlín z.s."/>
    <s v="706"/>
    <x v="1"/>
    <x v="0"/>
    <s v="Zlín"/>
    <s v="Zlín, Šedesátá 704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7275"/>
    <s v="ŠORSTÝN o. s."/>
    <s v="706"/>
    <x v="1"/>
    <x v="1"/>
    <s v="Horní Bečva"/>
    <s v="Horní Bečva 363, PSČ 7565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1361"/>
    <s v="Štrajchkapela z Kněžpola, z.s."/>
    <s v="706"/>
    <x v="1"/>
    <x v="2"/>
    <s v="Kněžpole"/>
    <s v="Kněžpole 125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7262"/>
    <s v="ŠTROF TEAM"/>
    <s v="706"/>
    <x v="1"/>
    <x v="3"/>
    <s v="Kroměříž"/>
    <s v="Kroměříž, Vodní 52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232872"/>
    <s v="Šumárník, o.p.s."/>
    <s v="141"/>
    <x v="2"/>
    <x v="2"/>
    <s v="Strání"/>
    <s v="Strání, U hlavní 526, PSČ 68765"/>
    <s v="016"/>
    <s v="Podpůrné činnosti pro zemědělství a posklizňové činnosti"/>
    <s v="Výroba, obchod a služby neuvedené v přílohách 1 až 3 živnostenského zákona"/>
    <s v="Lesnictví a těžba dřeva"/>
    <s v="Ostatní těžba a dobývání"/>
    <s v="Shromažďování, sběr a odstraňování odpadů, úprava odpadů k dalšímu využití"/>
    <s v="Architektonické a inženýrské činnosti a související technické poradenství"/>
    <s v="Ostatní vzdělávání"/>
    <s v="Činnosti související s úpravou krajiny"/>
    <s v="Podpůrné činnosti pro lesnictví"/>
    <s v="Činnosti související s odpadními vodami"/>
    <s v="Účetnické a auditorské činnosti; daňové poradenství"/>
    <s v="Ostatní zábavní a rekreační činnosti j. n."/>
    <m/>
    <m/>
    <m/>
    <m/>
    <m/>
    <m/>
  </r>
  <r>
    <s v="47934883"/>
    <s v="Švabinského kruh přátel výtvarného umění, z.s."/>
    <s v="706"/>
    <x v="1"/>
    <x v="3"/>
    <s v="Kroměříž"/>
    <s v="Kroměříž, Velké náměstí 38/21, PSČ 76701"/>
    <s v="910"/>
    <s v="Činnosti knihoven, archivů, muzeí a jiných kulturních zařízení"/>
    <m/>
    <m/>
    <m/>
    <m/>
    <m/>
    <m/>
    <m/>
    <m/>
    <m/>
    <m/>
    <m/>
    <m/>
    <m/>
    <m/>
    <m/>
    <m/>
    <m/>
  </r>
  <r>
    <s v="10826017"/>
    <s v="Švrček, z.s."/>
    <s v="706"/>
    <x v="1"/>
    <x v="0"/>
    <s v="Zlín"/>
    <s v="Zlín, Příluky, Ronzovy Paseky 195, PSČ 76001"/>
    <s v="94991"/>
    <s v="Činnosti organizací dětí a mládeže"/>
    <m/>
    <m/>
    <m/>
    <m/>
    <m/>
    <m/>
    <m/>
    <m/>
    <m/>
    <m/>
    <m/>
    <m/>
    <m/>
    <m/>
    <m/>
    <m/>
    <m/>
  </r>
  <r>
    <s v="07760086"/>
    <s v="Tabačka racing team, z.s."/>
    <s v="706"/>
    <x v="1"/>
    <x v="1"/>
    <s v="Velké Karlovice"/>
    <s v="Velké Karlovice č. ev. 346, PSČ 75606"/>
    <s v="93190"/>
    <s v="Ostatní sportovní činnosti"/>
    <m/>
    <m/>
    <m/>
    <m/>
    <m/>
    <m/>
    <m/>
    <m/>
    <m/>
    <m/>
    <m/>
    <m/>
    <m/>
    <m/>
    <m/>
    <m/>
    <m/>
  </r>
  <r>
    <s v="17095735"/>
    <s v="TÁBOR HOŠŤÁLKOVÁ, Z.S."/>
    <s v="706"/>
    <x v="1"/>
    <x v="1"/>
    <s v="Hošťálková"/>
    <s v="Hošťálková 3, PSČ 75622"/>
    <s v="94991"/>
    <s v="Činnosti organizací dětí a mládeže"/>
    <m/>
    <m/>
    <m/>
    <m/>
    <m/>
    <m/>
    <m/>
    <m/>
    <m/>
    <m/>
    <m/>
    <m/>
    <m/>
    <m/>
    <m/>
    <m/>
    <m/>
  </r>
  <r>
    <s v="63414252"/>
    <s v="TáborAG z.s."/>
    <s v="706"/>
    <x v="1"/>
    <x v="3"/>
    <s v="Kroměříž"/>
    <s v="Kroměříž, Pilařova 3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43141"/>
    <s v="Táborníci Ranče Všemina, z.s."/>
    <s v="706"/>
    <x v="1"/>
    <x v="0"/>
    <s v="Všemina"/>
    <s v="Všemina č. ev. 25, PSČ 76315"/>
    <s v="93190"/>
    <s v="Ostatní sportovní činnosti"/>
    <m/>
    <m/>
    <m/>
    <m/>
    <m/>
    <m/>
    <m/>
    <m/>
    <m/>
    <m/>
    <m/>
    <m/>
    <m/>
    <m/>
    <m/>
    <m/>
    <m/>
  </r>
  <r>
    <s v="27026566"/>
    <s v="Tábornický klub TULÁCI-Zlín, z.s."/>
    <s v="706"/>
    <x v="1"/>
    <x v="0"/>
    <s v="Zlín"/>
    <s v="Zlín, Malenovice, Chelčického 714, PSČ 76302"/>
    <s v="93110"/>
    <s v="Provozování sportovních zařízení"/>
    <m/>
    <m/>
    <m/>
    <m/>
    <m/>
    <m/>
    <m/>
    <m/>
    <m/>
    <m/>
    <m/>
    <m/>
    <m/>
    <m/>
    <m/>
    <m/>
    <m/>
  </r>
  <r>
    <s v="10704205"/>
    <s v="TÁBORY FANTAZIE, z. s."/>
    <s v="706"/>
    <x v="1"/>
    <x v="0"/>
    <s v="Napajedla"/>
    <s v="Napajedla, Nábřeží 1340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913246"/>
    <s v="Tadeáš Krása a Nela Kapušňáková - taneční pár, z.s."/>
    <s v="706"/>
    <x v="1"/>
    <x v="0"/>
    <s v="Zlín"/>
    <s v="Zlín, Podvesná VII 204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701507"/>
    <s v="Tady v Rožnově, z. s."/>
    <s v="706"/>
    <x v="1"/>
    <x v="1"/>
    <s v="Vidče"/>
    <s v="Vidče 91, PSČ 756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28971"/>
    <s v="taekwondo school Zlín, z.s."/>
    <s v="706"/>
    <x v="1"/>
    <x v="0"/>
    <s v="Zlín"/>
    <s v="Zlín, Nivy I 2703, PSČ 76001"/>
    <s v="93190"/>
    <s v="Ostatní sportovní činnosti"/>
    <m/>
    <m/>
    <m/>
    <m/>
    <m/>
    <m/>
    <m/>
    <m/>
    <m/>
    <m/>
    <m/>
    <m/>
    <m/>
    <m/>
    <m/>
    <m/>
    <m/>
  </r>
  <r>
    <s v="06658466"/>
    <s v="Tail Story z.s."/>
    <s v="706"/>
    <x v="1"/>
    <x v="2"/>
    <s v="Boršice"/>
    <s v="Boršice 593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57140"/>
    <s v="TAKODA, z. s."/>
    <s v="706"/>
    <x v="1"/>
    <x v="1"/>
    <s v="Kateřinice"/>
    <s v="Kateřinice 342, PSČ 75621"/>
    <s v="8559"/>
    <s v="Ostatní vzdělávání j. n."/>
    <m/>
    <m/>
    <m/>
    <m/>
    <m/>
    <m/>
    <m/>
    <m/>
    <m/>
    <m/>
    <m/>
    <m/>
    <m/>
    <m/>
    <m/>
    <m/>
    <m/>
  </r>
  <r>
    <s v="26612615"/>
    <s v="TALENTCENTRUM /CENTRUM PRO TALENTOVANÉ DĚTI A MLÁDEŽ/ z.s."/>
    <s v="706"/>
    <x v="1"/>
    <x v="0"/>
    <s v="Zlín"/>
    <s v="Zlín, Louky, Pod Šternberkem 306, PSČ 76302"/>
    <s v="94999"/>
    <s v="Činnosti ostatních organizací j. n."/>
    <m/>
    <m/>
    <m/>
    <m/>
    <m/>
    <m/>
    <m/>
    <m/>
    <m/>
    <m/>
    <m/>
    <m/>
    <m/>
    <m/>
    <m/>
    <m/>
    <m/>
  </r>
  <r>
    <s v="67025145"/>
    <s v="Tanečně - gymnastický klub Zlín, z.s."/>
    <s v="706"/>
    <x v="1"/>
    <x v="0"/>
    <s v="Zlín"/>
    <s v="Zlín, Na Honech III 4928, PSČ 76005"/>
    <s v="931"/>
    <s v="Sportovní činnosti"/>
    <m/>
    <m/>
    <m/>
    <m/>
    <m/>
    <m/>
    <m/>
    <m/>
    <m/>
    <m/>
    <m/>
    <m/>
    <m/>
    <m/>
    <m/>
    <m/>
    <m/>
  </r>
  <r>
    <s v="22884980"/>
    <s v="Taneční centrum LAYLA, z.s."/>
    <s v="706"/>
    <x v="1"/>
    <x v="2"/>
    <s v="Kunovice"/>
    <s v="Kunovice, Úvoz 1554, PSČ 68604"/>
    <s v="90010"/>
    <s v="Scénická umění"/>
    <m/>
    <m/>
    <m/>
    <m/>
    <m/>
    <m/>
    <m/>
    <m/>
    <m/>
    <m/>
    <m/>
    <m/>
    <m/>
    <m/>
    <m/>
    <m/>
    <m/>
  </r>
  <r>
    <s v="05741408"/>
    <s v="Taneční centrum Orianadance, Zlín z. s."/>
    <s v="706"/>
    <x v="1"/>
    <x v="0"/>
    <s v="Zlín"/>
    <s v="Zlín, 2. května 4099, PSČ 76001"/>
    <s v="90010"/>
    <s v="Scénická umění"/>
    <m/>
    <m/>
    <m/>
    <m/>
    <m/>
    <m/>
    <m/>
    <m/>
    <m/>
    <m/>
    <m/>
    <m/>
    <m/>
    <m/>
    <m/>
    <m/>
    <m/>
  </r>
  <r>
    <s v="22769641"/>
    <s v="Taneční centrum ValMez z. s."/>
    <s v="706"/>
    <x v="1"/>
    <x v="1"/>
    <s v="Valašské Meziříčí"/>
    <s v="Valašské Meziříčí, Krásno nad Bečvou, Křižná 782, PSČ 75701"/>
    <s v="90010"/>
    <s v="Scénická umění"/>
    <m/>
    <m/>
    <m/>
    <m/>
    <m/>
    <m/>
    <m/>
    <m/>
    <m/>
    <m/>
    <m/>
    <m/>
    <m/>
    <m/>
    <m/>
    <m/>
    <m/>
  </r>
  <r>
    <s v="48472166"/>
    <s v="Taneční klub FORTUNA Zlín z.s."/>
    <s v="706"/>
    <x v="1"/>
    <x v="0"/>
    <s v="Zlín"/>
    <s v="Zlín, Filmová 41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5197"/>
    <s v="Taneční klub Gradace Kroměříž, z.s."/>
    <s v="706"/>
    <x v="1"/>
    <x v="3"/>
    <s v="Kroměříž"/>
    <s v="Kroměříž, Višňová 4212/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23132"/>
    <s v="Taneční klub Henzély-SWING, z.s."/>
    <s v="706"/>
    <x v="1"/>
    <x v="3"/>
    <s v="Kroměříž"/>
    <s v="Kroměříž, Oskol 275/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3851"/>
    <s v="Taneční klub Rokaso Uherské Hradiště, z.s."/>
    <s v="706"/>
    <x v="1"/>
    <x v="2"/>
    <s v="Uherské Hradiště"/>
    <s v="Uherské Hradiště, Jarošov, Pivovarská 48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75430"/>
    <s v="Taneční klub Tweet, z.s."/>
    <s v="706"/>
    <x v="1"/>
    <x v="2"/>
    <s v="Staré Město"/>
    <s v="Jezuitská 410, 686 03 Staré Město"/>
    <s v="90010"/>
    <s v="Scénická umění"/>
    <m/>
    <m/>
    <m/>
    <m/>
    <m/>
    <m/>
    <m/>
    <m/>
    <m/>
    <m/>
    <m/>
    <m/>
    <m/>
    <m/>
    <m/>
    <m/>
    <m/>
  </r>
  <r>
    <s v="21153582"/>
    <s v="Taneční skupina B-different, z. s."/>
    <s v="706"/>
    <x v="1"/>
    <x v="1"/>
    <s v="Valašské Meziříčí"/>
    <s v="Valašské Meziříčí, Zdeňka Fibicha 1207, PSČ 75701"/>
    <s v="93120"/>
    <s v="Činnosti sportovních klubů"/>
    <m/>
    <m/>
    <m/>
    <m/>
    <m/>
    <m/>
    <m/>
    <m/>
    <m/>
    <m/>
    <m/>
    <m/>
    <m/>
    <m/>
    <m/>
    <m/>
    <m/>
  </r>
  <r>
    <s v="02429918"/>
    <s v="Taneční skupina Dancing People o.s."/>
    <s v="706"/>
    <x v="1"/>
    <x v="0"/>
    <s v="Zlín"/>
    <s v="Zlín, Obeciny VI 3600, PSČ 76001"/>
    <s v="90010"/>
    <s v="Scénická umění"/>
    <m/>
    <m/>
    <m/>
    <m/>
    <m/>
    <m/>
    <m/>
    <m/>
    <m/>
    <m/>
    <m/>
    <m/>
    <m/>
    <m/>
    <m/>
    <m/>
    <m/>
  </r>
  <r>
    <s v="02831112"/>
    <s v="Taneční skupina Trick, z.s."/>
    <s v="706"/>
    <x v="1"/>
    <x v="3"/>
    <s v="Hulín"/>
    <s v="Hulín, Sadová 976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3229"/>
    <s v="Taneční soubor Botík, z.s."/>
    <s v="706"/>
    <x v="1"/>
    <x v="2"/>
    <s v="Březolupy"/>
    <s v="Březolupy 90, PSČ 68713"/>
    <s v="90010"/>
    <s v="Scénická umění"/>
    <m/>
    <m/>
    <m/>
    <m/>
    <m/>
    <m/>
    <m/>
    <m/>
    <m/>
    <m/>
    <m/>
    <m/>
    <m/>
    <m/>
    <m/>
    <m/>
    <m/>
  </r>
  <r>
    <s v="22845402"/>
    <s v="Taneční soubor Hradišťan, z.s."/>
    <s v="706"/>
    <x v="1"/>
    <x v="2"/>
    <s v="Jalubí"/>
    <s v="Jalubí 324, PSČ 68705"/>
    <s v="90010"/>
    <s v="Scénická umění"/>
    <m/>
    <m/>
    <m/>
    <m/>
    <m/>
    <m/>
    <m/>
    <m/>
    <m/>
    <m/>
    <m/>
    <m/>
    <m/>
    <m/>
    <m/>
    <m/>
    <m/>
  </r>
  <r>
    <s v="65765052"/>
    <s v="Taneční soubor KONTRASTY Hulín"/>
    <s v="706"/>
    <x v="1"/>
    <x v="3"/>
    <s v="Hulín"/>
    <s v="Hulín, Družba 1195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6705"/>
    <s v="Taneční soubor Popovjánek z.s."/>
    <s v="706"/>
    <x v="1"/>
    <x v="2"/>
    <s v="Popovice"/>
    <s v="Popovice 303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3062"/>
    <s v="Taneční soubor STARS, z.s.  Bystřice pod Hostýnem"/>
    <s v="706"/>
    <x v="1"/>
    <x v="3"/>
    <s v="Bystřice pod Hostýnem"/>
    <s v="Bystřice pod Hostýnem, Rychlov, Přerovská 165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2388"/>
    <s v="Taneční studio Effect Proof"/>
    <s v="706"/>
    <x v="1"/>
    <x v="0"/>
    <s v="Zlín"/>
    <s v="Zlín, třída Tomáše Bati 209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6528"/>
    <s v="Taneční studio HENZÉLY z.s."/>
    <s v="706"/>
    <x v="1"/>
    <x v="3"/>
    <s v="Kroměříž"/>
    <s v="Kroměříž, Oskol 275/6, PSČ 76701"/>
    <s v="90010"/>
    <s v="Scénická umění"/>
    <m/>
    <m/>
    <m/>
    <m/>
    <m/>
    <m/>
    <m/>
    <m/>
    <m/>
    <m/>
    <m/>
    <m/>
    <m/>
    <m/>
    <m/>
    <m/>
    <m/>
  </r>
  <r>
    <s v="11775301"/>
    <s v="Taneční Studio JL z. s."/>
    <s v="706"/>
    <x v="1"/>
    <x v="3"/>
    <s v="Holešov"/>
    <s v="Holešov, Malá 28/18, PSČ 76901"/>
    <s v="90010"/>
    <s v="Scénická umění"/>
    <m/>
    <m/>
    <m/>
    <m/>
    <m/>
    <m/>
    <m/>
    <m/>
    <m/>
    <m/>
    <m/>
    <m/>
    <m/>
    <m/>
    <m/>
    <m/>
    <m/>
  </r>
  <r>
    <s v="11978643"/>
    <s v="Taneční studio LINIE z. s."/>
    <s v="706"/>
    <x v="1"/>
    <x v="1"/>
    <s v="Valašské Meziříčí"/>
    <s v="Valašské Meziříčí, Nerudova 655/1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659161"/>
    <s v="TANEČNÍ STUDIO YALLA, z.s."/>
    <s v="706"/>
    <x v="1"/>
    <x v="2"/>
    <s v="Kněžpole"/>
    <s v="Kněžpole 125, PSČ 68712"/>
    <s v="90010"/>
    <s v="Scénická umění"/>
    <m/>
    <m/>
    <m/>
    <m/>
    <m/>
    <m/>
    <m/>
    <m/>
    <m/>
    <m/>
    <m/>
    <m/>
    <m/>
    <m/>
    <m/>
    <m/>
    <m/>
  </r>
  <r>
    <s v="67028322"/>
    <s v="Taneční studio Zlín"/>
    <s v="706"/>
    <x v="1"/>
    <x v="0"/>
    <s v="Zlín"/>
    <s v="Zlín"/>
    <s v="931"/>
    <s v="Sportovní činnosti"/>
    <m/>
    <m/>
    <m/>
    <m/>
    <m/>
    <m/>
    <m/>
    <m/>
    <m/>
    <m/>
    <m/>
    <m/>
    <m/>
    <m/>
    <m/>
    <m/>
    <m/>
  </r>
  <r>
    <s v="22822071"/>
    <s v="Taneční škola Aura, o.s."/>
    <s v="706"/>
    <x v="1"/>
    <x v="2"/>
    <s v="Buchlovice"/>
    <s v="Buchlovice, Komenského 290, PSČ 68708"/>
    <s v="8552"/>
    <s v="Umělecké vzdělávání"/>
    <m/>
    <m/>
    <m/>
    <m/>
    <m/>
    <m/>
    <m/>
    <m/>
    <m/>
    <m/>
    <m/>
    <m/>
    <m/>
    <m/>
    <m/>
    <m/>
    <m/>
  </r>
  <r>
    <s v="26643898"/>
    <s v="Tangsoodo Czech Republic"/>
    <s v="706"/>
    <x v="1"/>
    <x v="3"/>
    <s v="Žeranovice"/>
    <s v="Žeranovice 206, PSČ 76901"/>
    <s v="93110"/>
    <s v="Provozování sportovních zařízení"/>
    <m/>
    <m/>
    <m/>
    <m/>
    <m/>
    <m/>
    <m/>
    <m/>
    <m/>
    <m/>
    <m/>
    <m/>
    <m/>
    <m/>
    <m/>
    <m/>
    <m/>
  </r>
  <r>
    <s v="02202123"/>
    <s v="Taurus Zlín, z.s."/>
    <s v="706"/>
    <x v="1"/>
    <x v="0"/>
    <s v="Zlín"/>
    <s v="Zlín, Vavrečkova 567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38448"/>
    <s v="T-BOZ Vsetín"/>
    <s v="706"/>
    <x v="1"/>
    <x v="1"/>
    <s v="Vsetín"/>
    <s v="Kulturní zařízení Sychrov, Vsetín"/>
    <s v="93290"/>
    <s v="Ostatní zábavní a rekreační činnosti j. n."/>
    <m/>
    <m/>
    <m/>
    <m/>
    <m/>
    <m/>
    <m/>
    <m/>
    <m/>
    <m/>
    <m/>
    <m/>
    <m/>
    <m/>
    <m/>
    <m/>
    <m/>
  </r>
  <r>
    <s v="18188028"/>
    <s v="TC BAJDA Kroměříž, z.s."/>
    <s v="706"/>
    <x v="1"/>
    <x v="3"/>
    <s v="Kroměříž"/>
    <s v="Kroměříž, Na Sladovnách 4255/2, PSČ 76701"/>
    <s v="9312"/>
    <s v="Činnosti sportovních klubů"/>
    <m/>
    <m/>
    <m/>
    <m/>
    <m/>
    <m/>
    <m/>
    <m/>
    <m/>
    <m/>
    <m/>
    <m/>
    <m/>
    <m/>
    <m/>
    <m/>
    <m/>
  </r>
  <r>
    <s v="26533316"/>
    <s v="TC Holešov, z.s."/>
    <s v="706"/>
    <x v="1"/>
    <x v="3"/>
    <s v="Holešov"/>
    <s v="Holešov, Střelnice 1410/53, PSČ 76901"/>
    <s v="931"/>
    <s v="Sportovní činnosti"/>
    <m/>
    <m/>
    <m/>
    <m/>
    <m/>
    <m/>
    <m/>
    <m/>
    <m/>
    <m/>
    <m/>
    <m/>
    <m/>
    <m/>
    <m/>
    <m/>
    <m/>
  </r>
  <r>
    <s v="22694315"/>
    <s v="TCV Strání z.s."/>
    <s v="706"/>
    <x v="1"/>
    <x v="2"/>
    <s v="Strání"/>
    <s v="Strání, Květná, Lůčky 1080, PSČ 68766"/>
    <s v="93110"/>
    <s v="Provozování sportovních zařízení"/>
    <m/>
    <m/>
    <m/>
    <m/>
    <m/>
    <m/>
    <m/>
    <m/>
    <m/>
    <m/>
    <m/>
    <m/>
    <m/>
    <m/>
    <m/>
    <m/>
    <m/>
  </r>
  <r>
    <s v="17332303"/>
    <s v="Team Meliora z. s."/>
    <s v="706"/>
    <x v="1"/>
    <x v="0"/>
    <s v="Zlín"/>
    <s v="Zlín, Prštné, Nad Humny 64, PSČ 76001"/>
    <s v="93190"/>
    <s v="Ostatní sportovní činnosti"/>
    <m/>
    <m/>
    <m/>
    <m/>
    <m/>
    <m/>
    <m/>
    <m/>
    <m/>
    <m/>
    <m/>
    <m/>
    <m/>
    <m/>
    <m/>
    <m/>
    <m/>
  </r>
  <r>
    <s v="22364668"/>
    <s v="Team VTK z.s."/>
    <s v="706"/>
    <x v="1"/>
    <x v="2"/>
    <s v="Pitín"/>
    <s v="Pitín 263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54026"/>
    <s v="Technická akademie, o.p.s."/>
    <s v="141"/>
    <x v="2"/>
    <x v="2"/>
    <s v="Uherské Hradiště"/>
    <s v="Uherské Hradiště, Revoluční 747, PSČ 68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91551"/>
    <s v="Technické sporty Březolupy z.s."/>
    <s v="706"/>
    <x v="1"/>
    <x v="2"/>
    <s v="Březolupy"/>
    <s v="Březolupy 475, PSČ 68713"/>
    <s v="9499"/>
    <s v="Činnosti ostatních organizací sdružujících osoby za účelem prosazování společných zájmů j. n."/>
    <s v="Ostatní profesní, vědecké a technické činnosti"/>
    <m/>
    <m/>
    <m/>
    <m/>
    <m/>
    <m/>
    <m/>
    <m/>
    <m/>
    <m/>
    <m/>
    <m/>
    <m/>
    <m/>
    <m/>
    <m/>
  </r>
  <r>
    <s v="69702012"/>
    <s v="Technické sporty Nivnice"/>
    <s v="736"/>
    <x v="0"/>
    <x v="2"/>
    <s v="Nivnice"/>
    <s v="Nivnice, Hliníky 939"/>
    <s v="931"/>
    <s v="Sportovní činnosti"/>
    <m/>
    <m/>
    <m/>
    <m/>
    <m/>
    <m/>
    <m/>
    <m/>
    <m/>
    <m/>
    <m/>
    <m/>
    <m/>
    <m/>
    <m/>
    <m/>
    <m/>
  </r>
  <r>
    <s v="66934575"/>
    <s v="Technicko informační centra"/>
    <s v="706"/>
    <x v="1"/>
    <x v="1"/>
    <s v="Valašské Meziříčí"/>
    <s v="Valašské Meziříčí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44887"/>
    <s v="Technikou pro rozvoj regionu, z.s."/>
    <s v="706"/>
    <x v="1"/>
    <x v="3"/>
    <s v="Morkovice-Slížany"/>
    <s v="Morkovice-Slížany, Morkovice, Jabloňová 820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5481"/>
    <s v="Tečovské folklorní sdružení z.s."/>
    <s v="706"/>
    <x v="1"/>
    <x v="0"/>
    <s v="Tečovice"/>
    <s v="Tečovice 55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649944"/>
    <s v="TEFO Bílany, z.s."/>
    <s v="706"/>
    <x v="1"/>
    <x v="3"/>
    <s v="Kroměříž"/>
    <s v="Kroměříž, Bílany 4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2969"/>
    <s v="TEFOSPORT"/>
    <s v="706"/>
    <x v="1"/>
    <x v="2"/>
    <s v="Uherské Hradiště"/>
    <s v="Uherské Hradiště, Mařatice, Stará Cihelna 1402, PSČ 68605"/>
    <s v="93110"/>
    <s v="Provozování sportovních zařízení"/>
    <m/>
    <m/>
    <m/>
    <m/>
    <m/>
    <m/>
    <m/>
    <m/>
    <m/>
    <m/>
    <m/>
    <m/>
    <m/>
    <m/>
    <m/>
    <m/>
    <m/>
  </r>
  <r>
    <s v="27027007"/>
    <s v="Telegraf Uherské Hradiště"/>
    <s v="706"/>
    <x v="1"/>
    <x v="2"/>
    <s v="Uherské Hradiště"/>
    <s v="Uherské Hradiště, Průmyslová 96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2321"/>
    <s v="Tělocvičná jednota Sokol Babice"/>
    <s v="736"/>
    <x v="0"/>
    <x v="2"/>
    <s v="Babice"/>
    <s v="Babice 508, PSČ 68703"/>
    <s v="93110"/>
    <s v="Provozování sportovních zařízení"/>
    <m/>
    <m/>
    <m/>
    <m/>
    <m/>
    <m/>
    <m/>
    <m/>
    <m/>
    <m/>
    <m/>
    <m/>
    <m/>
    <m/>
    <m/>
    <m/>
    <m/>
  </r>
  <r>
    <s v="75020297"/>
    <s v="Tělocvičná jednota Sokol Bánov"/>
    <s v="736"/>
    <x v="0"/>
    <x v="2"/>
    <s v="Bánov"/>
    <s v="Bánov 700, PSČ 68754"/>
    <s v="93110"/>
    <s v="Provozování sportovních zařízení"/>
    <m/>
    <m/>
    <m/>
    <m/>
    <m/>
    <m/>
    <m/>
    <m/>
    <m/>
    <m/>
    <m/>
    <m/>
    <m/>
    <m/>
    <m/>
    <m/>
    <m/>
  </r>
  <r>
    <s v="61703320"/>
    <s v="Tělocvičná jednota Sokol Bojkovice"/>
    <s v="736"/>
    <x v="0"/>
    <x v="2"/>
    <s v="Bojkovice"/>
    <s v="Bojkovice, Mánesova 278, PSČ 68771"/>
    <s v="93110"/>
    <s v="Provozování sportovních zařízení"/>
    <m/>
    <m/>
    <m/>
    <m/>
    <m/>
    <m/>
    <m/>
    <m/>
    <m/>
    <m/>
    <m/>
    <m/>
    <m/>
    <m/>
    <m/>
    <m/>
    <m/>
  </r>
  <r>
    <s v="44004303"/>
    <s v="Tělocvičná jednota Sokol Březnice"/>
    <s v="736"/>
    <x v="0"/>
    <x v="0"/>
    <s v="Březnice"/>
    <s v="Březnice 225, PSČ 76001"/>
    <s v="93110"/>
    <s v="Provozování sportovních zařízení"/>
    <m/>
    <m/>
    <m/>
    <m/>
    <m/>
    <m/>
    <m/>
    <m/>
    <m/>
    <m/>
    <m/>
    <m/>
    <m/>
    <m/>
    <m/>
    <m/>
    <m/>
  </r>
  <r>
    <s v="47930225"/>
    <s v="Tělocvičná jednota Sokol Bystřice pod Hostýnem"/>
    <s v="736"/>
    <x v="0"/>
    <x v="3"/>
    <s v="Bystřice pod Hostýnem"/>
    <s v="Bystřice pod Hostýnem, Sokolská 207, PSČ 76861"/>
    <s v="93110"/>
    <s v="Provozování sportovních zařízení"/>
    <m/>
    <m/>
    <m/>
    <m/>
    <m/>
    <m/>
    <m/>
    <m/>
    <m/>
    <m/>
    <m/>
    <m/>
    <m/>
    <m/>
    <m/>
    <m/>
    <m/>
  </r>
  <r>
    <s v="00532835"/>
    <s v="Tělocvičná jednota Sokol Holešov"/>
    <s v="736"/>
    <x v="0"/>
    <x v="3"/>
    <s v="Holešov"/>
    <s v="Holešov, Plačkov 547/2, PSČ 76901"/>
    <s v="93110"/>
    <s v="Provozování sportovních zařízení"/>
    <m/>
    <m/>
    <m/>
    <m/>
    <m/>
    <m/>
    <m/>
    <m/>
    <m/>
    <m/>
    <m/>
    <m/>
    <m/>
    <m/>
    <m/>
    <m/>
    <m/>
  </r>
  <r>
    <s v="62334221"/>
    <s v="Tělocvičná jednota Sokol Hošťálková"/>
    <s v="736"/>
    <x v="0"/>
    <x v="1"/>
    <s v="Hošťálková"/>
    <s v="Hošťálková 441, PSČ 75622"/>
    <s v="93110"/>
    <s v="Provozování sportovních zařízení"/>
    <m/>
    <m/>
    <m/>
    <m/>
    <m/>
    <m/>
    <m/>
    <m/>
    <m/>
    <m/>
    <m/>
    <m/>
    <m/>
    <m/>
    <m/>
    <m/>
    <m/>
  </r>
  <r>
    <s v="64123014"/>
    <s v="Tělocvičná jednota Sokol Jablůnka - Pržno"/>
    <s v="736"/>
    <x v="0"/>
    <x v="1"/>
    <s v="Jablůnka"/>
    <s v="Jablůnka 187, PSČ 75623"/>
    <s v="93110"/>
    <s v="Provozování sportovních zařízení"/>
    <m/>
    <m/>
    <m/>
    <m/>
    <m/>
    <m/>
    <m/>
    <m/>
    <m/>
    <m/>
    <m/>
    <m/>
    <m/>
    <m/>
    <m/>
    <m/>
    <m/>
  </r>
  <r>
    <s v="65823770"/>
    <s v="Tělocvičná jednota Sokol Jasenná"/>
    <s v="736"/>
    <x v="0"/>
    <x v="0"/>
    <s v="Jasenná"/>
    <s v="Jasenná, 171"/>
    <s v="93110"/>
    <s v="Provozování sportovních zařízení"/>
    <m/>
    <m/>
    <m/>
    <m/>
    <m/>
    <m/>
    <m/>
    <m/>
    <m/>
    <m/>
    <m/>
    <m/>
    <m/>
    <m/>
    <m/>
    <m/>
    <m/>
  </r>
  <r>
    <s v="22848410"/>
    <s v="Tělocvičná jednota Sokol Jižní Svahy Zlín - 5"/>
    <s v="736"/>
    <x v="0"/>
    <x v="0"/>
    <s v="Zlín"/>
    <s v="Zlín, Družstevní 5398, PSČ 76001"/>
    <s v="93120"/>
    <s v="Činnosti sportovních klubů"/>
    <m/>
    <m/>
    <m/>
    <m/>
    <m/>
    <m/>
    <m/>
    <m/>
    <m/>
    <m/>
    <m/>
    <m/>
    <m/>
    <m/>
    <m/>
    <m/>
    <m/>
  </r>
  <r>
    <s v="67728294"/>
    <s v="Tělocvičná jednota Sokol Karolinka"/>
    <s v="736"/>
    <x v="0"/>
    <x v="1"/>
    <s v="Karolinka"/>
    <s v="Karolinka, U Sokolovny 81, PSČ 75605"/>
    <s v="93110"/>
    <s v="Provozování sportovních zařízení"/>
    <m/>
    <m/>
    <m/>
    <m/>
    <m/>
    <m/>
    <m/>
    <m/>
    <m/>
    <m/>
    <m/>
    <m/>
    <m/>
    <m/>
    <m/>
    <m/>
    <m/>
  </r>
  <r>
    <s v="47935278"/>
    <s v="Tělocvičná jednota Sokol Kostelany"/>
    <s v="736"/>
    <x v="0"/>
    <x v="3"/>
    <s v="Kostelany"/>
    <s v="Kostelany 119, PSČ 76701"/>
    <s v="93110"/>
    <s v="Provozování sportovních zařízení"/>
    <m/>
    <m/>
    <m/>
    <m/>
    <m/>
    <m/>
    <m/>
    <m/>
    <m/>
    <m/>
    <m/>
    <m/>
    <m/>
    <m/>
    <m/>
    <m/>
    <m/>
  </r>
  <r>
    <s v="46276637"/>
    <s v="Tělocvičná jednota Sokol Kostelec"/>
    <s v="736"/>
    <x v="0"/>
    <x v="0"/>
    <s v="Zlín"/>
    <s v="Zlín, Kostelec, Za Humny 339, PSČ 76314"/>
    <s v="93110"/>
    <s v="Provozování sportovních zařízení"/>
    <m/>
    <m/>
    <m/>
    <m/>
    <m/>
    <m/>
    <m/>
    <m/>
    <m/>
    <m/>
    <m/>
    <m/>
    <m/>
    <m/>
    <m/>
    <m/>
    <m/>
  </r>
  <r>
    <s v="47934654"/>
    <s v="Tělocvičná jednota Sokol Kostelec u Holešova"/>
    <s v="736"/>
    <x v="0"/>
    <x v="3"/>
    <s v="Kostelec u Holešova"/>
    <s v="Kostelec u Holešova 93, PSČ 76843"/>
    <s v="93110"/>
    <s v="Provozování sportovních zařízení"/>
    <m/>
    <m/>
    <m/>
    <m/>
    <m/>
    <m/>
    <m/>
    <m/>
    <m/>
    <m/>
    <m/>
    <m/>
    <m/>
    <m/>
    <m/>
    <m/>
    <m/>
  </r>
  <r>
    <s v="46998471"/>
    <s v="Tělocvičná jednota Sokol Kroměříž"/>
    <s v="736"/>
    <x v="0"/>
    <x v="3"/>
    <s v="Kroměříž"/>
    <s v="Kroměříž, 1. máje 214/12, PSČ 76701"/>
    <s v="93110"/>
    <s v="Provozování sportovních zařízení"/>
    <m/>
    <m/>
    <m/>
    <m/>
    <m/>
    <m/>
    <m/>
    <m/>
    <m/>
    <m/>
    <m/>
    <m/>
    <m/>
    <m/>
    <m/>
    <m/>
    <m/>
  </r>
  <r>
    <s v="00544078"/>
    <s v="Tělocvičná jednota Sokol Kunovice"/>
    <s v="736"/>
    <x v="0"/>
    <x v="2"/>
    <s v="Kunovice"/>
    <s v="Kunovice, Panská 1612, PSČ 68604"/>
    <s v="93110"/>
    <s v="Provozování sportovních zařízení"/>
    <m/>
    <m/>
    <m/>
    <m/>
    <m/>
    <m/>
    <m/>
    <m/>
    <m/>
    <m/>
    <m/>
    <m/>
    <m/>
    <m/>
    <m/>
    <m/>
    <m/>
  </r>
  <r>
    <s v="47933631"/>
    <s v="Tělocvičná jednota Sokol Kvasice"/>
    <s v="736"/>
    <x v="0"/>
    <x v="3"/>
    <s v="Kvasice"/>
    <s v="Kvasice, A. Dohnala 14, PSČ 76821"/>
    <s v="93110"/>
    <s v="Provozování sportovních zařízení"/>
    <m/>
    <m/>
    <m/>
    <m/>
    <m/>
    <m/>
    <m/>
    <m/>
    <m/>
    <m/>
    <m/>
    <m/>
    <m/>
    <m/>
    <m/>
    <m/>
    <m/>
  </r>
  <r>
    <s v="47930101"/>
    <s v="Tělocvičná jednota Sokol Litenčice"/>
    <s v="736"/>
    <x v="0"/>
    <x v="3"/>
    <s v="Litenčice"/>
    <s v="Litenčice 98, PSČ 76813"/>
    <s v="93110"/>
    <s v="Provozování sportovních zařízení"/>
    <m/>
    <m/>
    <m/>
    <m/>
    <m/>
    <m/>
    <m/>
    <m/>
    <m/>
    <m/>
    <m/>
    <m/>
    <m/>
    <m/>
    <m/>
    <m/>
    <m/>
  </r>
  <r>
    <s v="65792165"/>
    <s v="Tělocvičná jednota Sokol Luhačovice"/>
    <s v="736"/>
    <x v="0"/>
    <x v="0"/>
    <s v="Luhačovice"/>
    <s v="Luhačovice, Masarykova 228, PSČ 76326"/>
    <s v="93110"/>
    <s v="Provozování sportovních zařízení"/>
    <s v="Stravování v restauracích, u stánků a v mobilních zařízeních"/>
    <m/>
    <m/>
    <m/>
    <m/>
    <m/>
    <m/>
    <m/>
    <m/>
    <m/>
    <m/>
    <m/>
    <m/>
    <m/>
    <m/>
    <m/>
    <m/>
  </r>
  <r>
    <s v="14089840"/>
    <s v="Tělocvičná jednota Sokol Lukov"/>
    <s v="736"/>
    <x v="0"/>
    <x v="0"/>
    <s v="Lukov"/>
    <s v="Lukov, Hrušoví č. ev. 163, PSČ 76317"/>
    <s v="93190"/>
    <s v="Ostatní sportovní činnosti"/>
    <m/>
    <m/>
    <m/>
    <m/>
    <m/>
    <m/>
    <m/>
    <m/>
    <m/>
    <m/>
    <m/>
    <m/>
    <m/>
    <m/>
    <m/>
    <m/>
    <m/>
  </r>
  <r>
    <s v="42340021"/>
    <s v="Tělocvičná jednota Sokol Malenovice"/>
    <s v="736"/>
    <x v="0"/>
    <x v="0"/>
    <s v="Zlín"/>
    <s v="Zlín, Malenovice, Tyršova 230, PSČ 76302"/>
    <s v="93110"/>
    <s v="Provozování sportovních zařízení"/>
    <m/>
    <m/>
    <m/>
    <m/>
    <m/>
    <m/>
    <m/>
    <m/>
    <m/>
    <m/>
    <m/>
    <m/>
    <m/>
    <m/>
    <m/>
    <m/>
    <m/>
  </r>
  <r>
    <s v="63414121"/>
    <s v="Tělocvičná jednota Sokol Martinice"/>
    <s v="736"/>
    <x v="0"/>
    <x v="3"/>
    <s v="Martinice"/>
    <s v="Martinice 321, PSČ 76901"/>
    <s v="93110"/>
    <s v="Provozování sportovních zařízení"/>
    <m/>
    <m/>
    <m/>
    <m/>
    <m/>
    <m/>
    <m/>
    <m/>
    <m/>
    <m/>
    <m/>
    <m/>
    <m/>
    <m/>
    <m/>
    <m/>
    <m/>
  </r>
  <r>
    <s v="48505919"/>
    <s v="Tělocvičná jednota Sokol Mařatice"/>
    <s v="736"/>
    <x v="0"/>
    <x v="2"/>
    <s v="Uherské Hradiště"/>
    <s v="Uherské Hradiště, Mařatice, Sokolovská 351, PSČ 68601"/>
    <s v="93110"/>
    <s v="Provozování sportovních zařízení"/>
    <m/>
    <m/>
    <m/>
    <m/>
    <m/>
    <m/>
    <m/>
    <m/>
    <m/>
    <m/>
    <m/>
    <m/>
    <m/>
    <m/>
    <m/>
    <m/>
    <m/>
  </r>
  <r>
    <s v="47930152"/>
    <s v="Tělocvičná jednota Sokol Morkovice"/>
    <s v="736"/>
    <x v="0"/>
    <x v="3"/>
    <s v="Morkovice-Slížany"/>
    <s v="Morkovice-Slížany, Morkovice, Sokolská 410, PSČ 76833"/>
    <s v="93110"/>
    <s v="Provozování sportovních zařízení"/>
    <s v="Stravování v restauracích, u stánků a v mobilních zařízeních"/>
    <m/>
    <m/>
    <m/>
    <m/>
    <m/>
    <m/>
    <m/>
    <m/>
    <m/>
    <m/>
    <m/>
    <m/>
    <m/>
    <m/>
    <m/>
    <m/>
  </r>
  <r>
    <s v="44117329"/>
    <s v="Tělocvičná jednota Sokol Napajedla"/>
    <s v="736"/>
    <x v="0"/>
    <x v="0"/>
    <s v="Napajedla"/>
    <s v="Napajedla, Na Kapli 673, PSČ 76361"/>
    <s v="9311"/>
    <s v="Provozování sportovních zařízení"/>
    <m/>
    <m/>
    <m/>
    <m/>
    <m/>
    <m/>
    <m/>
    <m/>
    <m/>
    <m/>
    <m/>
    <m/>
    <m/>
    <m/>
    <m/>
    <m/>
    <m/>
  </r>
  <r>
    <s v="65338154"/>
    <s v="Tělocvičná jednota Sokol Nítkovice"/>
    <s v="736"/>
    <x v="0"/>
    <x v="3"/>
    <s v="Nítkovice"/>
    <s v="Nítkovice 128, PSČ 76813"/>
    <s v="93110"/>
    <s v="Provozování sportovních zařízení"/>
    <m/>
    <m/>
    <m/>
    <m/>
    <m/>
    <m/>
    <m/>
    <m/>
    <m/>
    <m/>
    <m/>
    <m/>
    <m/>
    <m/>
    <m/>
    <m/>
    <m/>
  </r>
  <r>
    <s v="70925372"/>
    <s v="Tělocvičná jednota Sokol Otrokovice"/>
    <s v="736"/>
    <x v="0"/>
    <x v="0"/>
    <s v="Otrokovice"/>
    <s v="Otrokovice, Komenského 248, PSČ 76502"/>
    <s v="93110"/>
    <s v="Provozování sportovních zařízení"/>
    <m/>
    <m/>
    <m/>
    <m/>
    <m/>
    <m/>
    <m/>
    <m/>
    <m/>
    <m/>
    <m/>
    <m/>
    <m/>
    <m/>
    <m/>
    <m/>
    <m/>
  </r>
  <r>
    <s v="70810818"/>
    <s v="Tělocvičná jednota Sokol Podolí"/>
    <s v="736"/>
    <x v="0"/>
    <x v="2"/>
    <s v="Podolí"/>
    <s v="Podolí 251, PSČ 68604"/>
    <s v="93110"/>
    <s v="Provozování sportovních zařízení"/>
    <m/>
    <m/>
    <m/>
    <m/>
    <m/>
    <m/>
    <m/>
    <m/>
    <m/>
    <m/>
    <m/>
    <m/>
    <m/>
    <m/>
    <m/>
    <m/>
    <m/>
  </r>
  <r>
    <s v="47930527"/>
    <s v="Tělocvičná jednota Sokol Pornice"/>
    <s v="736"/>
    <x v="0"/>
    <x v="3"/>
    <s v="Pačlavice"/>
    <s v="Pačlavice, Pornice 141, PSČ 76833"/>
    <s v="93110"/>
    <s v="Provozování sportovních zařízení"/>
    <m/>
    <m/>
    <m/>
    <m/>
    <m/>
    <m/>
    <m/>
    <m/>
    <m/>
    <m/>
    <m/>
    <m/>
    <m/>
    <m/>
    <m/>
    <m/>
    <m/>
  </r>
  <r>
    <s v="18189610"/>
    <s v="Tělocvičná jednota Sokol Postoupky"/>
    <s v="736"/>
    <x v="0"/>
    <x v="3"/>
    <s v="Kroměříž"/>
    <s v="Kroměříž, Postoupky 67, PSČ 76701"/>
    <s v="93110"/>
    <s v="Provozování sportovních zařízení"/>
    <m/>
    <m/>
    <m/>
    <m/>
    <m/>
    <m/>
    <m/>
    <m/>
    <m/>
    <m/>
    <m/>
    <m/>
    <m/>
    <m/>
    <m/>
    <m/>
    <m/>
  </r>
  <r>
    <s v="65828119"/>
    <s v="Tělocvičná jednota Sokol Přílepy"/>
    <s v="736"/>
    <x v="0"/>
    <x v="3"/>
    <s v="Přílepy"/>
    <s v="Přílepy 117, PSČ 76901"/>
    <s v="93110"/>
    <s v="Provozování sportovních zařízení"/>
    <m/>
    <m/>
    <m/>
    <m/>
    <m/>
    <m/>
    <m/>
    <m/>
    <m/>
    <m/>
    <m/>
    <m/>
    <m/>
    <m/>
    <m/>
    <m/>
    <m/>
  </r>
  <r>
    <s v="70238669"/>
    <s v="Tělocvičná jednota Sokol Rožnov pod Radhoštěm"/>
    <s v="736"/>
    <x v="0"/>
    <x v="1"/>
    <s v="Rožnov pod Radhoštěm"/>
    <s v="Rožnov pod Radhoštěm, Slezská 1129, PSČ 75661"/>
    <s v="931"/>
    <s v="Sportovní činnosti"/>
    <m/>
    <m/>
    <m/>
    <m/>
    <m/>
    <m/>
    <m/>
    <m/>
    <m/>
    <m/>
    <m/>
    <m/>
    <m/>
    <m/>
    <m/>
    <m/>
    <m/>
  </r>
  <r>
    <s v="70806721"/>
    <s v="Tělocvičná jednota Sokol Staré Město"/>
    <s v="736"/>
    <x v="0"/>
    <x v="2"/>
    <s v="Staré Město"/>
    <s v="Staré Město, Brněnská 1249, PSČ 68603"/>
    <s v="93110"/>
    <s v="Provozování sportovních zařízení"/>
    <m/>
    <m/>
    <m/>
    <m/>
    <m/>
    <m/>
    <m/>
    <m/>
    <m/>
    <m/>
    <m/>
    <m/>
    <m/>
    <m/>
    <m/>
    <m/>
    <m/>
  </r>
  <r>
    <s v="46276335"/>
    <s v="Tělocvičná jednota Sokol Štípa"/>
    <s v="736"/>
    <x v="0"/>
    <x v="0"/>
    <s v="Zlín"/>
    <s v="Zlín, Štípa, Mariánské náměstí 197, PSČ 7631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8473901"/>
    <s v="Tělocvičná jednota Sokol Tlumačov"/>
    <s v="736"/>
    <x v="0"/>
    <x v="0"/>
    <s v="Tlumačov"/>
    <s v="Tlumačov, Sokolská 401, PSČ 76362"/>
    <s v="93110"/>
    <s v="Provozování sportovních zařízení"/>
    <m/>
    <m/>
    <m/>
    <m/>
    <m/>
    <m/>
    <m/>
    <m/>
    <m/>
    <m/>
    <m/>
    <m/>
    <m/>
    <m/>
    <m/>
    <m/>
    <m/>
  </r>
  <r>
    <s v="47930136"/>
    <s v="Tělocvičná jednota Sokol Třebětice"/>
    <s v="736"/>
    <x v="0"/>
    <x v="3"/>
    <s v="Třebětice"/>
    <s v="Třebětice 60, PSČ 76901"/>
    <s v="93110"/>
    <s v="Provozování sportovních zařízení"/>
    <m/>
    <m/>
    <m/>
    <m/>
    <m/>
    <m/>
    <m/>
    <m/>
    <m/>
    <m/>
    <m/>
    <m/>
    <m/>
    <m/>
    <m/>
    <m/>
    <m/>
  </r>
  <r>
    <s v="00531120"/>
    <s v="Tělocvičná jednota Sokol Uherské Hradiště"/>
    <s v="736"/>
    <x v="0"/>
    <x v="2"/>
    <s v="Uherské Hradiště"/>
    <s v="Uherské Hradiště, Tyršovo náměstí 113, PSČ 68601"/>
    <s v="9311"/>
    <s v="Provozování sportovních zařízení"/>
    <m/>
    <m/>
    <m/>
    <m/>
    <m/>
    <m/>
    <m/>
    <m/>
    <m/>
    <m/>
    <m/>
    <m/>
    <m/>
    <m/>
    <m/>
    <m/>
    <m/>
  </r>
  <r>
    <s v="00531138"/>
    <s v="Tělocvičná jednota Sokol Uherský Brod"/>
    <s v="736"/>
    <x v="0"/>
    <x v="2"/>
    <s v="Uherský Brod"/>
    <s v="Uherský Brod, Svat. Čecha 1137, PSČ 68801"/>
    <s v="93110"/>
    <s v="Provozování sportovních zařízení"/>
    <m/>
    <m/>
    <m/>
    <m/>
    <m/>
    <m/>
    <m/>
    <m/>
    <m/>
    <m/>
    <m/>
    <m/>
    <m/>
    <m/>
    <m/>
    <m/>
    <m/>
  </r>
  <r>
    <s v="49157957"/>
    <s v="Tělocvičná jednota Sokol Valašské Klobouky"/>
    <s v="736"/>
    <x v="0"/>
    <x v="0"/>
    <s v="Valašské Klobouky"/>
    <s v="Valašské Klobouky, Dobrovského 40, PSČ 76601"/>
    <s v="93110"/>
    <s v="Provozování sportovních zařízení"/>
    <m/>
    <m/>
    <m/>
    <m/>
    <m/>
    <m/>
    <m/>
    <m/>
    <m/>
    <m/>
    <m/>
    <m/>
    <m/>
    <m/>
    <m/>
    <m/>
    <m/>
  </r>
  <r>
    <s v="60042311"/>
    <s v="Tělocvičná jednota Sokol Valašské Meziříčí"/>
    <s v="736"/>
    <x v="0"/>
    <x v="1"/>
    <s v="Valašské Meziříčí"/>
    <s v="Valašské Meziříčí, Sokolská 124/38, PSČ 75701"/>
    <s v="93110"/>
    <s v="Provozování sportovních zařízení"/>
    <m/>
    <m/>
    <m/>
    <m/>
    <m/>
    <m/>
    <m/>
    <m/>
    <m/>
    <m/>
    <m/>
    <m/>
    <m/>
    <m/>
    <m/>
    <m/>
    <m/>
  </r>
  <r>
    <s v="01177630"/>
    <s v="Tělocvičná jednota Sokol Věžky"/>
    <s v="736"/>
    <x v="0"/>
    <x v="3"/>
    <s v="Věžky"/>
    <s v="Věžky 61, PSČ 76833"/>
    <s v="93110"/>
    <s v="Provozování sportovních zařízení"/>
    <m/>
    <m/>
    <m/>
    <m/>
    <m/>
    <m/>
    <m/>
    <m/>
    <m/>
    <m/>
    <m/>
    <m/>
    <m/>
    <m/>
    <m/>
    <m/>
    <m/>
  </r>
  <r>
    <s v="16361601"/>
    <s v="Tělocvičná jednota Sokol Vlčnov"/>
    <s v="736"/>
    <x v="0"/>
    <x v="2"/>
    <s v="Vlčnov"/>
    <s v="Vlčnov 170, PSČ 68761"/>
    <s v="93110"/>
    <s v="Provozování sportovních zařízení"/>
    <m/>
    <m/>
    <m/>
    <m/>
    <m/>
    <m/>
    <m/>
    <m/>
    <m/>
    <m/>
    <m/>
    <m/>
    <m/>
    <m/>
    <m/>
    <m/>
    <m/>
  </r>
  <r>
    <s v="62334964"/>
    <s v="Tělocvičná jednota Sokol Vsetín"/>
    <s v="736"/>
    <x v="0"/>
    <x v="1"/>
    <s v="Vsetín"/>
    <s v="Vsetín, Na Příkopě 814, PSČ 75501"/>
    <s v="931"/>
    <s v="Sportovní činnosti"/>
    <m/>
    <m/>
    <m/>
    <m/>
    <m/>
    <m/>
    <m/>
    <m/>
    <m/>
    <m/>
    <m/>
    <m/>
    <m/>
    <m/>
    <m/>
    <m/>
    <m/>
  </r>
  <r>
    <s v="08009988"/>
    <s v="Tělocvičná jednota Sokol Všetuly"/>
    <s v="736"/>
    <x v="0"/>
    <x v="3"/>
    <s v="Holešov"/>
    <s v="Holešov, Všetuly, 6. května 20, PSČ 76901"/>
    <s v="93110"/>
    <s v="Provozování sportovních zařízení"/>
    <m/>
    <m/>
    <m/>
    <m/>
    <m/>
    <m/>
    <m/>
    <m/>
    <m/>
    <m/>
    <m/>
    <m/>
    <m/>
    <m/>
    <m/>
    <m/>
    <m/>
  </r>
  <r>
    <s v="04159951"/>
    <s v="Tělocvičná jednota Sokol Zádveřice"/>
    <s v="736"/>
    <x v="0"/>
    <x v="0"/>
    <s v="Zádveřice-Raková"/>
    <s v="Zádveřice-Raková, Zádveřice 340, PSČ 76312"/>
    <s v="93110"/>
    <s v="Provozování sportovních zařízení"/>
    <m/>
    <m/>
    <m/>
    <m/>
    <m/>
    <m/>
    <m/>
    <m/>
    <m/>
    <m/>
    <m/>
    <m/>
    <m/>
    <m/>
    <m/>
    <m/>
    <m/>
  </r>
  <r>
    <s v="00530719"/>
    <s v="Tělocvičná jednota Sokol Zlín"/>
    <s v="736"/>
    <x v="0"/>
    <x v="0"/>
    <s v="Zlín"/>
    <s v="Zlín, Sokolská 663, PSČ 76001"/>
    <s v="93110"/>
    <s v="Provozování sportovních zařízení"/>
    <m/>
    <m/>
    <m/>
    <m/>
    <m/>
    <m/>
    <m/>
    <m/>
    <m/>
    <m/>
    <m/>
    <m/>
    <m/>
    <m/>
    <m/>
    <m/>
    <m/>
  </r>
  <r>
    <s v="65823061"/>
    <s v="Tělocvičná jednota Sokol Zlín - Prštné"/>
    <s v="736"/>
    <x v="0"/>
    <x v="0"/>
    <s v="Zlín"/>
    <s v="Zlín, Prštné, U Sokolovny 100, PSČ 76001"/>
    <s v="93110"/>
    <s v="Provozování sportovních zařízení"/>
    <m/>
    <m/>
    <m/>
    <m/>
    <m/>
    <m/>
    <m/>
    <m/>
    <m/>
    <m/>
    <m/>
    <m/>
    <m/>
    <m/>
    <m/>
    <m/>
    <m/>
  </r>
  <r>
    <s v="47933755"/>
    <s v="Tělocvičná jednota Sokol Žalkovice"/>
    <s v="736"/>
    <x v="0"/>
    <x v="3"/>
    <s v="Žalkovice"/>
    <s v="Žalkovice 122, PSČ 76823"/>
    <s v="93110"/>
    <s v="Provozování sportovních zařízení"/>
    <m/>
    <m/>
    <m/>
    <m/>
    <m/>
    <m/>
    <m/>
    <m/>
    <m/>
    <m/>
    <m/>
    <m/>
    <m/>
    <m/>
    <m/>
    <m/>
    <m/>
  </r>
  <r>
    <s v="44119259"/>
    <s v="Tělocvičná jednota Sokol Želechovice"/>
    <s v="736"/>
    <x v="0"/>
    <x v="0"/>
    <s v="Želechovice nad Dřevnicí"/>
    <s v="Želechovice nad Dřevnicí, 4. května 48, PSČ 76311"/>
    <s v="93110"/>
    <s v="Provozování sportovních zařízení"/>
    <m/>
    <m/>
    <m/>
    <m/>
    <m/>
    <m/>
    <m/>
    <m/>
    <m/>
    <m/>
    <m/>
    <m/>
    <m/>
    <m/>
    <m/>
    <m/>
    <m/>
  </r>
  <r>
    <s v="61704130"/>
    <s v="Tělovýchovná jednota Bílovice z.s."/>
    <s v="706"/>
    <x v="1"/>
    <x v="2"/>
    <s v="Bílovice"/>
    <s v="Bílovice 4, PSČ 68712"/>
    <s v="93110"/>
    <s v="Provozování sportovních zařízení"/>
    <m/>
    <m/>
    <m/>
    <m/>
    <m/>
    <m/>
    <m/>
    <m/>
    <m/>
    <m/>
    <m/>
    <m/>
    <m/>
    <m/>
    <m/>
    <m/>
    <m/>
  </r>
  <r>
    <s v="46956425"/>
    <s v="Tělovýchovná jednota Bojkovice z.s."/>
    <s v="706"/>
    <x v="1"/>
    <x v="2"/>
    <s v="Bojkovice"/>
    <s v="Bojkovice, Tovární 615, PSČ 68771"/>
    <s v="93110"/>
    <s v="Provozování sportovních zařízení"/>
    <s v="Maloobchod v nespecializovaných prodejnách"/>
    <s v="Výstavba bytových a nebytových budov"/>
    <s v="Rekreační a ostatní krátkodobé ubytování"/>
    <s v="Stravování v restauracích, u stánků a v mobilních zařízeních"/>
    <m/>
    <m/>
    <m/>
    <m/>
    <m/>
    <m/>
    <m/>
    <m/>
    <m/>
    <m/>
    <m/>
    <m/>
    <m/>
  </r>
  <r>
    <s v="60369973"/>
    <s v="Tělovýchovná jednota Buchlovice z.s."/>
    <s v="706"/>
    <x v="1"/>
    <x v="2"/>
    <s v="Buchlovice"/>
    <s v="Buchlovice, Sportovní 574, PSČ 68708"/>
    <s v="93110"/>
    <s v="Provozování sportovních zařízení"/>
    <m/>
    <m/>
    <m/>
    <m/>
    <m/>
    <m/>
    <m/>
    <m/>
    <m/>
    <m/>
    <m/>
    <m/>
    <m/>
    <m/>
    <m/>
    <m/>
    <m/>
  </r>
  <r>
    <s v="18189571"/>
    <s v="Tělovýchovná jednota Chvalčov, z.s."/>
    <s v="706"/>
    <x v="1"/>
    <x v="3"/>
    <s v="Chvalčov"/>
    <s v="Chvalčov, Obřanská 145, PSČ 76872"/>
    <s v="93110"/>
    <s v="Provozování sportovních zařízení"/>
    <m/>
    <m/>
    <m/>
    <m/>
    <m/>
    <m/>
    <m/>
    <m/>
    <m/>
    <m/>
    <m/>
    <m/>
    <m/>
    <m/>
    <m/>
    <m/>
    <m/>
  </r>
  <r>
    <s v="48472786"/>
    <s v="Tělovýchovná jednota Dolní Lhota, z.s."/>
    <s v="706"/>
    <x v="1"/>
    <x v="0"/>
    <s v="Dolní Lhota"/>
    <s v="Dolní Lhota 129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371960"/>
    <s v="Tělovýchovná jednota Drslavice, z. s."/>
    <s v="706"/>
    <x v="1"/>
    <x v="2"/>
    <s v="Drslavice"/>
    <s v="Drslavice 93, PSČ 68733"/>
    <s v="93110"/>
    <s v="Provozování sportovních zařízení"/>
    <m/>
    <m/>
    <m/>
    <m/>
    <m/>
    <m/>
    <m/>
    <m/>
    <m/>
    <m/>
    <m/>
    <m/>
    <m/>
    <m/>
    <m/>
    <m/>
    <m/>
  </r>
  <r>
    <s v="61704407"/>
    <s v="Tělovýchovná jednota Družstevník Popovice z.s."/>
    <s v="706"/>
    <x v="1"/>
    <x v="2"/>
    <s v="Popovice"/>
    <s v="Popovice 403, PSČ 68604"/>
    <s v="93110"/>
    <s v="Provozování sportovních zařízení"/>
    <m/>
    <m/>
    <m/>
    <m/>
    <m/>
    <m/>
    <m/>
    <m/>
    <m/>
    <m/>
    <m/>
    <m/>
    <m/>
    <m/>
    <m/>
    <m/>
    <m/>
  </r>
  <r>
    <s v="44740832"/>
    <s v="Tělovýchovná jednota Gumárny Zubří, z.s."/>
    <s v="706"/>
    <x v="1"/>
    <x v="1"/>
    <s v="Zubří"/>
    <s v="Zubří, Sídlištní 1750, PSČ 75654"/>
    <s v="931"/>
    <s v="Sportovní činnosti"/>
    <m/>
    <m/>
    <m/>
    <m/>
    <m/>
    <m/>
    <m/>
    <m/>
    <m/>
    <m/>
    <m/>
    <m/>
    <m/>
    <m/>
    <m/>
    <m/>
    <m/>
  </r>
  <r>
    <s v="44005300"/>
    <s v="Tělovýchovná jednota Halenkovice, z.s."/>
    <s v="706"/>
    <x v="1"/>
    <x v="0"/>
    <s v="Halenkovice"/>
    <s v="Halenkovice 622, PSČ 76363"/>
    <s v="93110"/>
    <s v="Provozování sportovních zařízení"/>
    <m/>
    <m/>
    <m/>
    <m/>
    <m/>
    <m/>
    <m/>
    <m/>
    <m/>
    <m/>
    <m/>
    <m/>
    <m/>
    <m/>
    <m/>
    <m/>
    <m/>
  </r>
  <r>
    <s v="18188389"/>
    <s v="Tělovýchovná jednota Holešov, z.s."/>
    <s v="706"/>
    <x v="1"/>
    <x v="3"/>
    <s v="Holešov"/>
    <s v="Holešov, Pivovarská 1419, PSČ 76901"/>
    <s v="93110"/>
    <s v="Provozování sportovních zařízení"/>
    <m/>
    <m/>
    <m/>
    <m/>
    <m/>
    <m/>
    <m/>
    <m/>
    <m/>
    <m/>
    <m/>
    <m/>
    <m/>
    <m/>
    <m/>
    <m/>
    <m/>
  </r>
  <r>
    <s v="64124045"/>
    <s v="Tělovýchovná jednota Horní Lideč z.s."/>
    <s v="706"/>
    <x v="1"/>
    <x v="1"/>
    <s v="Horní Lideč"/>
    <s v="Horní Lideč 292, PSČ 75612"/>
    <s v="93110"/>
    <s v="Provozování sportovních zařízení"/>
    <m/>
    <m/>
    <m/>
    <m/>
    <m/>
    <m/>
    <m/>
    <m/>
    <m/>
    <m/>
    <m/>
    <m/>
    <m/>
    <m/>
    <m/>
    <m/>
    <m/>
  </r>
  <r>
    <s v="68898401"/>
    <s v="Tělovýchovná jednota Jasenice, z.s."/>
    <s v="706"/>
    <x v="1"/>
    <x v="1"/>
    <s v="Lešná"/>
    <s v="Lešná, Jasenice 96, PSČ 75641"/>
    <s v="931"/>
    <s v="Sportovní činnosti"/>
    <m/>
    <m/>
    <m/>
    <m/>
    <m/>
    <m/>
    <m/>
    <m/>
    <m/>
    <m/>
    <m/>
    <m/>
    <m/>
    <m/>
    <m/>
    <m/>
    <m/>
  </r>
  <r>
    <s v="46277331"/>
    <s v="Tělovýchovná jednota Jižní svahy Zlín, spolek"/>
    <s v="706"/>
    <x v="1"/>
    <x v="0"/>
    <s v="Zlín"/>
    <s v="Zlín, Česká 4759, PSČ 76005"/>
    <s v="931"/>
    <s v="Sportovní činnosti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64123197"/>
    <s v="Tělovýchovná jednota Kelč, z.s."/>
    <s v="706"/>
    <x v="1"/>
    <x v="1"/>
    <s v="Kelč"/>
    <s v="Kelč 592, PSČ 75643"/>
    <s v="93110"/>
    <s v="Provozování sportovních zařízení"/>
    <m/>
    <m/>
    <m/>
    <m/>
    <m/>
    <m/>
    <m/>
    <m/>
    <m/>
    <m/>
    <m/>
    <m/>
    <m/>
    <m/>
    <m/>
    <m/>
    <m/>
  </r>
  <r>
    <s v="64123952"/>
    <s v="Tělovýchovná Jednota Kladeruby, z.s."/>
    <s v="706"/>
    <x v="1"/>
    <x v="1"/>
    <s v="Kladeruby"/>
    <s v="Kladeruby 72, PSČ 75643"/>
    <s v="93110"/>
    <s v="Provozování sportovních zařízení"/>
    <m/>
    <m/>
    <m/>
    <m/>
    <m/>
    <m/>
    <m/>
    <m/>
    <m/>
    <m/>
    <m/>
    <m/>
    <m/>
    <m/>
    <m/>
    <m/>
    <m/>
  </r>
  <r>
    <s v="60370327"/>
    <s v="Tělovýchovná jednota Korytná, z.s."/>
    <s v="706"/>
    <x v="1"/>
    <x v="2"/>
    <s v="Korytná"/>
    <s v="Korytná 418, PSČ 68752"/>
    <s v="93110"/>
    <s v="Provozování sportovních zařízení"/>
    <m/>
    <m/>
    <m/>
    <m/>
    <m/>
    <m/>
    <m/>
    <m/>
    <m/>
    <m/>
    <m/>
    <m/>
    <m/>
    <m/>
    <m/>
    <m/>
    <m/>
  </r>
  <r>
    <s v="46276190"/>
    <s v="Tělovýchovná jednota Ludkovice, spolek"/>
    <s v="706"/>
    <x v="1"/>
    <x v="0"/>
    <s v="Ludkovice"/>
    <s v="Ludkovice 44, PSČ 76341"/>
    <s v="93110"/>
    <s v="Provozování sportovních zařízení"/>
    <m/>
    <m/>
    <m/>
    <m/>
    <m/>
    <m/>
    <m/>
    <m/>
    <m/>
    <m/>
    <m/>
    <m/>
    <m/>
    <m/>
    <m/>
    <m/>
    <m/>
  </r>
  <r>
    <s v="18189890"/>
    <s v="Tělovýchovná jednota Lutopecny-Měrůtky, z.s."/>
    <s v="706"/>
    <x v="1"/>
    <x v="3"/>
    <s v="Lutopecny"/>
    <s v="Lutopecny 1, PSČ 76701"/>
    <s v="93110"/>
    <s v="Provozování sportovních zařízení"/>
    <m/>
    <m/>
    <m/>
    <m/>
    <m/>
    <m/>
    <m/>
    <m/>
    <m/>
    <m/>
    <m/>
    <m/>
    <m/>
    <m/>
    <m/>
    <m/>
    <m/>
  </r>
  <r>
    <s v="46307354"/>
    <s v="Tělovýchovná jednota Malenovice, z.s."/>
    <s v="706"/>
    <x v="1"/>
    <x v="0"/>
    <s v="Zlín"/>
    <s v="Zlín, Malenovice, Tyršova 1295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33815"/>
    <s v="Tělovýchovná jednota MEZ Vsetín, spolek"/>
    <s v="706"/>
    <x v="1"/>
    <x v="1"/>
    <s v="Vsetín"/>
    <s v="Vsetín, Mostecká 367, PSČ 75501"/>
    <s v="931"/>
    <s v="Sportovní činnosti"/>
    <m/>
    <m/>
    <m/>
    <m/>
    <m/>
    <m/>
    <m/>
    <m/>
    <m/>
    <m/>
    <m/>
    <m/>
    <m/>
    <m/>
    <m/>
    <m/>
    <m/>
  </r>
  <r>
    <s v="46956565"/>
    <s v="TĚLOVÝCHOVNÁ JEDNOTA NIVNICE z.s."/>
    <s v="706"/>
    <x v="1"/>
    <x v="2"/>
    <s v="Nivnice"/>
    <s v="Nivnice, Podohradí 888, PSČ 68751"/>
    <s v="93110"/>
    <s v="Provozování sportovních zařízení"/>
    <s v="Činnosti v oblasti nemovitostí na základě smlouvy nebo dohody"/>
    <s v="Destilace, rektifikace a míchání lihovin"/>
    <s v="Silniční nákladní doprava"/>
    <s v="Rekreační a ostatní krátkodobé ubytování"/>
    <s v="Stravování v restauracích, u stánků a v mobilních zařízeních"/>
    <m/>
    <m/>
    <m/>
    <m/>
    <m/>
    <m/>
    <m/>
    <m/>
    <m/>
    <m/>
    <m/>
    <m/>
  </r>
  <r>
    <s v="18190308"/>
    <s v="Tělovýchovná jednota Osíčko, z. s."/>
    <s v="706"/>
    <x v="1"/>
    <x v="3"/>
    <s v="Osíčko"/>
    <s v="Osíčko 121, PSČ 76861"/>
    <s v="93110"/>
    <s v="Provozování sportovních zařízení"/>
    <m/>
    <m/>
    <m/>
    <m/>
    <m/>
    <m/>
    <m/>
    <m/>
    <m/>
    <m/>
    <m/>
    <m/>
    <m/>
    <m/>
    <m/>
    <m/>
    <m/>
  </r>
  <r>
    <s v="68684509"/>
    <s v="Tělovýchovná jednota Pitín z.s."/>
    <s v="706"/>
    <x v="1"/>
    <x v="2"/>
    <s v="Pitín"/>
    <s v="Pitín 361, PSČ 68771"/>
    <s v="931"/>
    <s v="Sportovní činnosti"/>
    <m/>
    <m/>
    <m/>
    <m/>
    <m/>
    <m/>
    <m/>
    <m/>
    <m/>
    <m/>
    <m/>
    <m/>
    <m/>
    <m/>
    <m/>
    <m/>
    <m/>
  </r>
  <r>
    <s v="61704300"/>
    <s v="Tělovýchovná jednota Podolí,z.s."/>
    <s v="706"/>
    <x v="1"/>
    <x v="2"/>
    <s v="Podolí"/>
    <s v="Podolí 54, PSČ 68604"/>
    <s v="93110"/>
    <s v="Provozování sportovních zařízení"/>
    <m/>
    <m/>
    <m/>
    <m/>
    <m/>
    <m/>
    <m/>
    <m/>
    <m/>
    <m/>
    <m/>
    <m/>
    <m/>
    <m/>
    <m/>
    <m/>
    <m/>
  </r>
  <r>
    <s v="61704318"/>
    <s v="Tělovýchovná jednota Polešovice, z.s."/>
    <s v="706"/>
    <x v="1"/>
    <x v="2"/>
    <s v="Polešovice"/>
    <s v="Polešovice 252, PSČ 68737"/>
    <s v="93110"/>
    <s v="Provozování sportovních zařízení"/>
    <m/>
    <m/>
    <m/>
    <m/>
    <m/>
    <m/>
    <m/>
    <m/>
    <m/>
    <m/>
    <m/>
    <m/>
    <m/>
    <m/>
    <m/>
    <m/>
    <m/>
  </r>
  <r>
    <s v="70640629"/>
    <s v="Tělovýchovná jednota Police - spolek"/>
    <s v="706"/>
    <x v="1"/>
    <x v="1"/>
    <s v="Police"/>
    <s v="Police 207, PSČ 75644"/>
    <s v="931"/>
    <s v="Sportovní činnosti"/>
    <m/>
    <m/>
    <m/>
    <m/>
    <m/>
    <m/>
    <m/>
    <m/>
    <m/>
    <m/>
    <m/>
    <m/>
    <m/>
    <m/>
    <m/>
    <m/>
    <m/>
  </r>
  <r>
    <s v="61704326"/>
    <s v="Tělovýchovná jednota Přečkovice z. s."/>
    <s v="706"/>
    <x v="1"/>
    <x v="2"/>
    <s v="Bojkovice"/>
    <s v="Bojkovice, Přečkovice 105, PSČ 68771"/>
    <s v="93110"/>
    <s v="Provozování sportovních zařízení"/>
    <m/>
    <m/>
    <m/>
    <m/>
    <m/>
    <m/>
    <m/>
    <m/>
    <m/>
    <m/>
    <m/>
    <m/>
    <m/>
    <m/>
    <m/>
    <m/>
    <m/>
  </r>
  <r>
    <s v="22733621"/>
    <s v="Tělovýchovná jednota rekreační sporty Těšnovice"/>
    <s v="706"/>
    <x v="1"/>
    <x v="3"/>
    <s v="Kroměříž"/>
    <s v="Kroměříž, Těšnovice 115, PSČ 76701"/>
    <s v="93110"/>
    <s v="Provozování sportovních zařízení"/>
    <m/>
    <m/>
    <m/>
    <m/>
    <m/>
    <m/>
    <m/>
    <m/>
    <m/>
    <m/>
    <m/>
    <m/>
    <m/>
    <m/>
    <m/>
    <m/>
    <m/>
  </r>
  <r>
    <s v="18189741"/>
    <s v="Tělovýchovná jednota Skaštice, z.s."/>
    <s v="706"/>
    <x v="1"/>
    <x v="3"/>
    <s v="Skaštice"/>
    <s v="Skaštice 157, PSČ 76701"/>
    <s v="93110"/>
    <s v="Provozování sportovních zařízení"/>
    <m/>
    <m/>
    <m/>
    <m/>
    <m/>
    <m/>
    <m/>
    <m/>
    <m/>
    <m/>
    <m/>
    <m/>
    <m/>
    <m/>
    <m/>
    <m/>
    <m/>
  </r>
  <r>
    <s v="48505803"/>
    <s v="Tělovýchovná jednota Slavoj Jarošov z.s."/>
    <s v="706"/>
    <x v="1"/>
    <x v="2"/>
    <s v="Uherské Hradiště"/>
    <s v="Uherské Hradiště, Jarošov, Pivovarská 102, PSČ 68601"/>
    <s v="93110"/>
    <s v="Provozování sportovních zařízení"/>
    <m/>
    <m/>
    <m/>
    <m/>
    <m/>
    <m/>
    <m/>
    <m/>
    <m/>
    <m/>
    <m/>
    <m/>
    <m/>
    <m/>
    <m/>
    <m/>
    <m/>
  </r>
  <r>
    <s v="64124037"/>
    <s v="Tělovýchovná jednota Sokol Branky, z.s."/>
    <s v="706"/>
    <x v="1"/>
    <x v="1"/>
    <s v="Branky"/>
    <s v="Branky 181, PSČ 75645"/>
    <s v="93110"/>
    <s v="Provozování sportovních zařízení"/>
    <m/>
    <m/>
    <m/>
    <m/>
    <m/>
    <m/>
    <m/>
    <m/>
    <m/>
    <m/>
    <m/>
    <m/>
    <m/>
    <m/>
    <m/>
    <m/>
    <m/>
  </r>
  <r>
    <s v="68898398"/>
    <s v="Tělovýchovná jednota Sokol Bystřička, z.s."/>
    <s v="706"/>
    <x v="1"/>
    <x v="1"/>
    <s v="Bystřička"/>
    <s v="Bystřička 82, PSČ 75624"/>
    <s v="931"/>
    <s v="Sportovní činnosti"/>
    <m/>
    <m/>
    <m/>
    <m/>
    <m/>
    <m/>
    <m/>
    <m/>
    <m/>
    <m/>
    <m/>
    <m/>
    <m/>
    <m/>
    <m/>
    <m/>
    <m/>
  </r>
  <r>
    <s v="69211434"/>
    <s v="Tělovýchovná jednota Sokol Choryně, z. s."/>
    <s v="706"/>
    <x v="1"/>
    <x v="1"/>
    <s v="Choryně"/>
    <s v="Choryně 259, PSČ 75642"/>
    <s v="931"/>
    <s v="Sportovní činnosti"/>
    <m/>
    <m/>
    <m/>
    <m/>
    <m/>
    <m/>
    <m/>
    <m/>
    <m/>
    <m/>
    <m/>
    <m/>
    <m/>
    <m/>
    <m/>
    <m/>
    <m/>
  </r>
  <r>
    <s v="68898339"/>
    <s v="Tělovýchovná jednota Sokol Francova Lhota, z.s."/>
    <s v="706"/>
    <x v="1"/>
    <x v="1"/>
    <s v="Francova Lhota"/>
    <s v="Francova Lhota 375, PSČ 75614"/>
    <s v="931"/>
    <s v="Sportovní činnosti"/>
    <m/>
    <m/>
    <m/>
    <m/>
    <m/>
    <m/>
    <m/>
    <m/>
    <m/>
    <m/>
    <m/>
    <m/>
    <m/>
    <m/>
    <m/>
    <m/>
    <m/>
  </r>
  <r>
    <s v="48773433"/>
    <s v="Tělovýchovná jednota Sokol Hošťálková, z. s."/>
    <s v="706"/>
    <x v="1"/>
    <x v="1"/>
    <s v="Hošťálková"/>
    <s v="Hošťálková 531, PSČ 75622"/>
    <s v="93110"/>
    <s v="Provozování sportovních zařízení"/>
    <m/>
    <m/>
    <m/>
    <m/>
    <m/>
    <m/>
    <m/>
    <m/>
    <m/>
    <m/>
    <m/>
    <m/>
    <m/>
    <m/>
    <m/>
    <m/>
    <m/>
  </r>
  <r>
    <s v="61704181"/>
    <s v="Tělovýchovná jednota SOKOL Huštěnovice, z.s."/>
    <s v="706"/>
    <x v="1"/>
    <x v="2"/>
    <s v="Huštěnovice"/>
    <s v="Huštěnovice 53, PSČ 68703"/>
    <s v="93110"/>
    <s v="Provozování sportovních zařízení"/>
    <m/>
    <m/>
    <m/>
    <m/>
    <m/>
    <m/>
    <m/>
    <m/>
    <m/>
    <m/>
    <m/>
    <m/>
    <m/>
    <m/>
    <m/>
    <m/>
    <m/>
  </r>
  <r>
    <s v="68898444"/>
    <s v="Tělovýchovná jednota Sokol Kněhyně z.s."/>
    <s v="706"/>
    <x v="1"/>
    <x v="1"/>
    <s v="Prostřední Bečva"/>
    <s v="Prostřední Bečva 414, PSČ 75656"/>
    <s v="931"/>
    <s v="Sportovní činnosti"/>
    <m/>
    <m/>
    <m/>
    <m/>
    <m/>
    <m/>
    <m/>
    <m/>
    <m/>
    <m/>
    <m/>
    <m/>
    <m/>
    <m/>
    <m/>
    <m/>
    <m/>
  </r>
  <r>
    <s v="61704211"/>
    <s v="Tělovýchovná jednota SOKOL Kněžpole"/>
    <s v="706"/>
    <x v="1"/>
    <x v="2"/>
    <s v="Kněžpole"/>
    <s v="Kněžpole 103, PSČ 68712"/>
    <s v="93110"/>
    <s v="Provozování sportovních zařízení"/>
    <m/>
    <m/>
    <m/>
    <m/>
    <m/>
    <m/>
    <m/>
    <m/>
    <m/>
    <m/>
    <m/>
    <m/>
    <m/>
    <m/>
    <m/>
    <m/>
    <m/>
  </r>
  <r>
    <s v="46277498"/>
    <s v="Tělovýchovná jednota Sokol Komárov, z.s."/>
    <s v="706"/>
    <x v="1"/>
    <x v="0"/>
    <s v="Komárov"/>
    <s v="Komárov 124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505790"/>
    <s v="Tělovýchovná jednota Sokol Kostelany nad Moravou z.s."/>
    <s v="706"/>
    <x v="1"/>
    <x v="2"/>
    <s v="Kostelany nad Moravou"/>
    <s v="Kostelany nad Moravou 350, PSČ 68601"/>
    <s v="93110"/>
    <s v="Provozování sportovních zařízení"/>
    <m/>
    <m/>
    <m/>
    <m/>
    <m/>
    <m/>
    <m/>
    <m/>
    <m/>
    <m/>
    <m/>
    <m/>
    <m/>
    <m/>
    <m/>
    <m/>
    <m/>
  </r>
  <r>
    <s v="70925135"/>
    <s v="Tělovýchovná Jednota Sokol Lačnov, z.s."/>
    <s v="706"/>
    <x v="1"/>
    <x v="1"/>
    <s v="Lačnov"/>
    <s v="Lačnov 286, PSČ 75612"/>
    <s v="93120"/>
    <s v="Činnosti sportovních klubů"/>
    <m/>
    <m/>
    <m/>
    <m/>
    <m/>
    <m/>
    <m/>
    <m/>
    <m/>
    <m/>
    <m/>
    <m/>
    <m/>
    <m/>
    <m/>
    <m/>
    <m/>
  </r>
  <r>
    <s v="48506311"/>
    <s v="Tělovýchovná jednota Sokol Ořechov, z. s."/>
    <s v="706"/>
    <x v="1"/>
    <x v="2"/>
    <s v="Ořechov"/>
    <s v="Ořechov č. ev. 3, PSČ 68737"/>
    <s v="93110"/>
    <s v="Provozování sportovních zařízení"/>
    <m/>
    <m/>
    <m/>
    <m/>
    <m/>
    <m/>
    <m/>
    <m/>
    <m/>
    <m/>
    <m/>
    <m/>
    <m/>
    <m/>
    <m/>
    <m/>
    <m/>
  </r>
  <r>
    <s v="46998519"/>
    <s v="Tělovýchovná jednota Sokol Rymice, z. s."/>
    <s v="706"/>
    <x v="1"/>
    <x v="3"/>
    <s v="Rymice"/>
    <s v="Rymice 4, PSČ 76901"/>
    <s v="93110"/>
    <s v="Provozování sportovních zařízení"/>
    <s v="Stravování v restauracích, u stánků a v mobilních zařízeních"/>
    <s v="Destilace, rektifikace a míchání lihovin"/>
    <m/>
    <m/>
    <m/>
    <m/>
    <m/>
    <m/>
    <m/>
    <m/>
    <m/>
    <m/>
    <m/>
    <m/>
    <m/>
    <m/>
    <m/>
  </r>
  <r>
    <s v="69211469"/>
    <s v="Tělovýchovná jednota SOKOL Střelná, z.s."/>
    <s v="706"/>
    <x v="1"/>
    <x v="1"/>
    <s v="Střelná"/>
    <s v="Střelná 223, PSČ 75612"/>
    <s v="931"/>
    <s v="Sportovní činnosti"/>
    <m/>
    <m/>
    <m/>
    <m/>
    <m/>
    <m/>
    <m/>
    <m/>
    <m/>
    <m/>
    <m/>
    <m/>
    <m/>
    <m/>
    <m/>
    <m/>
    <m/>
  </r>
  <r>
    <s v="68898428"/>
    <s v="Tělovýchovná jednota Sokol Študlov, z.s."/>
    <s v="706"/>
    <x v="1"/>
    <x v="0"/>
    <s v="Študlov"/>
    <s v="Študlov 142, PSČ 75612"/>
    <s v="931"/>
    <s v="Sportovní činnosti"/>
    <m/>
    <m/>
    <m/>
    <m/>
    <m/>
    <m/>
    <m/>
    <m/>
    <m/>
    <m/>
    <m/>
    <m/>
    <m/>
    <m/>
    <m/>
    <m/>
    <m/>
  </r>
  <r>
    <s v="44117370"/>
    <s v="Tělovýchovná jednota Sokol Tečovice, z.s."/>
    <s v="706"/>
    <x v="1"/>
    <x v="0"/>
    <s v="Tečovice"/>
    <s v="Tečovice 302, PSČ 76302"/>
    <s v="93110"/>
    <s v="Provozování sportovních zařízení"/>
    <s v="Ostatní úklidové činnosti"/>
    <s v="Podpůrné činnosti pro scénická umění"/>
    <m/>
    <m/>
    <m/>
    <m/>
    <m/>
    <m/>
    <m/>
    <m/>
    <m/>
    <m/>
    <m/>
    <m/>
    <m/>
    <m/>
    <m/>
  </r>
  <r>
    <s v="65891538"/>
    <s v="Tělovýchovná jednota Sokol Ústí, z.s."/>
    <s v="706"/>
    <x v="1"/>
    <x v="1"/>
    <s v="Ústí"/>
    <s v="Ústí 76, PSČ 75501"/>
    <s v="93110"/>
    <s v="Provozování sportovních zařízení"/>
    <m/>
    <m/>
    <m/>
    <m/>
    <m/>
    <m/>
    <m/>
    <m/>
    <m/>
    <m/>
    <m/>
    <m/>
    <m/>
    <m/>
    <m/>
    <m/>
    <m/>
  </r>
  <r>
    <s v="48773603"/>
    <s v="Tělovýchovná jednota Sokol Valašská Bystřice, spolek"/>
    <s v="706"/>
    <x v="1"/>
    <x v="1"/>
    <s v="Valašská Bystřice"/>
    <s v="Valašská Bystřice 614, PSČ 75627"/>
    <s v="93110"/>
    <s v="Provozování sportovních zařízení"/>
    <m/>
    <m/>
    <m/>
    <m/>
    <m/>
    <m/>
    <m/>
    <m/>
    <m/>
    <m/>
    <m/>
    <m/>
    <m/>
    <m/>
    <m/>
    <m/>
    <m/>
  </r>
  <r>
    <s v="68898371"/>
    <s v="Tělovýchovná jednota Tatran Velké Karlovice, z.s."/>
    <s v="706"/>
    <x v="1"/>
    <x v="1"/>
    <s v="Velké Karlovice"/>
    <s v="Velké Karlovice 672, PSČ 75606"/>
    <s v="931"/>
    <s v="Sportovní činnosti"/>
    <m/>
    <m/>
    <m/>
    <m/>
    <m/>
    <m/>
    <m/>
    <m/>
    <m/>
    <m/>
    <m/>
    <m/>
    <m/>
    <m/>
    <m/>
    <m/>
    <m/>
  </r>
  <r>
    <s v="18189881"/>
    <s v="Tělovýchovná jednota Těšnovice, z.s."/>
    <s v="706"/>
    <x v="1"/>
    <x v="3"/>
    <s v="Kroměříž"/>
    <s v="Kroměříž, Těšnovice 191, PSČ 76701"/>
    <s v="93110"/>
    <s v="Provozování sportovních zařízení"/>
    <m/>
    <m/>
    <m/>
    <m/>
    <m/>
    <m/>
    <m/>
    <m/>
    <m/>
    <m/>
    <m/>
    <m/>
    <m/>
    <m/>
    <m/>
    <m/>
    <m/>
  </r>
  <r>
    <s v="61704377"/>
    <s v="Tělovýchovná jednota Topolná, z. s."/>
    <s v="706"/>
    <x v="1"/>
    <x v="2"/>
    <s v="Topolná"/>
    <s v="Topolná 420, PSČ 68711"/>
    <s v="93110"/>
    <s v="Provozování sportovních zařízení"/>
    <m/>
    <m/>
    <m/>
    <m/>
    <m/>
    <m/>
    <m/>
    <m/>
    <m/>
    <m/>
    <m/>
    <m/>
    <m/>
    <m/>
    <m/>
    <m/>
    <m/>
  </r>
  <r>
    <s v="00535109"/>
    <s v="Tělovýchovná jednota Valašské Meziříčí, spolek"/>
    <s v="706"/>
    <x v="1"/>
    <x v="1"/>
    <s v="Valašské Meziříčí"/>
    <s v="Valašské Meziříčí, Žerotínova 736, PSČ 75701"/>
    <s v="93110"/>
    <s v="Provozování sportovních zařízení"/>
    <m/>
    <m/>
    <m/>
    <m/>
    <m/>
    <m/>
    <m/>
    <m/>
    <m/>
    <m/>
    <m/>
    <m/>
    <m/>
    <m/>
    <m/>
    <m/>
    <m/>
  </r>
  <r>
    <s v="70904961"/>
    <s v="Tělovýchovná jednota Velká Lhota, z. s."/>
    <s v="706"/>
    <x v="1"/>
    <x v="1"/>
    <s v="Velká Lhota"/>
    <s v="Velká Lhota 122, PSČ 75701"/>
    <s v="931"/>
    <s v="Sportovní činnosti"/>
    <m/>
    <m/>
    <m/>
    <m/>
    <m/>
    <m/>
    <m/>
    <m/>
    <m/>
    <m/>
    <m/>
    <m/>
    <m/>
    <m/>
    <m/>
    <m/>
    <m/>
  </r>
  <r>
    <s v="44740824"/>
    <s v="Tělovýchovná jednota Veselá, z.s."/>
    <s v="706"/>
    <x v="1"/>
    <x v="1"/>
    <s v="Zašová"/>
    <s v="Zašová, Veselá 117, PSČ 75651"/>
    <s v="931"/>
    <s v="Sportovní činnosti"/>
    <m/>
    <m/>
    <m/>
    <m/>
    <m/>
    <m/>
    <m/>
    <m/>
    <m/>
    <m/>
    <m/>
    <m/>
    <m/>
    <m/>
    <m/>
    <m/>
    <m/>
  </r>
  <r>
    <s v="66184673"/>
    <s v="TĚLOVÝCHOVNÁ JEDNOTA VIDČE, z.s."/>
    <s v="706"/>
    <x v="1"/>
    <x v="1"/>
    <s v="Vidče"/>
    <s v="Vidče 432, PSČ 75653"/>
    <s v="93110"/>
    <s v="Provozování sportovních zařízení"/>
    <m/>
    <m/>
    <m/>
    <m/>
    <m/>
    <m/>
    <m/>
    <m/>
    <m/>
    <m/>
    <m/>
    <m/>
    <m/>
    <m/>
    <m/>
    <m/>
    <m/>
  </r>
  <r>
    <s v="46254226"/>
    <s v="Tělovýchovná jednota Vlčnov z.s."/>
    <s v="706"/>
    <x v="1"/>
    <x v="2"/>
    <s v="Vlčnov"/>
    <s v="Vlčnov 1250, PSČ 68761"/>
    <s v="93110"/>
    <s v="Provozování sportovních zařízení"/>
    <s v="Destilace, rektifikace a míchání lihovin"/>
    <s v="Stravování v restauracích, u stánků a v mobilních zařízeních"/>
    <m/>
    <m/>
    <m/>
    <m/>
    <m/>
    <m/>
    <m/>
    <m/>
    <m/>
    <m/>
    <m/>
    <m/>
    <m/>
    <m/>
    <m/>
  </r>
  <r>
    <s v="65822749"/>
    <s v="Tělovýchovná jednota voltiž Tlumačov, z. s."/>
    <s v="706"/>
    <x v="1"/>
    <x v="0"/>
    <s v="Tlumačov"/>
    <s v="Tlumačov, Machovská 356, PSČ 76362"/>
    <s v="931"/>
    <s v="Sportovní činnosti"/>
    <m/>
    <m/>
    <m/>
    <m/>
    <m/>
    <m/>
    <m/>
    <m/>
    <m/>
    <m/>
    <m/>
    <m/>
    <m/>
    <m/>
    <m/>
    <m/>
    <m/>
  </r>
  <r>
    <s v="18189865"/>
    <s v="Tělovýchovná jednota Zdounky, z.s."/>
    <s v="706"/>
    <x v="1"/>
    <x v="3"/>
    <s v="Zdounky"/>
    <s v="Zdounky, Cvrčovská 435, PSČ 76802"/>
    <s v="93110"/>
    <s v="Provozování sportovních zařízení"/>
    <m/>
    <m/>
    <m/>
    <m/>
    <m/>
    <m/>
    <m/>
    <m/>
    <m/>
    <m/>
    <m/>
    <m/>
    <m/>
    <m/>
    <m/>
    <m/>
    <m/>
  </r>
  <r>
    <s v="48505901"/>
    <s v="Tělovýchovná jednota Zlámanec z.s."/>
    <s v="706"/>
    <x v="1"/>
    <x v="2"/>
    <s v="Zlámanec"/>
    <s v="Zlámanec 95, PSČ 68712"/>
    <s v="93110"/>
    <s v="Provozování sportovních zařízení"/>
    <s v="Destilace, rektifikace a míchání lihovin"/>
    <s v="Stravování v restauracích, u stánků a v mobilních zařízeních"/>
    <m/>
    <m/>
    <m/>
    <m/>
    <m/>
    <m/>
    <m/>
    <m/>
    <m/>
    <m/>
    <m/>
    <m/>
    <m/>
    <m/>
    <m/>
  </r>
  <r>
    <s v="61704229"/>
    <s v="Tělovýchovný spolek Komňa"/>
    <s v="706"/>
    <x v="1"/>
    <x v="2"/>
    <s v="Komňa"/>
    <s v="Komňa 200, PSČ 68771"/>
    <s v="93110"/>
    <s v="Provozování sportovních zařízení"/>
    <m/>
    <m/>
    <m/>
    <m/>
    <m/>
    <m/>
    <m/>
    <m/>
    <m/>
    <m/>
    <m/>
    <m/>
    <m/>
    <m/>
    <m/>
    <m/>
    <m/>
  </r>
  <r>
    <s v="27059421"/>
    <s v="Tenis club Valašsko z. s."/>
    <s v="706"/>
    <x v="1"/>
    <x v="0"/>
    <s v="Brumov-Bylnice"/>
    <s v="Brumov-Bylnice, Brumov, Družba 1204, PSČ 76331"/>
    <s v="93110"/>
    <s v="Provozování sportovních zařízení"/>
    <m/>
    <m/>
    <m/>
    <m/>
    <m/>
    <m/>
    <m/>
    <m/>
    <m/>
    <m/>
    <m/>
    <m/>
    <m/>
    <m/>
    <m/>
    <m/>
    <m/>
  </r>
  <r>
    <s v="22661867"/>
    <s v="Tenis klub Všemina, o.s."/>
    <s v="706"/>
    <x v="1"/>
    <x v="0"/>
    <s v="Všemina"/>
    <s v="Všemina 300, PSČ 76315"/>
    <s v="93120"/>
    <s v="Činnosti sportovních klubů"/>
    <m/>
    <m/>
    <m/>
    <m/>
    <m/>
    <m/>
    <m/>
    <m/>
    <m/>
    <m/>
    <m/>
    <m/>
    <m/>
    <m/>
    <m/>
    <m/>
    <m/>
  </r>
  <r>
    <s v="22875646"/>
    <s v="TENIS KLUB ZÁTOPEK RATIBOŘ 52"/>
    <s v="706"/>
    <x v="1"/>
    <x v="1"/>
    <s v="Ratiboř"/>
    <s v="Ratiboř 52, PSČ 75621"/>
    <s v="93120"/>
    <s v="Činnosti sportovních klubů"/>
    <m/>
    <m/>
    <m/>
    <m/>
    <m/>
    <m/>
    <m/>
    <m/>
    <m/>
    <m/>
    <m/>
    <m/>
    <m/>
    <m/>
    <m/>
    <m/>
    <m/>
  </r>
  <r>
    <s v="26649128"/>
    <s v="Tenis Rožnov pod Radhoštěm"/>
    <s v="706"/>
    <x v="1"/>
    <x v="1"/>
    <s v="Rožnov pod Radhoštěm"/>
    <s v="Rožnov pod Radhoštěm, Hradišťko 1613, PSČ 75661"/>
    <s v="93110"/>
    <s v="Provozování sportovních zařízení"/>
    <m/>
    <m/>
    <m/>
    <m/>
    <m/>
    <m/>
    <m/>
    <m/>
    <m/>
    <m/>
    <m/>
    <m/>
    <m/>
    <m/>
    <m/>
    <m/>
    <m/>
  </r>
  <r>
    <s v="04694236"/>
    <s v="TENIS SLOVÁCKO, z.s."/>
    <s v="706"/>
    <x v="1"/>
    <x v="2"/>
    <s v="Uherské Hradiště"/>
    <s v="Uherské Hradiště, Stonky 860, PSČ 68601"/>
    <s v="93120"/>
    <s v="Činnosti sportovních klubů"/>
    <m/>
    <m/>
    <m/>
    <m/>
    <m/>
    <m/>
    <m/>
    <m/>
    <m/>
    <m/>
    <m/>
    <m/>
    <m/>
    <m/>
    <m/>
    <m/>
    <m/>
  </r>
  <r>
    <s v="26549956"/>
    <s v="Tenis Trávníky Otrokovice, spolek"/>
    <s v="706"/>
    <x v="1"/>
    <x v="0"/>
    <s v="Otrokovice"/>
    <s v="Otrokovice, Kvítkovice, Nivy 1504, PSČ 76502"/>
    <s v="93120"/>
    <s v="Činnosti sportovních klubů"/>
    <m/>
    <m/>
    <m/>
    <m/>
    <m/>
    <m/>
    <m/>
    <m/>
    <m/>
    <m/>
    <m/>
    <m/>
    <m/>
    <m/>
    <m/>
    <m/>
    <m/>
  </r>
  <r>
    <s v="26989638"/>
    <s v="Tenisklub Hošťálková"/>
    <s v="706"/>
    <x v="1"/>
    <x v="1"/>
    <s v="Hošťálková"/>
    <s v="Hošťálková 354, PSČ 75622"/>
    <s v="93110"/>
    <s v="Provozování sportovních zařízení"/>
    <m/>
    <m/>
    <m/>
    <m/>
    <m/>
    <m/>
    <m/>
    <m/>
    <m/>
    <m/>
    <m/>
    <m/>
    <m/>
    <m/>
    <m/>
    <m/>
    <m/>
  </r>
  <r>
    <s v="64422526"/>
    <s v="Tenisový klub Bystřice pod Hostýnem, z.s."/>
    <s v="706"/>
    <x v="1"/>
    <x v="3"/>
    <s v="Bystřice pod Hostýnem"/>
    <s v="Bystřice pod Hostýnem, Sportovní 258, PSČ 76861"/>
    <s v="93110"/>
    <s v="Provozování sportovních zařízení"/>
    <m/>
    <m/>
    <m/>
    <m/>
    <m/>
    <m/>
    <m/>
    <m/>
    <m/>
    <m/>
    <m/>
    <m/>
    <m/>
    <m/>
    <m/>
    <m/>
    <m/>
  </r>
  <r>
    <s v="47997826"/>
    <s v="Tenisový klub DEZA Valašské Meziříčí, z.s."/>
    <s v="706"/>
    <x v="1"/>
    <x v="1"/>
    <s v="Valašské Meziříčí"/>
    <s v="Valašské Meziříčí, Kouty 1581, PSČ 75701"/>
    <s v="93120"/>
    <s v="Činnosti sportovních klubů"/>
    <m/>
    <m/>
    <m/>
    <m/>
    <m/>
    <m/>
    <m/>
    <m/>
    <m/>
    <m/>
    <m/>
    <m/>
    <m/>
    <m/>
    <m/>
    <m/>
    <m/>
  </r>
  <r>
    <s v="27010210"/>
    <s v="Tenisový klub Hluk"/>
    <s v="706"/>
    <x v="1"/>
    <x v="2"/>
    <s v="Hluk"/>
    <s v="Hluk - Zelnice 294, PSČ 763 64"/>
    <s v="93110"/>
    <s v="Provozování sportovních zařízení"/>
    <m/>
    <m/>
    <m/>
    <m/>
    <m/>
    <m/>
    <m/>
    <m/>
    <m/>
    <m/>
    <m/>
    <m/>
    <m/>
    <m/>
    <m/>
    <m/>
    <m/>
  </r>
  <r>
    <s v="22712585"/>
    <s v="„Tenisový klub Horní konec Zašová”"/>
    <s v="706"/>
    <x v="1"/>
    <x v="1"/>
    <s v="Zašová"/>
    <s v="Zašová 657, PSČ 75651"/>
    <s v="93120"/>
    <s v="Činnosti sportovních klubů"/>
    <m/>
    <m/>
    <m/>
    <m/>
    <m/>
    <m/>
    <m/>
    <m/>
    <m/>
    <m/>
    <m/>
    <m/>
    <m/>
    <m/>
    <m/>
    <m/>
    <m/>
  </r>
  <r>
    <s v="26580098"/>
    <s v="Tenisový klub &quot;Javorník&quot; Štítná nad Vláří"/>
    <s v="706"/>
    <x v="1"/>
    <x v="0"/>
    <s v="Štítná nad Vláří-Popov"/>
    <s v="Štítná nad Vláří-Popov, Štítná nad Vláří 414, PSČ 76333"/>
    <s v="93120"/>
    <s v="Činnosti sportovních klubů"/>
    <m/>
    <m/>
    <m/>
    <m/>
    <m/>
    <m/>
    <m/>
    <m/>
    <m/>
    <m/>
    <m/>
    <m/>
    <m/>
    <m/>
    <m/>
    <m/>
    <m/>
  </r>
  <r>
    <s v="01783327"/>
    <s v="Tenisový klub Karolinka z.s."/>
    <s v="706"/>
    <x v="1"/>
    <x v="1"/>
    <s v="Karolinka"/>
    <s v="Karolinka, Sklářská 63, PSČ 75605"/>
    <s v="93120"/>
    <s v="Činnosti sportovních klubů"/>
    <m/>
    <m/>
    <m/>
    <m/>
    <m/>
    <m/>
    <m/>
    <m/>
    <m/>
    <m/>
    <m/>
    <m/>
    <m/>
    <m/>
    <m/>
    <m/>
    <m/>
  </r>
  <r>
    <s v="26593092"/>
    <s v="Tenisový klub Kněžpole, z.s."/>
    <s v="706"/>
    <x v="1"/>
    <x v="2"/>
    <s v="Kněžpole"/>
    <s v="Kněžpole 103, PSČ 68712"/>
    <s v="93110"/>
    <s v="Provozování sportovních zařízení"/>
    <m/>
    <m/>
    <m/>
    <m/>
    <m/>
    <m/>
    <m/>
    <m/>
    <m/>
    <m/>
    <m/>
    <m/>
    <m/>
    <m/>
    <m/>
    <m/>
    <m/>
  </r>
  <r>
    <s v="66610541"/>
    <s v="Tenisový klub Kunovice z.s."/>
    <s v="706"/>
    <x v="1"/>
    <x v="2"/>
    <s v="Kunovice"/>
    <s v="Kunovice, V Hliníku 484, PSČ 68604"/>
    <s v="93120"/>
    <s v="Činnosti sportovních klubů"/>
    <m/>
    <m/>
    <m/>
    <m/>
    <m/>
    <m/>
    <m/>
    <m/>
    <m/>
    <m/>
    <m/>
    <m/>
    <m/>
    <m/>
    <m/>
    <m/>
    <m/>
  </r>
  <r>
    <s v="65823362"/>
    <s v="TENISOVÝ KLUB NAPAJEDLA z.s."/>
    <s v="706"/>
    <x v="1"/>
    <x v="0"/>
    <s v="Napajedla"/>
    <s v="Napajedla, 1. máje 1091, PSČ 76361"/>
    <s v="93120"/>
    <s v="Činnosti sportovních klubů"/>
    <m/>
    <m/>
    <m/>
    <m/>
    <m/>
    <m/>
    <m/>
    <m/>
    <m/>
    <m/>
    <m/>
    <m/>
    <m/>
    <m/>
    <m/>
    <m/>
    <m/>
  </r>
  <r>
    <s v="26529891"/>
    <s v="Tenisový klub Ostrožská Nová Ves, z.s."/>
    <s v="706"/>
    <x v="1"/>
    <x v="2"/>
    <s v="Ostrožská Nová Ves"/>
    <s v="Ostrožská Nová Ves, Dědina 161, PSČ 6872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096632"/>
    <s v="Tenisový klub Pod Lipou, z. s."/>
    <s v="706"/>
    <x v="1"/>
    <x v="0"/>
    <s v="Zlín"/>
    <s v="Zlín, Lesní čtvrť I 6925, PSČ 76001"/>
    <s v="93120"/>
    <s v="Činnosti sportovních klubů"/>
    <m/>
    <m/>
    <m/>
    <m/>
    <m/>
    <m/>
    <m/>
    <m/>
    <m/>
    <m/>
    <m/>
    <m/>
    <m/>
    <m/>
    <m/>
    <m/>
    <m/>
  </r>
  <r>
    <s v="22851933"/>
    <s v="Tenisový klub Radegast, z.s."/>
    <s v="706"/>
    <x v="1"/>
    <x v="1"/>
    <s v="Rožnov pod Radhoštěm"/>
    <s v="Rožnov pod Radhoštěm, Pod strání 2834, PSČ 75661"/>
    <s v="93110"/>
    <s v="Provozování sportovních zařízení"/>
    <m/>
    <m/>
    <m/>
    <m/>
    <m/>
    <m/>
    <m/>
    <m/>
    <m/>
    <m/>
    <m/>
    <m/>
    <m/>
    <m/>
    <m/>
    <m/>
    <m/>
  </r>
  <r>
    <s v="65828178"/>
    <s v="Tenisový klub Roštín, z.s."/>
    <s v="706"/>
    <x v="1"/>
    <x v="3"/>
    <s v="Roštín"/>
    <s v="Roštín 450, PSČ 768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4729"/>
    <s v="Tenisový klub Slavičín, z.s."/>
    <s v="706"/>
    <x v="1"/>
    <x v="0"/>
    <s v="Rokytnice"/>
    <s v="Rokytnice 203, PSČ 76321"/>
    <s v="93110"/>
    <s v="Provozování sportovních zařízení"/>
    <m/>
    <m/>
    <m/>
    <m/>
    <m/>
    <m/>
    <m/>
    <m/>
    <m/>
    <m/>
    <m/>
    <m/>
    <m/>
    <m/>
    <m/>
    <m/>
    <m/>
  </r>
  <r>
    <s v="22870563"/>
    <s v="Tenisový klub Slovácká Viktoria Bojkovice"/>
    <s v="706"/>
    <x v="1"/>
    <x v="2"/>
    <s v="Bojkovice"/>
    <s v="Bojkovice, Tovární 615, PSČ 68771"/>
    <s v="93120"/>
    <s v="Činnosti sportovních klubů"/>
    <m/>
    <m/>
    <m/>
    <m/>
    <m/>
    <m/>
    <m/>
    <m/>
    <m/>
    <m/>
    <m/>
    <m/>
    <m/>
    <m/>
    <m/>
    <m/>
    <m/>
  </r>
  <r>
    <s v="26561026"/>
    <s v="&quot;Tenisový Klub Soláň,o.s.&quot;"/>
    <s v="706"/>
    <x v="1"/>
    <x v="1"/>
    <s v="Hutisko-Solanec"/>
    <s v="Hutisko-Solanec, Solanec č.p. 099"/>
    <s v="93110"/>
    <s v="Provozování sportovních zařízení"/>
    <m/>
    <m/>
    <m/>
    <m/>
    <m/>
    <m/>
    <m/>
    <m/>
    <m/>
    <m/>
    <m/>
    <m/>
    <m/>
    <m/>
    <m/>
    <m/>
    <m/>
  </r>
  <r>
    <s v="22746676"/>
    <s v="Tenisový klub Spytihněv, z.s."/>
    <s v="706"/>
    <x v="1"/>
    <x v="0"/>
    <s v="Spytihněv"/>
    <s v="č.p. 607, 763 64  Spytihněv"/>
    <s v="93120"/>
    <s v="Činnosti sportovních klubů"/>
    <m/>
    <m/>
    <m/>
    <m/>
    <m/>
    <m/>
    <m/>
    <m/>
    <m/>
    <m/>
    <m/>
    <m/>
    <m/>
    <m/>
    <m/>
    <m/>
    <m/>
  </r>
  <r>
    <s v="10673491"/>
    <s v="Tenisový klub TK Bánov z. s."/>
    <s v="706"/>
    <x v="1"/>
    <x v="2"/>
    <s v="Bánov"/>
    <s v="Bánov 507, PSČ 68754"/>
    <s v="93120"/>
    <s v="Činnosti sportovních klubů"/>
    <m/>
    <m/>
    <m/>
    <m/>
    <m/>
    <m/>
    <m/>
    <m/>
    <m/>
    <m/>
    <m/>
    <m/>
    <m/>
    <m/>
    <m/>
    <m/>
    <m/>
  </r>
  <r>
    <s v="27027571"/>
    <s v="Tenisový klub Topolná"/>
    <s v="706"/>
    <x v="1"/>
    <x v="2"/>
    <s v="Topolná"/>
    <s v="Topolná 271, PSČ 68711"/>
    <s v="93110"/>
    <s v="Provozování sportovních zařízení"/>
    <m/>
    <m/>
    <m/>
    <m/>
    <m/>
    <m/>
    <m/>
    <m/>
    <m/>
    <m/>
    <m/>
    <m/>
    <m/>
    <m/>
    <m/>
    <m/>
    <m/>
  </r>
  <r>
    <s v="02170477"/>
    <s v="Tenisový klub TSRM, z.s."/>
    <s v="706"/>
    <x v="1"/>
    <x v="2"/>
    <s v="Uherský Brod"/>
    <s v="Uherský Brod, Dolní Valy 541, PSČ 68801"/>
    <s v="93120"/>
    <s v="Činnosti sportovních klubů"/>
    <m/>
    <m/>
    <m/>
    <m/>
    <m/>
    <m/>
    <m/>
    <m/>
    <m/>
    <m/>
    <m/>
    <m/>
    <m/>
    <m/>
    <m/>
    <m/>
    <m/>
  </r>
  <r>
    <s v="00558079"/>
    <s v="Tenisový klub Uherské Hradiště, spolek"/>
    <s v="706"/>
    <x v="1"/>
    <x v="2"/>
    <s v="Uherské Hradiště"/>
    <s v="Uherské Hradiště, Mařatice, U Moravy 827, PSČ 68601"/>
    <s v="93110"/>
    <s v="Provozování sportovních zařízení"/>
    <s v="Ubytování"/>
    <s v="Stravování v restauracích, u stánků a v mobilních zařízeních"/>
    <m/>
    <m/>
    <m/>
    <m/>
    <m/>
    <m/>
    <m/>
    <m/>
    <m/>
    <m/>
    <m/>
    <m/>
    <m/>
    <m/>
    <m/>
  </r>
  <r>
    <s v="70823731"/>
    <s v="TENISOVÝ KLUB UHERSKÝ BROD z. s."/>
    <s v="706"/>
    <x v="1"/>
    <x v="2"/>
    <s v="Uherský Brod"/>
    <s v="Uherský Brod, Seichertova 151, PSČ 68801"/>
    <s v="93120"/>
    <s v="Činnosti sportovních klubů"/>
    <m/>
    <m/>
    <m/>
    <m/>
    <m/>
    <m/>
    <m/>
    <m/>
    <m/>
    <m/>
    <m/>
    <m/>
    <m/>
    <m/>
    <m/>
    <m/>
    <m/>
  </r>
  <r>
    <s v="00575283"/>
    <s v="Tenisový klub Zašová, z.s."/>
    <s v="706"/>
    <x v="1"/>
    <x v="1"/>
    <s v="Zašová"/>
    <s v="Zašová 149, PSČ 75651"/>
    <s v="931"/>
    <s v="Sportovní činnosti"/>
    <m/>
    <m/>
    <m/>
    <m/>
    <m/>
    <m/>
    <m/>
    <m/>
    <m/>
    <m/>
    <m/>
    <m/>
    <m/>
    <m/>
    <m/>
    <m/>
    <m/>
  </r>
  <r>
    <s v="44119127"/>
    <s v="Tenisový klub Zlín, z.s."/>
    <s v="706"/>
    <x v="1"/>
    <x v="0"/>
    <s v="Zlín"/>
    <s v="Zlín, Hradská 854, PSČ 76001"/>
    <s v="93110"/>
    <s v="Provozování sportovních zařízení"/>
    <m/>
    <m/>
    <m/>
    <m/>
    <m/>
    <m/>
    <m/>
    <m/>
    <m/>
    <m/>
    <m/>
    <m/>
    <m/>
    <m/>
    <m/>
    <m/>
    <m/>
  </r>
  <r>
    <s v="70825858"/>
    <s v="Tenisový klub 2000 Luhačovice z.s."/>
    <s v="706"/>
    <x v="1"/>
    <x v="0"/>
    <s v="Luhačovice"/>
    <s v="Luhačovice, Lázeňské náměstí 427, PSČ 76326"/>
    <s v="93120"/>
    <s v="Činnosti sportovních klubů"/>
    <m/>
    <m/>
    <m/>
    <m/>
    <m/>
    <m/>
    <m/>
    <m/>
    <m/>
    <m/>
    <m/>
    <m/>
    <m/>
    <m/>
    <m/>
    <m/>
    <m/>
  </r>
  <r>
    <s v="05234638"/>
    <s v="Tenisový spolek Valašské Klobouky"/>
    <s v="706"/>
    <x v="1"/>
    <x v="0"/>
    <s v="Valašské Klobouky"/>
    <s v="Valašské Klobouky, Záhumení 836, PSČ 76601"/>
    <s v="93120"/>
    <s v="Činnosti sportovních klubů"/>
    <m/>
    <m/>
    <m/>
    <m/>
    <m/>
    <m/>
    <m/>
    <m/>
    <m/>
    <m/>
    <m/>
    <m/>
    <m/>
    <m/>
    <m/>
    <m/>
    <m/>
  </r>
  <r>
    <s v="68898631"/>
    <s v="Tennis Training Camp, spolek"/>
    <s v="706"/>
    <x v="1"/>
    <x v="1"/>
    <s v="Rožnov pod Radhoštěm"/>
    <s v="Rožnov pod Radhoštěm, Pivovarská 30, PSČ 75661"/>
    <s v="931"/>
    <s v="Sportovní činnosti"/>
    <m/>
    <m/>
    <m/>
    <m/>
    <m/>
    <m/>
    <m/>
    <m/>
    <m/>
    <m/>
    <m/>
    <m/>
    <m/>
    <m/>
    <m/>
    <m/>
    <m/>
  </r>
  <r>
    <s v="65823702"/>
    <s v="Tenšin dódžó z.s."/>
    <s v="706"/>
    <x v="1"/>
    <x v="0"/>
    <s v="Zlín"/>
    <s v="Zlín, Prštné, Jateční 523, PSČ 76001"/>
    <s v="93110"/>
    <s v="Provozování sportovních zařízení"/>
    <m/>
    <m/>
    <m/>
    <m/>
    <m/>
    <m/>
    <m/>
    <m/>
    <m/>
    <m/>
    <m/>
    <m/>
    <m/>
    <m/>
    <m/>
    <m/>
    <m/>
  </r>
  <r>
    <s v="68730101"/>
    <s v="TENTOklub Halenkovice"/>
    <s v="706"/>
    <x v="1"/>
    <x v="0"/>
    <s v="Halenkovice"/>
    <s v="Halenkovice 636, PSČ 76363"/>
    <s v="93120"/>
    <s v="Činnosti sportovních klubů"/>
    <m/>
    <m/>
    <m/>
    <m/>
    <m/>
    <m/>
    <m/>
    <m/>
    <m/>
    <m/>
    <m/>
    <m/>
    <m/>
    <m/>
    <m/>
    <m/>
    <m/>
  </r>
  <r>
    <s v="19640277"/>
    <s v="Teo via Fundace nadační fond"/>
    <s v="118"/>
    <x v="6"/>
    <x v="0"/>
    <s v="Zlín"/>
    <s v="Zlín, Divadelní 324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677112"/>
    <s v="Teo via Morava z.s."/>
    <s v="706"/>
    <x v="1"/>
    <x v="0"/>
    <s v="Zlín"/>
    <s v="Zlín, Divadelní 324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001543"/>
    <s v="Teo via nadační fond"/>
    <s v="118"/>
    <x v="6"/>
    <x v="0"/>
    <s v="Zlín"/>
    <s v="Zlín, Divadelní 324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45012"/>
    <s v="Terapeutické centrum Kroměříž"/>
    <s v="706"/>
    <x v="1"/>
    <x v="3"/>
    <s v="Kroměříž"/>
    <s v="Kroměříž, Švabinského nábřeží 2015/3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58114"/>
    <s v="&quot;TEREZULE o.s.&quot;"/>
    <s v="706"/>
    <x v="1"/>
    <x v="2"/>
    <s v="Uherské Hradiště"/>
    <s v="Uherské Hradiště, Mařatice, Slunečná 1417, PSČ 68605"/>
    <s v="93190"/>
    <s v="Ostatní sportovní činnosti"/>
    <m/>
    <m/>
    <m/>
    <m/>
    <m/>
    <m/>
    <m/>
    <m/>
    <m/>
    <m/>
    <m/>
    <m/>
    <m/>
    <m/>
    <m/>
    <m/>
    <m/>
  </r>
  <r>
    <s v="06512992"/>
    <s v="TERITORIO Training, z.s."/>
    <s v="706"/>
    <x v="1"/>
    <x v="3"/>
    <s v="Hulín"/>
    <s v="Hulín, Boženy Němcové 202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15210"/>
    <s v="T-gym - sportovní klub kulturistiky - fitness, z.s."/>
    <s v="706"/>
    <x v="1"/>
    <x v="2"/>
    <s v="Kunovice"/>
    <s v="Kunovice, Pod Valy 1460, PSČ 68604"/>
    <s v="93120"/>
    <s v="Činnosti sportovních klubů"/>
    <m/>
    <m/>
    <m/>
    <m/>
    <m/>
    <m/>
    <m/>
    <m/>
    <m/>
    <m/>
    <m/>
    <m/>
    <m/>
    <m/>
    <m/>
    <m/>
    <m/>
  </r>
  <r>
    <s v="22733159"/>
    <s v="ThaiBoxing Gym Zlín, z.s."/>
    <s v="706"/>
    <x v="1"/>
    <x v="0"/>
    <s v="Zlín"/>
    <s v="Zlín, Okružní 4727, PSČ 76005"/>
    <s v="93110"/>
    <s v="Provozování sportovních zařízení"/>
    <m/>
    <m/>
    <m/>
    <m/>
    <m/>
    <m/>
    <m/>
    <m/>
    <m/>
    <m/>
    <m/>
    <m/>
    <m/>
    <m/>
    <m/>
    <m/>
    <m/>
  </r>
  <r>
    <s v="02040492"/>
    <s v="The Anomalous o. s."/>
    <s v="706"/>
    <x v="1"/>
    <x v="3"/>
    <s v="Kroměříž"/>
    <s v="Kroměříž, Čs. armády 4005/1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267046"/>
    <s v="The Playful Book, z.s."/>
    <s v="706"/>
    <x v="1"/>
    <x v="2"/>
    <s v="Osvětimany"/>
    <s v="Osvětimany č. ev. 220, PSČ 68742"/>
    <s v="94991"/>
    <s v="Činnosti organizací dětí a mládeže"/>
    <m/>
    <m/>
    <m/>
    <m/>
    <m/>
    <m/>
    <m/>
    <m/>
    <m/>
    <m/>
    <m/>
    <m/>
    <m/>
    <m/>
    <m/>
    <m/>
    <m/>
  </r>
  <r>
    <s v="01227670"/>
    <s v="Thémis Vizovice"/>
    <s v="706"/>
    <x v="1"/>
    <x v="0"/>
    <s v="Zlín"/>
    <s v="Zlín, Dlouhá 4211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7292328"/>
    <s v="Things of Dignity z. s."/>
    <s v="706"/>
    <x v="1"/>
    <x v="0"/>
    <s v="Zlín"/>
    <s v="Zlín, Lazy VI 6981, PSČ 76001"/>
    <s v="9499"/>
    <s v="Činnosti ostatních organizací sdružujících osoby za účelem prosazování společných zájmů j. n."/>
    <s v="Činnosti environmentálních a ekologických hnutí"/>
    <s v="Činnosti ostatních organizací j. n."/>
    <m/>
    <m/>
    <m/>
    <m/>
    <m/>
    <m/>
    <m/>
    <m/>
    <m/>
    <m/>
    <m/>
    <m/>
    <m/>
    <m/>
    <m/>
  </r>
  <r>
    <s v="10721045"/>
    <s v="Three monkeys, z.s."/>
    <s v="706"/>
    <x v="1"/>
    <x v="1"/>
    <s v="Vsetín"/>
    <s v="Vsetín, Horní náměstí 3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34202"/>
    <s v="TIGER CLUB, spolek"/>
    <s v="706"/>
    <x v="1"/>
    <x v="0"/>
    <s v="Zlín"/>
    <s v="Zlín, Věžové domy 861, PSČ 76001"/>
    <s v="93120"/>
    <s v="Činnosti sportovních klubů"/>
    <m/>
    <m/>
    <m/>
    <m/>
    <m/>
    <m/>
    <m/>
    <m/>
    <m/>
    <m/>
    <m/>
    <m/>
    <m/>
    <m/>
    <m/>
    <m/>
    <m/>
  </r>
  <r>
    <s v="09294210"/>
    <s v="Tigers Zlín z. s."/>
    <s v="706"/>
    <x v="1"/>
    <x v="0"/>
    <s v="Zlín"/>
    <s v="Zlín, J. A. Bati 5648, PSČ 76001"/>
    <s v="93110"/>
    <s v="Provozování sportovních zařízení"/>
    <m/>
    <m/>
    <m/>
    <m/>
    <m/>
    <m/>
    <m/>
    <m/>
    <m/>
    <m/>
    <m/>
    <m/>
    <m/>
    <m/>
    <m/>
    <m/>
    <m/>
  </r>
  <r>
    <s v="26519801"/>
    <s v="„Timothyho institut”"/>
    <s v="706"/>
    <x v="1"/>
    <x v="0"/>
    <s v="Zlín"/>
    <s v="Zlín, Březnická 556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3960693"/>
    <s v="TITAN sport club, z.s."/>
    <s v="706"/>
    <x v="1"/>
    <x v="0"/>
    <s v="Zlín"/>
    <s v="Zlín, Prštné, Jateční 169, PSČ 76001"/>
    <s v="931"/>
    <s v="Sportovní činnosti"/>
    <m/>
    <m/>
    <m/>
    <m/>
    <m/>
    <m/>
    <m/>
    <m/>
    <m/>
    <m/>
    <m/>
    <m/>
    <m/>
    <m/>
    <m/>
    <m/>
    <m/>
  </r>
  <r>
    <s v="68898533"/>
    <s v="TJ AJAX Valašská Senice, z.s."/>
    <s v="706"/>
    <x v="1"/>
    <x v="1"/>
    <s v="Valašská Senice"/>
    <s v="Valašská Senice 145, PSČ 75614"/>
    <s v="931"/>
    <s v="Sportovní činnosti"/>
    <m/>
    <m/>
    <m/>
    <m/>
    <m/>
    <m/>
    <m/>
    <m/>
    <m/>
    <m/>
    <m/>
    <m/>
    <m/>
    <m/>
    <m/>
    <m/>
    <m/>
  </r>
  <r>
    <s v="18189784"/>
    <s v="TJ Bivoj Bařice, z.s."/>
    <s v="706"/>
    <x v="1"/>
    <x v="3"/>
    <s v="Bařice-Velké Těšany"/>
    <s v="Bařice-Velké Těšany, Bařice 8, PSČ 76701"/>
    <s v="93110"/>
    <s v="Provozování sportovních zařízení"/>
    <m/>
    <m/>
    <m/>
    <m/>
    <m/>
    <m/>
    <m/>
    <m/>
    <m/>
    <m/>
    <m/>
    <m/>
    <m/>
    <m/>
    <m/>
    <m/>
    <m/>
  </r>
  <r>
    <s v="46276513"/>
    <s v="TJ Bohuslavice u Zlína, z. s."/>
    <s v="706"/>
    <x v="1"/>
    <x v="0"/>
    <s v="Bohuslavice u Zlína"/>
    <s v="Bohuslavice u Zlína 185, PSČ 763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88532"/>
    <s v="TJ Bystřice pod Hostýnem, z.s."/>
    <s v="706"/>
    <x v="1"/>
    <x v="3"/>
    <s v="Bystřice pod Hostýnem"/>
    <s v="Bystřice pod Hostýnem, Sportovní 1357, PSČ 76861"/>
    <s v="931"/>
    <s v="Sportovní činnosti"/>
    <s v="Ostatní zábavní a rekreační činnosti j. n."/>
    <m/>
    <m/>
    <m/>
    <m/>
    <m/>
    <m/>
    <m/>
    <m/>
    <m/>
    <m/>
    <m/>
    <m/>
    <m/>
    <m/>
    <m/>
    <m/>
  </r>
  <r>
    <s v="00545333"/>
    <s v="TJ Chropyně, z.s."/>
    <s v="706"/>
    <x v="1"/>
    <x v="3"/>
    <s v="Chropyně"/>
    <s v="Chropyně, Hanácké náměstí 552, PSČ 76811"/>
    <s v="93110"/>
    <s v="Provozování sportovních zařízení"/>
    <s v="Výroba a rozvod tepla a klimatizovaného vzduchu, výroba ledu"/>
    <m/>
    <m/>
    <m/>
    <m/>
    <m/>
    <m/>
    <m/>
    <m/>
    <m/>
    <m/>
    <m/>
    <m/>
    <m/>
    <m/>
    <m/>
    <m/>
  </r>
  <r>
    <s v="46307494"/>
    <s v="TJ Drnovice, z.s."/>
    <s v="706"/>
    <x v="1"/>
    <x v="0"/>
    <s v="Drnovice"/>
    <s v="Drnovice 113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117400"/>
    <s v="TJ Fryšták, z.s."/>
    <s v="706"/>
    <x v="1"/>
    <x v="0"/>
    <s v="Fryšták"/>
    <s v="Fryšták, Komenského 78, PSČ 76316"/>
    <s v="93110"/>
    <s v="Provozování sportovních zařízení"/>
    <m/>
    <m/>
    <m/>
    <m/>
    <m/>
    <m/>
    <m/>
    <m/>
    <m/>
    <m/>
    <m/>
    <m/>
    <m/>
    <m/>
    <m/>
    <m/>
    <m/>
  </r>
  <r>
    <s v="00209821"/>
    <s v="TJ FS Napajedla, z.s."/>
    <s v="706"/>
    <x v="1"/>
    <x v="0"/>
    <s v="Napajedla"/>
    <s v="Napajedla, Komenského 304, PSČ 76361"/>
    <s v="93110"/>
    <s v="Provozování sportovních zařízení"/>
    <m/>
    <m/>
    <m/>
    <m/>
    <m/>
    <m/>
    <m/>
    <m/>
    <m/>
    <m/>
    <m/>
    <m/>
    <m/>
    <m/>
    <m/>
    <m/>
    <m/>
  </r>
  <r>
    <s v="18189342"/>
    <s v="TJ Hlinsko p/H, z.s."/>
    <s v="706"/>
    <x v="1"/>
    <x v="3"/>
    <s v="Bystřice pod Hostýnem"/>
    <s v="Bystřice pod Hostýnem, Hlinsko pod Hostýnem 106, PSČ 76841"/>
    <s v="93110"/>
    <s v="Provozování sportovních zařízení"/>
    <m/>
    <m/>
    <m/>
    <m/>
    <m/>
    <m/>
    <m/>
    <m/>
    <m/>
    <m/>
    <m/>
    <m/>
    <m/>
    <m/>
    <m/>
    <m/>
    <m/>
  </r>
  <r>
    <s v="04513495"/>
    <s v="TJ Holešov oddíl házené, z.s."/>
    <s v="706"/>
    <x v="1"/>
    <x v="3"/>
    <s v="Holešov"/>
    <s v="Holešov, Bezručova 640, PSČ 76901"/>
    <s v="93190"/>
    <s v="Ostatní sportovní činnosti"/>
    <m/>
    <m/>
    <m/>
    <m/>
    <m/>
    <m/>
    <m/>
    <m/>
    <m/>
    <m/>
    <m/>
    <m/>
    <m/>
    <m/>
    <m/>
    <m/>
    <m/>
  </r>
  <r>
    <s v="22604944"/>
    <s v="TJ Holešov oddíl stolního tenisu, z. s."/>
    <s v="706"/>
    <x v="1"/>
    <x v="3"/>
    <s v="Holešov"/>
    <s v="Holešov, Palackého 1666, PSČ 76901"/>
    <s v="93120"/>
    <s v="Činnosti sportovních klubů"/>
    <m/>
    <m/>
    <m/>
    <m/>
    <m/>
    <m/>
    <m/>
    <m/>
    <m/>
    <m/>
    <m/>
    <m/>
    <m/>
    <m/>
    <m/>
    <m/>
    <m/>
  </r>
  <r>
    <s v="11914521"/>
    <s v="TJ Horní Lapač z. s."/>
    <s v="706"/>
    <x v="1"/>
    <x v="3"/>
    <s v="Horní Lapač"/>
    <s v="Horní Lapač 22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119381"/>
    <s v="TJ Hřivínův Újezd-Kaňovice, spolek"/>
    <s v="706"/>
    <x v="1"/>
    <x v="0"/>
    <s v="Hřivínův Újezd"/>
    <s v="Hřivínův Újezd 50, PSČ 76307"/>
    <s v="93110"/>
    <s v="Provozování sportovních zařízení"/>
    <m/>
    <m/>
    <m/>
    <m/>
    <m/>
    <m/>
    <m/>
    <m/>
    <m/>
    <m/>
    <m/>
    <m/>
    <m/>
    <m/>
    <m/>
    <m/>
    <m/>
  </r>
  <r>
    <s v="70900051"/>
    <s v="TJ Jiskra Dolní Bečva"/>
    <s v="706"/>
    <x v="1"/>
    <x v="1"/>
    <s v="Dolní Bečva"/>
    <s v="Dolní Bečva"/>
    <s v="931"/>
    <s v="Sportovní činnosti"/>
    <m/>
    <m/>
    <m/>
    <m/>
    <m/>
    <m/>
    <m/>
    <m/>
    <m/>
    <m/>
    <m/>
    <m/>
    <m/>
    <m/>
    <m/>
    <m/>
    <m/>
  </r>
  <r>
    <s v="64124096"/>
    <s v="TJ Jiskra Krhová z. s."/>
    <s v="706"/>
    <x v="1"/>
    <x v="1"/>
    <s v="Krhová"/>
    <s v="Krhová, Hlavní 205, PSČ 75663"/>
    <s v="93110"/>
    <s v="Provozování sportovních zařízení"/>
    <m/>
    <m/>
    <m/>
    <m/>
    <m/>
    <m/>
    <m/>
    <m/>
    <m/>
    <m/>
    <m/>
    <m/>
    <m/>
    <m/>
    <m/>
    <m/>
    <m/>
  </r>
  <r>
    <s v="18152805"/>
    <s v="TJ Jiskra Otrokovice, z.s."/>
    <s v="706"/>
    <x v="1"/>
    <x v="0"/>
    <s v="Otrokovice"/>
    <s v="Otrokovice, Sport. areál TJ Jiskra 1297, PSČ 76502"/>
    <s v="931"/>
    <s v="Sportovní činnosti"/>
    <m/>
    <m/>
    <m/>
    <m/>
    <m/>
    <m/>
    <m/>
    <m/>
    <m/>
    <m/>
    <m/>
    <m/>
    <m/>
    <m/>
    <m/>
    <m/>
    <m/>
  </r>
  <r>
    <s v="62334921"/>
    <s v="TJ Juřinka, z.s."/>
    <s v="706"/>
    <x v="1"/>
    <x v="1"/>
    <s v="Valašské Meziříčí"/>
    <s v="Valašské Meziříčí, Juřinka 162, PSČ 75701"/>
    <s v="931"/>
    <s v="Sportovní činnosti"/>
    <m/>
    <m/>
    <m/>
    <m/>
    <m/>
    <m/>
    <m/>
    <m/>
    <m/>
    <m/>
    <m/>
    <m/>
    <m/>
    <m/>
    <m/>
    <m/>
    <m/>
  </r>
  <r>
    <s v="46277561"/>
    <s v="TJ Kašava, z.s."/>
    <s v="706"/>
    <x v="1"/>
    <x v="0"/>
    <s v="Kašava"/>
    <s v="Kašava 217, PSČ 7631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4237"/>
    <s v="TJ Košíky z.s."/>
    <s v="706"/>
    <x v="1"/>
    <x v="2"/>
    <s v="Košíky"/>
    <s v="Košíky 172, PSČ 68704"/>
    <s v="93110"/>
    <s v="Provozování sportovních zařízení"/>
    <m/>
    <m/>
    <m/>
    <m/>
    <m/>
    <m/>
    <m/>
    <m/>
    <m/>
    <m/>
    <m/>
    <m/>
    <m/>
    <m/>
    <m/>
    <m/>
    <m/>
  </r>
  <r>
    <s v="48505501"/>
    <s v="TJ Kudlovice, z.s."/>
    <s v="706"/>
    <x v="1"/>
    <x v="2"/>
    <s v="Kudlovice"/>
    <s v="Kudlovice 348, PSČ 68703"/>
    <s v="93110"/>
    <s v="Provozování sportovních zařízení"/>
    <m/>
    <m/>
    <m/>
    <m/>
    <m/>
    <m/>
    <m/>
    <m/>
    <m/>
    <m/>
    <m/>
    <m/>
    <m/>
    <m/>
    <m/>
    <m/>
    <m/>
  </r>
  <r>
    <s v="64124029"/>
    <s v="TJ LESANA Zubří, z.s."/>
    <s v="706"/>
    <x v="1"/>
    <x v="1"/>
    <s v="Zubří"/>
    <s v="Zubří, Starozuberská 341, PSČ 75654"/>
    <s v="93110"/>
    <s v="Provozování sportovních zařízení"/>
    <m/>
    <m/>
    <m/>
    <m/>
    <m/>
    <m/>
    <m/>
    <m/>
    <m/>
    <m/>
    <m/>
    <m/>
    <m/>
    <m/>
    <m/>
    <m/>
    <m/>
  </r>
  <r>
    <s v="68898380"/>
    <s v="TJ Lešná, z.s."/>
    <s v="706"/>
    <x v="1"/>
    <x v="1"/>
    <s v="Lešná"/>
    <s v="Lešná 37, PSČ 75641"/>
    <s v="931"/>
    <s v="Sportovní činnosti"/>
    <m/>
    <m/>
    <m/>
    <m/>
    <m/>
    <m/>
    <m/>
    <m/>
    <m/>
    <m/>
    <m/>
    <m/>
    <m/>
    <m/>
    <m/>
    <m/>
    <m/>
  </r>
  <r>
    <s v="00559831"/>
    <s v="TJ Lipová, z.s."/>
    <s v="706"/>
    <x v="1"/>
    <x v="0"/>
    <s v="Lipová"/>
    <s v="Lipová 48, PSČ 76321"/>
    <s v="93110"/>
    <s v="Provozování sportovních zařízení"/>
    <m/>
    <m/>
    <m/>
    <m/>
    <m/>
    <m/>
    <m/>
    <m/>
    <m/>
    <m/>
    <m/>
    <m/>
    <m/>
    <m/>
    <m/>
    <m/>
    <m/>
  </r>
  <r>
    <s v="46256211"/>
    <s v="TJ Lokomotiva Uherský Ostroh, z. s."/>
    <s v="706"/>
    <x v="1"/>
    <x v="2"/>
    <s v="Uherský Ostroh"/>
    <s v="Uherský Ostroh, Šance 166, PSČ 68724"/>
    <s v="93110"/>
    <s v="Provozování sportovních zařízení"/>
    <m/>
    <m/>
    <m/>
    <m/>
    <m/>
    <m/>
    <m/>
    <m/>
    <m/>
    <m/>
    <m/>
    <m/>
    <m/>
    <m/>
    <m/>
    <m/>
    <m/>
  </r>
  <r>
    <s v="18189661"/>
    <s v="TJ Loukov, z. s."/>
    <s v="706"/>
    <x v="1"/>
    <x v="3"/>
    <s v="Loukov"/>
    <s v="Loukov 199, PSČ 76875"/>
    <s v="93110"/>
    <s v="Provozování sportovních zařízení"/>
    <m/>
    <m/>
    <m/>
    <m/>
    <m/>
    <m/>
    <m/>
    <m/>
    <m/>
    <m/>
    <m/>
    <m/>
    <m/>
    <m/>
    <m/>
    <m/>
    <m/>
  </r>
  <r>
    <s v="18189954"/>
    <s v="TJ Ludslavice"/>
    <s v="706"/>
    <x v="1"/>
    <x v="3"/>
    <s v="Ludslavice"/>
    <s v="Ludslavice 155, PSČ 76852"/>
    <s v="93110"/>
    <s v="Provozování sportovních zařízení"/>
    <m/>
    <m/>
    <m/>
    <m/>
    <m/>
    <m/>
    <m/>
    <m/>
    <m/>
    <m/>
    <m/>
    <m/>
    <m/>
    <m/>
    <m/>
    <m/>
    <m/>
  </r>
  <r>
    <s v="47934760"/>
    <s v="TJ Medlov, z.s."/>
    <s v="706"/>
    <x v="1"/>
    <x v="3"/>
    <s v="Zborovice"/>
    <s v="Zborovice, Medlov 102, PSČ 76802"/>
    <s v="931"/>
    <s v="Sportovní činnosti"/>
    <m/>
    <m/>
    <m/>
    <m/>
    <m/>
    <m/>
    <m/>
    <m/>
    <m/>
    <m/>
    <m/>
    <m/>
    <m/>
    <m/>
    <m/>
    <m/>
    <m/>
  </r>
  <r>
    <s v="61704458"/>
    <s v="TJ MONTY z.s."/>
    <s v="706"/>
    <x v="1"/>
    <x v="2"/>
    <s v="Uherské Hradiště"/>
    <s v="Uherské Hradiště, Sady, Malostranská 4, PSČ 68601"/>
    <s v="93110"/>
    <s v="Provozování sportovních zařízení"/>
    <m/>
    <m/>
    <m/>
    <m/>
    <m/>
    <m/>
    <m/>
    <m/>
    <m/>
    <m/>
    <m/>
    <m/>
    <m/>
    <m/>
    <m/>
    <m/>
    <m/>
  </r>
  <r>
    <s v="47933712"/>
    <s v="TJ Mrlínek, z.s."/>
    <s v="706"/>
    <x v="1"/>
    <x v="3"/>
    <s v="Mrlínek"/>
    <s v="Mrlínek 54, PSČ 76861"/>
    <s v="93110"/>
    <s v="Provozování sportovních zařízení"/>
    <m/>
    <m/>
    <m/>
    <m/>
    <m/>
    <m/>
    <m/>
    <m/>
    <m/>
    <m/>
    <m/>
    <m/>
    <m/>
    <m/>
    <m/>
    <m/>
    <m/>
  </r>
  <r>
    <s v="48506192"/>
    <s v="TJ Nedachlebice, z.s."/>
    <s v="706"/>
    <x v="1"/>
    <x v="2"/>
    <s v="Nedachlebice"/>
    <s v="Nedachlebice 250, PSČ 68712"/>
    <s v="93110"/>
    <s v="Provozování sportovních zařízení"/>
    <m/>
    <m/>
    <m/>
    <m/>
    <m/>
    <m/>
    <m/>
    <m/>
    <m/>
    <m/>
    <m/>
    <m/>
    <m/>
    <m/>
    <m/>
    <m/>
    <m/>
  </r>
  <r>
    <s v="18559964"/>
    <s v="TJ Nedašov z.s."/>
    <s v="706"/>
    <x v="1"/>
    <x v="0"/>
    <s v="Nedašov"/>
    <s v="Nedašov 305, PSČ 76332"/>
    <s v="931"/>
    <s v="Sportovní činnosti"/>
    <m/>
    <m/>
    <m/>
    <m/>
    <m/>
    <m/>
    <m/>
    <m/>
    <m/>
    <m/>
    <m/>
    <m/>
    <m/>
    <m/>
    <m/>
    <m/>
    <m/>
  </r>
  <r>
    <s v="44119178"/>
    <s v="TJ Nedašova Lhota z.s."/>
    <s v="706"/>
    <x v="1"/>
    <x v="0"/>
    <s v="Nedašova Lhota"/>
    <s v="Nedašova Lhota 58, PSČ 76332"/>
    <s v="9499"/>
    <s v="Činnosti ostatních organizací sdružujících osoby za účelem prosazování společných zájmů j. n."/>
    <s v="Velkoobchod a maloobchod; opravy a údržba motorových vozidel"/>
    <s v="Tvůrčí, umělecké a zábavní činnosti"/>
    <s v="Stravování v restauracích, u stánků a v mobilních zařízeních"/>
    <s v="Destilace, rektifikace a míchání lihovin"/>
    <m/>
    <m/>
    <m/>
    <m/>
    <m/>
    <m/>
    <m/>
    <m/>
    <m/>
    <m/>
    <m/>
    <m/>
    <m/>
  </r>
  <r>
    <s v="18189962"/>
    <s v="TJ Nová Dědina z.s."/>
    <s v="706"/>
    <x v="1"/>
    <x v="3"/>
    <s v="Nová Dědina"/>
    <s v="Nová Dědina 12, PSČ 76821"/>
    <s v="93110"/>
    <s v="Provozování sportovních zařízení"/>
    <m/>
    <m/>
    <m/>
    <m/>
    <m/>
    <m/>
    <m/>
    <m/>
    <m/>
    <m/>
    <m/>
    <m/>
    <m/>
    <m/>
    <m/>
    <m/>
    <m/>
  </r>
  <r>
    <s v="60369761"/>
    <s v="TJ Ostrožská Nová Ves, z.s."/>
    <s v="706"/>
    <x v="1"/>
    <x v="2"/>
    <s v="Ostrožská Nová Ves"/>
    <s v="Ostrožská Nová Ves, Nádražní 970, PSČ 68722"/>
    <s v="93110"/>
    <s v="Provozování sportovních zařízení"/>
    <m/>
    <m/>
    <m/>
    <m/>
    <m/>
    <m/>
    <m/>
    <m/>
    <m/>
    <m/>
    <m/>
    <m/>
    <m/>
    <m/>
    <m/>
    <m/>
    <m/>
  </r>
  <r>
    <s v="61704288"/>
    <s v="TJ Osvětimany, spolek"/>
    <s v="706"/>
    <x v="1"/>
    <x v="2"/>
    <s v="Osvětimany"/>
    <s v="Osvětimany 350, PSČ 68742"/>
    <s v="93110"/>
    <s v="Provozování sportovních zařízení"/>
    <m/>
    <m/>
    <m/>
    <m/>
    <m/>
    <m/>
    <m/>
    <m/>
    <m/>
    <m/>
    <m/>
    <m/>
    <m/>
    <m/>
    <m/>
    <m/>
    <m/>
  </r>
  <r>
    <s v="68898622"/>
    <s v="TJ Oznice z.s."/>
    <s v="706"/>
    <x v="1"/>
    <x v="1"/>
    <s v="Oznice"/>
    <s v="Oznice 109, PSČ 75624"/>
    <s v="931"/>
    <s v="Sportovní činnosti"/>
    <m/>
    <m/>
    <m/>
    <m/>
    <m/>
    <m/>
    <m/>
    <m/>
    <m/>
    <m/>
    <m/>
    <m/>
    <m/>
    <m/>
    <m/>
    <m/>
    <m/>
  </r>
  <r>
    <s v="65888294"/>
    <s v="TJ Partyzán Prlov, z.s."/>
    <s v="706"/>
    <x v="1"/>
    <x v="1"/>
    <s v="Prlov"/>
    <s v="Prlov 141, PSČ 75611"/>
    <s v="93110"/>
    <s v="Provozování sportovních zařízení"/>
    <m/>
    <m/>
    <m/>
    <m/>
    <m/>
    <m/>
    <m/>
    <m/>
    <m/>
    <m/>
    <m/>
    <m/>
    <m/>
    <m/>
    <m/>
    <m/>
    <m/>
  </r>
  <r>
    <s v="18190171"/>
    <s v="TJ Pilana Zborovice z.s."/>
    <s v="706"/>
    <x v="1"/>
    <x v="3"/>
    <s v="Zborovice"/>
    <s v="Zborovice, Hlavní 37, PSČ 76832"/>
    <s v="93110"/>
    <s v="Provozování sportovních zařízení"/>
    <m/>
    <m/>
    <m/>
    <m/>
    <m/>
    <m/>
    <m/>
    <m/>
    <m/>
    <m/>
    <m/>
    <m/>
    <m/>
    <m/>
    <m/>
    <m/>
    <m/>
  </r>
  <r>
    <s v="47934361"/>
    <s v="TJ Počenice-Tetětice, z.s."/>
    <s v="706"/>
    <x v="1"/>
    <x v="3"/>
    <s v="Počenice-Tetětice"/>
    <s v="Počenice-Tetětice, Počenice 74, PSČ 76833"/>
    <s v="93110"/>
    <s v="Provozování sportovních zařízení"/>
    <m/>
    <m/>
    <m/>
    <m/>
    <m/>
    <m/>
    <m/>
    <m/>
    <m/>
    <m/>
    <m/>
    <m/>
    <m/>
    <m/>
    <m/>
    <m/>
    <m/>
  </r>
  <r>
    <s v="64123839"/>
    <s v="TJ POLIČNÁ, spolek"/>
    <s v="706"/>
    <x v="1"/>
    <x v="1"/>
    <s v="Poličná"/>
    <s v="Poličná 330, PSČ 75701"/>
    <s v="93110"/>
    <s v="Provozování sportovních zařízení"/>
    <m/>
    <m/>
    <m/>
    <m/>
    <m/>
    <m/>
    <m/>
    <m/>
    <m/>
    <m/>
    <m/>
    <m/>
    <m/>
    <m/>
    <m/>
    <m/>
    <m/>
  </r>
  <r>
    <s v="47933721"/>
    <s v="TJ Prusinovice, z.s."/>
    <s v="706"/>
    <x v="1"/>
    <x v="3"/>
    <s v="Prusinovice"/>
    <s v="Prusinovice, Zámčisko 350, PSČ 76842"/>
    <s v="93110"/>
    <s v="Provozování sportovních zařízení"/>
    <m/>
    <m/>
    <m/>
    <m/>
    <m/>
    <m/>
    <m/>
    <m/>
    <m/>
    <m/>
    <m/>
    <m/>
    <m/>
    <m/>
    <m/>
    <m/>
    <m/>
  </r>
  <r>
    <s v="68898479"/>
    <s v="TJ při Domu dětí a mládeže z.s."/>
    <s v="706"/>
    <x v="1"/>
    <x v="1"/>
    <s v="Valašské Meziříčí"/>
    <s v="Valašské Meziříčí, Zdeňka Fibicha 287, PSČ 75701"/>
    <s v="931"/>
    <s v="Sportovní činnosti"/>
    <m/>
    <m/>
    <m/>
    <m/>
    <m/>
    <m/>
    <m/>
    <m/>
    <m/>
    <m/>
    <m/>
    <m/>
    <m/>
    <m/>
    <m/>
    <m/>
    <m/>
  </r>
  <r>
    <s v="46276581"/>
    <s v="TJ Rokytnice, z.s."/>
    <s v="706"/>
    <x v="1"/>
    <x v="0"/>
    <s v="Rokytnice"/>
    <s v="Rokytnice 204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998080"/>
    <s v="TJ Roštění z.s."/>
    <s v="706"/>
    <x v="1"/>
    <x v="3"/>
    <s v="Roštění"/>
    <s v="Roštění 144, PSČ 76843"/>
    <s v="93110"/>
    <s v="Provozování sportovních zařízení"/>
    <m/>
    <m/>
    <m/>
    <m/>
    <m/>
    <m/>
    <m/>
    <m/>
    <m/>
    <m/>
    <m/>
    <m/>
    <m/>
    <m/>
    <m/>
    <m/>
    <m/>
  </r>
  <r>
    <s v="18189351"/>
    <s v="TJ Roštín, z.s."/>
    <s v="706"/>
    <x v="1"/>
    <x v="3"/>
    <s v="Roštín"/>
    <s v="Roštín 450, PSČ 76803"/>
    <s v="93110"/>
    <s v="Provozování sportovních zařízení"/>
    <s v="Stravování v restauracích, u stánků a v mobilních zařízeních"/>
    <m/>
    <m/>
    <m/>
    <m/>
    <m/>
    <m/>
    <m/>
    <m/>
    <m/>
    <m/>
    <m/>
    <m/>
    <m/>
    <m/>
    <m/>
    <m/>
  </r>
  <r>
    <s v="00534439"/>
    <s v="TJ Rožnov pod Radhoštěm, spolek"/>
    <s v="706"/>
    <x v="1"/>
    <x v="1"/>
    <s v="Rožnov pod Radhoštěm"/>
    <s v="Rožnov pod Radhoštěm, Sokolská 497, PSČ 75661"/>
    <s v="931"/>
    <s v="Sportovní činnosti"/>
    <s v="Maloobchod v nespecializovaných prodejnách"/>
    <m/>
    <m/>
    <m/>
    <m/>
    <m/>
    <m/>
    <m/>
    <m/>
    <m/>
    <m/>
    <m/>
    <m/>
    <m/>
    <m/>
    <m/>
    <m/>
  </r>
  <r>
    <s v="60042141"/>
    <s v="TJ SKI-TURIST, z.s."/>
    <s v="706"/>
    <x v="1"/>
    <x v="1"/>
    <s v="Velké Karlovice"/>
    <s v="Velké Karlovice č. ev. 172, PSČ 75606"/>
    <s v="931"/>
    <s v="Sportovní činnosti"/>
    <m/>
    <m/>
    <m/>
    <m/>
    <m/>
    <m/>
    <m/>
    <m/>
    <m/>
    <m/>
    <m/>
    <m/>
    <m/>
    <m/>
    <m/>
    <m/>
    <m/>
  </r>
  <r>
    <s v="18188362"/>
    <s v="TJ SLAVIA Kroměříž z.s."/>
    <s v="706"/>
    <x v="1"/>
    <x v="3"/>
    <s v="Kroměříž"/>
    <s v="Kroměříž, Kotojedská 2590/6, PSČ 76701"/>
    <s v="93110"/>
    <s v="Provozování sportovních zařízení"/>
    <m/>
    <m/>
    <m/>
    <m/>
    <m/>
    <m/>
    <m/>
    <m/>
    <m/>
    <m/>
    <m/>
    <m/>
    <m/>
    <m/>
    <m/>
    <m/>
    <m/>
  </r>
  <r>
    <s v="18190219"/>
    <s v="TJ Slavkov pod Hostýnem z.s."/>
    <s v="706"/>
    <x v="1"/>
    <x v="3"/>
    <s v="Slavkov pod Hostýnem"/>
    <s v="Slavkov pod Hostýnem 166, PSČ 76861"/>
    <s v="93110"/>
    <s v="Provozování sportovních zařízení"/>
    <m/>
    <m/>
    <m/>
    <m/>
    <m/>
    <m/>
    <m/>
    <m/>
    <m/>
    <m/>
    <m/>
    <m/>
    <m/>
    <m/>
    <m/>
    <m/>
    <m/>
  </r>
  <r>
    <s v="18190197"/>
    <s v="TJ Slavoj Šelešovice, z.s."/>
    <s v="706"/>
    <x v="1"/>
    <x v="3"/>
    <s v="Šelešovice"/>
    <s v="Šelešovice 93, PSČ 76701"/>
    <s v="93110"/>
    <s v="Provozování sportovních zařízení"/>
    <m/>
    <m/>
    <m/>
    <m/>
    <m/>
    <m/>
    <m/>
    <m/>
    <m/>
    <m/>
    <m/>
    <m/>
    <m/>
    <m/>
    <m/>
    <m/>
    <m/>
  </r>
  <r>
    <s v="46956808"/>
    <s v="TJ Slovácká Slavia Uherské Hradiště, z.s."/>
    <s v="706"/>
    <x v="1"/>
    <x v="2"/>
    <s v="Uherské Hradiště"/>
    <s v="Uherské Hradiště, Stonky 860, PSČ 68601"/>
    <s v="93110"/>
    <s v="Provozování sportovních zařízení"/>
    <s v="Reklamní činnosti"/>
    <s v="Rekreační a ostatní krátkodobé ubytování"/>
    <s v="Správa nemovitostí na základě smlouvy nebo dohody"/>
    <s v="Ostatní zábavní a rekreační činnosti j. n."/>
    <m/>
    <m/>
    <m/>
    <m/>
    <m/>
    <m/>
    <m/>
    <m/>
    <m/>
    <m/>
    <m/>
    <m/>
    <m/>
  </r>
  <r>
    <s v="60369680"/>
    <s v="TJ Slovácko Vážany z.s."/>
    <s v="706"/>
    <x v="1"/>
    <x v="2"/>
    <s v="Vážany"/>
    <s v="Vážany 20, PSČ 68737"/>
    <s v="93110"/>
    <s v="Provozování sportovních zařízení"/>
    <m/>
    <m/>
    <m/>
    <m/>
    <m/>
    <m/>
    <m/>
    <m/>
    <m/>
    <m/>
    <m/>
    <m/>
    <m/>
    <m/>
    <m/>
    <m/>
    <m/>
  </r>
  <r>
    <s v="46308032"/>
    <s v="TJ SLOVAN Luhačovice, spolek"/>
    <s v="706"/>
    <x v="1"/>
    <x v="0"/>
    <s v="Luhačovice"/>
    <s v="Luhačovice, Masarykova 228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005687"/>
    <s v="TJ Slovan neslyšících Zlín z. s."/>
    <s v="706"/>
    <x v="1"/>
    <x v="3"/>
    <s v="Rajnochovice"/>
    <s v="Rajnochovice č. ev. 246, PSČ 76871"/>
    <s v="931"/>
    <s v="Sportovní činnosti"/>
    <s v="Ubytování"/>
    <s v="Pronájem a správa vlastních nebo pronajatých nemovitostí"/>
    <s v="Stravování v restauracích, u stánků a v mobilních zařízeních"/>
    <m/>
    <m/>
    <m/>
    <m/>
    <m/>
    <m/>
    <m/>
    <m/>
    <m/>
    <m/>
    <m/>
    <m/>
    <m/>
    <m/>
  </r>
  <r>
    <s v="48773361"/>
    <s v="TJ Slovan Vsetín, z.s."/>
    <s v="706"/>
    <x v="1"/>
    <x v="1"/>
    <s v="Vsetín"/>
    <s v="Vsetín, Dolní Jasenka 171, PSČ 75501"/>
    <s v="93110"/>
    <s v="Provozování sportovních zařízení"/>
    <s v="Pronájem a leasing výrobků pro osobní potřebu a převážně pro domácnost"/>
    <s v="Ubytování v hotelích a podobných ubytovacích zařízeních"/>
    <m/>
    <m/>
    <m/>
    <m/>
    <m/>
    <m/>
    <m/>
    <m/>
    <m/>
    <m/>
    <m/>
    <m/>
    <m/>
    <m/>
    <m/>
  </r>
  <r>
    <s v="47930012"/>
    <s v="TJ Sokol - jezdecký oddíl Kyselovice, spolek"/>
    <s v="706"/>
    <x v="1"/>
    <x v="3"/>
    <s v="Kyselovice"/>
    <s v="Kyselovice 104, PSČ 76811"/>
    <s v="93110"/>
    <s v="Provozování sportovních zařízení"/>
    <m/>
    <m/>
    <m/>
    <m/>
    <m/>
    <m/>
    <m/>
    <m/>
    <m/>
    <m/>
    <m/>
    <m/>
    <m/>
    <m/>
    <m/>
    <m/>
    <m/>
  </r>
  <r>
    <s v="40942139"/>
    <s v="TJ Sokol Bohuslavice nad Vláří, z.s."/>
    <s v="706"/>
    <x v="1"/>
    <x v="0"/>
    <s v="Bohuslavice nad Vláří"/>
    <s v="Bohuslavice nad Vláří 62, PSČ 76321"/>
    <s v="931"/>
    <s v="Sportovní činnosti"/>
    <s v="Velkoobchod, kromě motorových vozidel"/>
    <s v="Maloobchod, kromě motorových vozidel"/>
    <s v="Destilace, rektifikace a míchání lihovin"/>
    <s v="Stravování v restauracích, u stánků a v mobilních zařízeních"/>
    <s v="Podpůrné činnosti pro scénická umění"/>
    <s v="Ostatní sportovní činnosti"/>
    <m/>
    <m/>
    <m/>
    <m/>
    <m/>
    <m/>
    <m/>
    <m/>
    <m/>
    <m/>
    <m/>
  </r>
  <r>
    <s v="44117345"/>
    <s v="TJ Sokol Bratřejov, z.s."/>
    <s v="706"/>
    <x v="1"/>
    <x v="0"/>
    <s v="Bratřejov"/>
    <s v="Bratřejov 261, PSČ 76312"/>
    <s v="93110"/>
    <s v="Provozování sportovních zařízení"/>
    <m/>
    <m/>
    <m/>
    <m/>
    <m/>
    <m/>
    <m/>
    <m/>
    <m/>
    <m/>
    <m/>
    <m/>
    <m/>
    <m/>
    <m/>
    <m/>
    <m/>
  </r>
  <r>
    <s v="46311416"/>
    <s v="TJ Sokol Březová, z.s."/>
    <s v="706"/>
    <x v="1"/>
    <x v="0"/>
    <s v="Březová"/>
    <s v="Březová 36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898363"/>
    <s v="TJ Sokol Bynina, z.s."/>
    <s v="706"/>
    <x v="1"/>
    <x v="1"/>
    <s v="Valašské Meziříčí"/>
    <s v="Valašské Meziříčí, Krásno nad Bečvou, U Apolla 801, PSČ 75701"/>
    <s v="931"/>
    <s v="Sportovní činnosti"/>
    <m/>
    <m/>
    <m/>
    <m/>
    <m/>
    <m/>
    <m/>
    <m/>
    <m/>
    <m/>
    <m/>
    <m/>
    <m/>
    <m/>
    <m/>
    <m/>
    <m/>
  </r>
  <r>
    <s v="46308598"/>
    <s v="TJ Sokol Dobrkovice, z.s."/>
    <s v="706"/>
    <x v="1"/>
    <x v="0"/>
    <s v="Dobrkovice"/>
    <s v="763 07 Dobrkov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934328"/>
    <s v="TJ Sokol Dřínov, spolek"/>
    <s v="706"/>
    <x v="1"/>
    <x v="3"/>
    <s v="Dřínov"/>
    <s v="Dřínov 163, PSČ 76833"/>
    <s v="93110"/>
    <s v="Provozování sportovních zařízení"/>
    <m/>
    <m/>
    <m/>
    <m/>
    <m/>
    <m/>
    <m/>
    <m/>
    <m/>
    <m/>
    <m/>
    <m/>
    <m/>
    <m/>
    <m/>
    <m/>
    <m/>
  </r>
  <r>
    <s v="44740565"/>
    <s v="TJ Sokol Horní Bečva z.s."/>
    <s v="706"/>
    <x v="1"/>
    <x v="1"/>
    <s v="Horní Bečva"/>
    <s v="Horní Bečva 799, PSČ 75657"/>
    <s v="931"/>
    <s v="Sportovní činnosti"/>
    <m/>
    <m/>
    <m/>
    <m/>
    <m/>
    <m/>
    <m/>
    <m/>
    <m/>
    <m/>
    <m/>
    <m/>
    <m/>
    <m/>
    <m/>
    <m/>
    <m/>
  </r>
  <r>
    <s v="46254765"/>
    <s v="TJ Sokol Horní Němčí, spolek"/>
    <s v="706"/>
    <x v="1"/>
    <x v="2"/>
    <s v="Horní Němčí"/>
    <s v="Horní Němčí 401, PSČ 68764"/>
    <s v="93110"/>
    <s v="Provozování sportovních zařízení"/>
    <m/>
    <m/>
    <m/>
    <m/>
    <m/>
    <m/>
    <m/>
    <m/>
    <m/>
    <m/>
    <m/>
    <m/>
    <m/>
    <m/>
    <m/>
    <m/>
    <m/>
  </r>
  <r>
    <s v="44740981"/>
    <s v="TJ Sokol Hovězí, z.s."/>
    <s v="706"/>
    <x v="1"/>
    <x v="1"/>
    <s v="Hovězí"/>
    <s v="Hovězí 83, PSČ 75601"/>
    <s v="931"/>
    <s v="Sportovní činnosti"/>
    <m/>
    <m/>
    <m/>
    <m/>
    <m/>
    <m/>
    <m/>
    <m/>
    <m/>
    <m/>
    <m/>
    <m/>
    <m/>
    <m/>
    <m/>
    <m/>
    <m/>
  </r>
  <r>
    <s v="66545323"/>
    <s v="TJ Sokol Hradčovice z.s."/>
    <s v="706"/>
    <x v="1"/>
    <x v="2"/>
    <s v="Hradčovice"/>
    <s v="Hradčovice 168, PSČ 68733"/>
    <s v="93110"/>
    <s v="Provozování sportovních zařízení"/>
    <m/>
    <m/>
    <m/>
    <m/>
    <m/>
    <m/>
    <m/>
    <m/>
    <m/>
    <m/>
    <m/>
    <m/>
    <m/>
    <m/>
    <m/>
    <m/>
    <m/>
  </r>
  <r>
    <s v="49562860"/>
    <s v="TJ. Sokol Huslenky, z.s."/>
    <s v="706"/>
    <x v="1"/>
    <x v="1"/>
    <s v="Huslenky"/>
    <s v="Huslenky 585, PSČ 75602"/>
    <s v="931"/>
    <s v="Sportovní činnosti"/>
    <m/>
    <m/>
    <m/>
    <m/>
    <m/>
    <m/>
    <m/>
    <m/>
    <m/>
    <m/>
    <m/>
    <m/>
    <m/>
    <m/>
    <m/>
    <m/>
    <m/>
  </r>
  <r>
    <s v="69211663"/>
    <s v="TJ Sokol Hutisko-Solanec z.s."/>
    <s v="706"/>
    <x v="1"/>
    <x v="1"/>
    <s v="Hutisko-Solanec"/>
    <s v="Hutisko-Solanec, Hutisko 512, PSČ 75662"/>
    <s v="931"/>
    <s v="Sportovní činnosti"/>
    <m/>
    <m/>
    <m/>
    <m/>
    <m/>
    <m/>
    <m/>
    <m/>
    <m/>
    <m/>
    <m/>
    <m/>
    <m/>
    <m/>
    <m/>
    <m/>
    <m/>
  </r>
  <r>
    <s v="61704202"/>
    <s v="TJ Sokol Jankovice, z.s."/>
    <s v="706"/>
    <x v="1"/>
    <x v="2"/>
    <s v="Jankovice"/>
    <s v="Jankovice 15, PSČ 68704"/>
    <s v="93110"/>
    <s v="Provozování sportovních zařízení"/>
    <m/>
    <m/>
    <m/>
    <m/>
    <m/>
    <m/>
    <m/>
    <m/>
    <m/>
    <m/>
    <m/>
    <m/>
    <m/>
    <m/>
    <m/>
    <m/>
    <m/>
  </r>
  <r>
    <s v="68898568"/>
    <s v="TJ Sokol Jarcová z.s."/>
    <s v="706"/>
    <x v="1"/>
    <x v="1"/>
    <s v="Jarcová"/>
    <s v="Jarcová 231, PSČ 75701"/>
    <s v="931"/>
    <s v="Sportovní činnosti"/>
    <m/>
    <m/>
    <m/>
    <m/>
    <m/>
    <m/>
    <m/>
    <m/>
    <m/>
    <m/>
    <m/>
    <m/>
    <m/>
    <m/>
    <m/>
    <m/>
    <m/>
  </r>
  <r>
    <s v="66184541"/>
    <s v="TJ. Sokol Kateřinice, z.s."/>
    <s v="706"/>
    <x v="1"/>
    <x v="1"/>
    <s v="Kateřinice"/>
    <s v="Kateřinice 391, PSČ 75621"/>
    <s v="93110"/>
    <s v="Provozování sportovních zařízení"/>
    <m/>
    <m/>
    <m/>
    <m/>
    <m/>
    <m/>
    <m/>
    <m/>
    <m/>
    <m/>
    <m/>
    <m/>
    <m/>
    <m/>
    <m/>
    <m/>
    <m/>
  </r>
  <r>
    <s v="18757600"/>
    <s v="TJ Sokol Kostelec-Zlín, z.s."/>
    <s v="706"/>
    <x v="1"/>
    <x v="0"/>
    <s v="Zlín"/>
    <s v="Zlín, Kostelec, Lázeňská 723, PSČ 76314"/>
    <s v="931"/>
    <s v="Sportovní činnosti"/>
    <m/>
    <m/>
    <m/>
    <m/>
    <m/>
    <m/>
    <m/>
    <m/>
    <m/>
    <m/>
    <m/>
    <m/>
    <m/>
    <m/>
    <m/>
    <m/>
    <m/>
  </r>
  <r>
    <s v="48773344"/>
    <s v="TJ Sokol Kunovice, z.s."/>
    <s v="706"/>
    <x v="1"/>
    <x v="1"/>
    <s v="Kunovice"/>
    <s v="Kunovice 153, PSČ 75644"/>
    <s v="93110"/>
    <s v="Provozování sportovních zařízení"/>
    <m/>
    <m/>
    <m/>
    <m/>
    <m/>
    <m/>
    <m/>
    <m/>
    <m/>
    <m/>
    <m/>
    <m/>
    <m/>
    <m/>
    <m/>
    <m/>
    <m/>
  </r>
  <r>
    <s v="70893900"/>
    <s v="TJ Sokol Kurovice, z.s."/>
    <s v="706"/>
    <x v="1"/>
    <x v="3"/>
    <s v="Kurovice"/>
    <s v="Kurovice 68, PSČ 76852"/>
    <s v="931"/>
    <s v="Sportovní činnosti"/>
    <m/>
    <m/>
    <m/>
    <m/>
    <m/>
    <m/>
    <m/>
    <m/>
    <m/>
    <m/>
    <m/>
    <m/>
    <m/>
    <m/>
    <m/>
    <m/>
    <m/>
  </r>
  <r>
    <s v="44003986"/>
    <s v="TJ Sokol Lípa, z.s."/>
    <s v="706"/>
    <x v="1"/>
    <x v="0"/>
    <s v="Lípa"/>
    <s v="Lípa 220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773298"/>
    <s v="TJ Sokol Loučka, z.s."/>
    <s v="706"/>
    <x v="1"/>
    <x v="1"/>
    <s v="Loučka"/>
    <s v="Loučka 248, PSČ 75644"/>
    <s v="93110"/>
    <s v="Provozování sportovních zařízení"/>
    <m/>
    <m/>
    <m/>
    <m/>
    <m/>
    <m/>
    <m/>
    <m/>
    <m/>
    <m/>
    <m/>
    <m/>
    <m/>
    <m/>
    <m/>
    <m/>
    <m/>
  </r>
  <r>
    <s v="48773450"/>
    <s v="TJ Sokol Lužná, z.s."/>
    <s v="706"/>
    <x v="1"/>
    <x v="1"/>
    <s v="Lužná"/>
    <s v="Lužná 259, PSČ 75611"/>
    <s v="93110"/>
    <s v="Provozování sportovních zařízení"/>
    <m/>
    <m/>
    <m/>
    <m/>
    <m/>
    <m/>
    <m/>
    <m/>
    <m/>
    <m/>
    <m/>
    <m/>
    <m/>
    <m/>
    <m/>
    <m/>
    <m/>
  </r>
  <r>
    <s v="46276521"/>
    <s v="TJ Sokol Machová, z.s."/>
    <s v="706"/>
    <x v="1"/>
    <x v="0"/>
    <s v="Machová"/>
    <s v="Machová 186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4261"/>
    <s v="TJ Sokol Mistřice, z.s."/>
    <s v="706"/>
    <x v="1"/>
    <x v="2"/>
    <s v="Mistřice"/>
    <s v="Mistřice 450, PSČ 68712"/>
    <s v="93110"/>
    <s v="Provozování sportovních zařízení"/>
    <m/>
    <m/>
    <m/>
    <m/>
    <m/>
    <m/>
    <m/>
    <m/>
    <m/>
    <m/>
    <m/>
    <m/>
    <m/>
    <m/>
    <m/>
    <m/>
    <m/>
  </r>
  <r>
    <s v="18189504"/>
    <s v="TJ Sokol Míškovice, z.s."/>
    <s v="706"/>
    <x v="1"/>
    <x v="3"/>
    <s v="Míškovice"/>
    <s v="Míškovice 165, PSČ 76852"/>
    <s v="93110"/>
    <s v="Provozování sportovních zařízení"/>
    <m/>
    <m/>
    <m/>
    <m/>
    <m/>
    <m/>
    <m/>
    <m/>
    <m/>
    <m/>
    <m/>
    <m/>
    <m/>
    <m/>
    <m/>
    <m/>
    <m/>
  </r>
  <r>
    <s v="15546713"/>
    <s v="TJ SOKOL Mysločovice, z.s."/>
    <s v="706"/>
    <x v="1"/>
    <x v="0"/>
    <s v="Mysločovice"/>
    <s v="Mysločovice 56, PSČ 76301"/>
    <s v="931"/>
    <s v="Sportovní činnosti"/>
    <m/>
    <m/>
    <m/>
    <m/>
    <m/>
    <m/>
    <m/>
    <m/>
    <m/>
    <m/>
    <m/>
    <m/>
    <m/>
    <m/>
    <m/>
    <m/>
    <m/>
  </r>
  <r>
    <s v="44005211"/>
    <s v="TJ Sokol Návojná, z.s."/>
    <s v="706"/>
    <x v="1"/>
    <x v="0"/>
    <s v="Návojná"/>
    <s v="Návojná 81, PSČ 7633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3664"/>
    <s v="T.J. Sokol Nedakonice z.s."/>
    <s v="706"/>
    <x v="1"/>
    <x v="2"/>
    <s v="Nedakonice"/>
    <s v="Nedakonice 19, PSČ 68738"/>
    <s v="93110"/>
    <s v="Provozování sportovních zařízení"/>
    <m/>
    <m/>
    <m/>
    <m/>
    <m/>
    <m/>
    <m/>
    <m/>
    <m/>
    <m/>
    <m/>
    <m/>
    <m/>
    <m/>
    <m/>
    <m/>
    <m/>
  </r>
  <r>
    <s v="47933615"/>
    <s v="TJ Sokol Němčice, z.s."/>
    <s v="706"/>
    <x v="1"/>
    <x v="3"/>
    <s v="Němčice"/>
    <s v="Němčice 68, PSČ 76843"/>
    <s v="93110"/>
    <s v="Provozování sportovních zařízení"/>
    <m/>
    <m/>
    <m/>
    <m/>
    <m/>
    <m/>
    <m/>
    <m/>
    <m/>
    <m/>
    <m/>
    <m/>
    <m/>
    <m/>
    <m/>
    <m/>
    <m/>
  </r>
  <r>
    <s v="18811159"/>
    <s v="TJ Sokol Nevšová, z.s."/>
    <s v="706"/>
    <x v="1"/>
    <x v="0"/>
    <s v="Slavičín"/>
    <s v="Slavičín, Nevšová 84, PSČ 76321"/>
    <s v="931"/>
    <s v="Sportovní činnosti"/>
    <m/>
    <m/>
    <m/>
    <m/>
    <m/>
    <m/>
    <m/>
    <m/>
    <m/>
    <m/>
    <m/>
    <m/>
    <m/>
    <m/>
    <m/>
    <m/>
    <m/>
  </r>
  <r>
    <s v="61704270"/>
    <s v="TJ Sokol Nezdenice z.s."/>
    <s v="706"/>
    <x v="1"/>
    <x v="2"/>
    <s v="Nezdenice"/>
    <s v="Nezdenice č. ev. 4, PSČ 68732"/>
    <s v="93110"/>
    <s v="Provozování sportovních zařízení"/>
    <m/>
    <m/>
    <m/>
    <m/>
    <m/>
    <m/>
    <m/>
    <m/>
    <m/>
    <m/>
    <m/>
    <m/>
    <m/>
    <m/>
    <m/>
    <m/>
    <m/>
  </r>
  <r>
    <s v="64123201"/>
    <s v="TJ Sokol Nový Hrozenkov, z.s."/>
    <s v="706"/>
    <x v="1"/>
    <x v="1"/>
    <s v="Nový Hrozenkov"/>
    <s v="Nový Hrozenkov 914, PSČ 75604"/>
    <s v="931"/>
    <s v="Sportovní činnosti"/>
    <m/>
    <m/>
    <m/>
    <m/>
    <m/>
    <m/>
    <m/>
    <m/>
    <m/>
    <m/>
    <m/>
    <m/>
    <m/>
    <m/>
    <m/>
    <m/>
    <m/>
  </r>
  <r>
    <s v="47930179"/>
    <s v="TJ Sokol Pačlavice, spolek"/>
    <s v="706"/>
    <x v="1"/>
    <x v="3"/>
    <s v="Pačlavice"/>
    <s v="Pačlavice 72, PSČ 76834"/>
    <s v="93110"/>
    <s v="Provozování sportovních zařízení"/>
    <s v="Destilace, rektifikace a míchání lihovin"/>
    <s v="Podpůrné činnosti pro scénická umění"/>
    <s v="Ostatní sportovní činnosti"/>
    <m/>
    <m/>
    <m/>
    <m/>
    <m/>
    <m/>
    <m/>
    <m/>
    <m/>
    <m/>
    <m/>
    <m/>
    <m/>
    <m/>
  </r>
  <r>
    <s v="15549399"/>
    <s v="TJ Sokol Petrůvka z.s."/>
    <s v="706"/>
    <x v="1"/>
    <x v="0"/>
    <s v="Petrůvka"/>
    <s v="Petrůvka 90, PSČ 76321"/>
    <s v="93110"/>
    <s v="Provozování sportovních zařízení"/>
    <m/>
    <m/>
    <m/>
    <m/>
    <m/>
    <m/>
    <m/>
    <m/>
    <m/>
    <m/>
    <m/>
    <m/>
    <m/>
    <m/>
    <m/>
    <m/>
    <m/>
  </r>
  <r>
    <s v="18190065"/>
    <s v="TJ Sokol Podhradní Lhota z.s."/>
    <s v="706"/>
    <x v="1"/>
    <x v="3"/>
    <s v="Podhradní Lhota"/>
    <s v="Podhradní Lhota 150, PSČ 76871"/>
    <s v="93110"/>
    <s v="Provozování sportovních zařízení"/>
    <m/>
    <m/>
    <m/>
    <m/>
    <m/>
    <m/>
    <m/>
    <m/>
    <m/>
    <m/>
    <m/>
    <m/>
    <m/>
    <m/>
    <m/>
    <m/>
    <m/>
  </r>
  <r>
    <s v="49563211"/>
    <s v="TJ Sokol Podlesí, z.s."/>
    <s v="706"/>
    <x v="1"/>
    <x v="1"/>
    <s v="Valašské Meziříčí"/>
    <s v="Valašské Meziříčí, Podlesí 608, PSČ 75701"/>
    <s v="93110"/>
    <s v="Provozování sportovních zařízení"/>
    <m/>
    <m/>
    <m/>
    <m/>
    <m/>
    <m/>
    <m/>
    <m/>
    <m/>
    <m/>
    <m/>
    <m/>
    <m/>
    <m/>
    <m/>
    <m/>
    <m/>
  </r>
  <r>
    <s v="18757472"/>
    <s v="TJ Sokol Pohořelice, z.s."/>
    <s v="706"/>
    <x v="1"/>
    <x v="0"/>
    <s v="Pohořelice"/>
    <s v="Pohořelice"/>
    <s v="931"/>
    <s v="Sportovní činnosti"/>
    <m/>
    <m/>
    <m/>
    <m/>
    <m/>
    <m/>
    <m/>
    <m/>
    <m/>
    <m/>
    <m/>
    <m/>
    <m/>
    <m/>
    <m/>
    <m/>
    <m/>
  </r>
  <r>
    <s v="66184371"/>
    <s v="TJ Sokol Pozděchov, z.s."/>
    <s v="706"/>
    <x v="1"/>
    <x v="1"/>
    <s v="Pozděchov"/>
    <s v="Pozděchov 238, PSČ 75611"/>
    <s v="93110"/>
    <s v="Provozování sportovních zařízení"/>
    <m/>
    <m/>
    <m/>
    <m/>
    <m/>
    <m/>
    <m/>
    <m/>
    <m/>
    <m/>
    <m/>
    <m/>
    <m/>
    <m/>
    <m/>
    <m/>
    <m/>
  </r>
  <r>
    <s v="60370157"/>
    <s v="TJ SOKOL PRAKŠICE - PAŠOVICE, z.s."/>
    <s v="706"/>
    <x v="1"/>
    <x v="2"/>
    <s v="Prakšice"/>
    <s v="Prakšice 311, PSČ 68756"/>
    <s v="93110"/>
    <s v="Provozování sportovních zařízení"/>
    <m/>
    <m/>
    <m/>
    <m/>
    <m/>
    <m/>
    <m/>
    <m/>
    <m/>
    <m/>
    <m/>
    <m/>
    <m/>
    <m/>
    <m/>
    <m/>
    <m/>
  </r>
  <r>
    <s v="18189369"/>
    <s v="TJ Sokol Pravčice, spolek"/>
    <s v="706"/>
    <x v="1"/>
    <x v="3"/>
    <s v="Pravčice"/>
    <s v="Pravčice 224, PSČ 76824"/>
    <s v="93110"/>
    <s v="Provozování sportovních zařízení"/>
    <m/>
    <m/>
    <m/>
    <m/>
    <m/>
    <m/>
    <m/>
    <m/>
    <m/>
    <m/>
    <m/>
    <m/>
    <m/>
    <m/>
    <m/>
    <m/>
    <m/>
  </r>
  <r>
    <s v="18810551"/>
    <s v="TJ Sokol Racková, z.s."/>
    <s v="706"/>
    <x v="1"/>
    <x v="0"/>
    <s v="Racková"/>
    <s v="Racková 6, PSČ 76001"/>
    <s v="931"/>
    <s v="Sportovní činnosti"/>
    <m/>
    <m/>
    <m/>
    <m/>
    <m/>
    <m/>
    <m/>
    <m/>
    <m/>
    <m/>
    <m/>
    <m/>
    <m/>
    <m/>
    <m/>
    <m/>
    <m/>
  </r>
  <r>
    <s v="46998535"/>
    <s v="TJ Sokol Rataje, z.s."/>
    <s v="706"/>
    <x v="1"/>
    <x v="3"/>
    <s v="Rataje"/>
    <s v="Rataje 139, PSČ 76812"/>
    <s v="93110"/>
    <s v="Provozování sportovních zařízení"/>
    <m/>
    <m/>
    <m/>
    <m/>
    <m/>
    <m/>
    <m/>
    <m/>
    <m/>
    <m/>
    <m/>
    <m/>
    <m/>
    <m/>
    <m/>
    <m/>
    <m/>
  </r>
  <r>
    <s v="69603880"/>
    <s v="TJ SOKOL RATIBOŘ, z.s."/>
    <s v="706"/>
    <x v="1"/>
    <x v="1"/>
    <s v="Ratiboř"/>
    <s v="Ratiboř 307, PSČ 75621"/>
    <s v="93110"/>
    <s v="Provozování sportovních zařízení"/>
    <m/>
    <m/>
    <m/>
    <m/>
    <m/>
    <m/>
    <m/>
    <m/>
    <m/>
    <m/>
    <m/>
    <m/>
    <m/>
    <m/>
    <m/>
    <m/>
    <m/>
  </r>
  <r>
    <s v="60369752"/>
    <s v="TJ SOKOL RUDICE 1922 z.s."/>
    <s v="706"/>
    <x v="1"/>
    <x v="2"/>
    <s v="Rudice"/>
    <s v="Rudice 234, PSČ 68732"/>
    <s v="93110"/>
    <s v="Provozování sportovních zařízení"/>
    <m/>
    <m/>
    <m/>
    <m/>
    <m/>
    <m/>
    <m/>
    <m/>
    <m/>
    <m/>
    <m/>
    <m/>
    <m/>
    <m/>
    <m/>
    <m/>
    <m/>
  </r>
  <r>
    <s v="68898452"/>
    <s v="TJ Sokol Růžďka z. s."/>
    <s v="706"/>
    <x v="1"/>
    <x v="1"/>
    <s v="Růžďka"/>
    <s v="Růžďka č. ev. 61, PSČ 75625"/>
    <s v="931"/>
    <s v="Sportovní činnosti"/>
    <m/>
    <m/>
    <m/>
    <m/>
    <m/>
    <m/>
    <m/>
    <m/>
    <m/>
    <m/>
    <m/>
    <m/>
    <m/>
    <m/>
    <m/>
    <m/>
    <m/>
  </r>
  <r>
    <s v="46307320"/>
    <s v="TJ Sokol Salaš"/>
    <s v="706"/>
    <x v="1"/>
    <x v="0"/>
    <s v="Zlín"/>
    <s v="Zlín, Salaš 37, PSČ 763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810641"/>
    <s v="TJ Sokol Sehradice, z.s."/>
    <s v="706"/>
    <x v="1"/>
    <x v="0"/>
    <s v="Sehradice"/>
    <s v="Sehradice 143, PSČ 76323"/>
    <s v="931"/>
    <s v="Sportovní činnosti"/>
    <m/>
    <m/>
    <m/>
    <m/>
    <m/>
    <m/>
    <m/>
    <m/>
    <m/>
    <m/>
    <m/>
    <m/>
    <m/>
    <m/>
    <m/>
    <m/>
    <m/>
  </r>
  <r>
    <s v="13643690"/>
    <s v="TJ Sokol Seninka, z.s."/>
    <s v="706"/>
    <x v="1"/>
    <x v="1"/>
    <s v="Seninka"/>
    <s v="Seninka 49, PSČ 75611"/>
    <s v="93110"/>
    <s v="Provozování sportovních zařízení"/>
    <m/>
    <m/>
    <m/>
    <m/>
    <m/>
    <m/>
    <m/>
    <m/>
    <m/>
    <m/>
    <m/>
    <m/>
    <m/>
    <m/>
    <m/>
    <m/>
    <m/>
  </r>
  <r>
    <s v="46956603"/>
    <s v="TJ Sokol Slavkov, z.s."/>
    <s v="706"/>
    <x v="1"/>
    <x v="2"/>
    <s v="Slavkov"/>
    <s v="Slavkov 114, PSČ 68764"/>
    <s v="93110"/>
    <s v="Provozování sportovních zařízení"/>
    <m/>
    <m/>
    <m/>
    <m/>
    <m/>
    <m/>
    <m/>
    <m/>
    <m/>
    <m/>
    <m/>
    <m/>
    <m/>
    <m/>
    <m/>
    <m/>
    <m/>
  </r>
  <r>
    <s v="44740816"/>
    <s v="TJ Sokol Střítež, z.s."/>
    <s v="706"/>
    <x v="1"/>
    <x v="1"/>
    <s v="Střítež nad Bečvou"/>
    <s v="Střítež nad Bečvou 1, PSČ 75652"/>
    <s v="931"/>
    <s v="Sportovní činnosti"/>
    <m/>
    <m/>
    <m/>
    <m/>
    <m/>
    <m/>
    <m/>
    <m/>
    <m/>
    <m/>
    <m/>
    <m/>
    <m/>
    <m/>
    <m/>
    <m/>
    <m/>
  </r>
  <r>
    <s v="46308253"/>
    <s v="TJ Sokol Šarovy, z. s."/>
    <s v="706"/>
    <x v="1"/>
    <x v="0"/>
    <s v="Šarovy"/>
    <s v="Šarovy 100, PSČ 76351"/>
    <s v="931"/>
    <s v="Sportovní činnosti"/>
    <m/>
    <m/>
    <m/>
    <m/>
    <m/>
    <m/>
    <m/>
    <m/>
    <m/>
    <m/>
    <m/>
    <m/>
    <m/>
    <m/>
    <m/>
    <m/>
    <m/>
  </r>
  <r>
    <s v="69649332"/>
    <s v="T.J. Sokol Trnava, z.s."/>
    <s v="706"/>
    <x v="1"/>
    <x v="0"/>
    <s v="Trnava"/>
    <s v="Trnava 156, PSČ 76318"/>
    <s v="931"/>
    <s v="Sportovní činnosti"/>
    <m/>
    <m/>
    <m/>
    <m/>
    <m/>
    <m/>
    <m/>
    <m/>
    <m/>
    <m/>
    <m/>
    <m/>
    <m/>
    <m/>
    <m/>
    <m/>
    <m/>
  </r>
  <r>
    <s v="18189768"/>
    <s v="TJ Sokol Tučapy z.s."/>
    <s v="706"/>
    <x v="1"/>
    <x v="3"/>
    <s v="Holešov"/>
    <s v="Holešov, Tučapy 94, PSČ 76901"/>
    <s v="93110"/>
    <s v="Provozování sportovních zařízení"/>
    <m/>
    <m/>
    <m/>
    <m/>
    <m/>
    <m/>
    <m/>
    <m/>
    <m/>
    <m/>
    <m/>
    <m/>
    <m/>
    <m/>
    <m/>
    <m/>
    <m/>
  </r>
  <r>
    <s v="46254790"/>
    <s v="TJ Sokol Újezdec-Těšov,z.s."/>
    <s v="706"/>
    <x v="1"/>
    <x v="2"/>
    <s v="Uherský Brod"/>
    <s v="Uherský Brod, Újezdec 371, PSČ 68734"/>
    <s v="93110"/>
    <s v="Provozování sportovních zařízení"/>
    <m/>
    <m/>
    <m/>
    <m/>
    <m/>
    <m/>
    <m/>
    <m/>
    <m/>
    <m/>
    <m/>
    <m/>
    <m/>
    <m/>
    <m/>
    <m/>
    <m/>
  </r>
  <r>
    <s v="26657571"/>
    <s v="TJ Sokol Valašská Polanka, z. s."/>
    <s v="706"/>
    <x v="1"/>
    <x v="1"/>
    <s v="Valašská Polanka"/>
    <s v="Valašská Polanka 204, PSČ 75611"/>
    <s v="931"/>
    <s v="Sportovní činnosti"/>
    <m/>
    <m/>
    <m/>
    <m/>
    <m/>
    <m/>
    <m/>
    <m/>
    <m/>
    <m/>
    <m/>
    <m/>
    <m/>
    <m/>
    <m/>
    <m/>
    <m/>
  </r>
  <r>
    <s v="18189946"/>
    <s v="TJ Sokol Velké Těšany, z.s."/>
    <s v="706"/>
    <x v="1"/>
    <x v="3"/>
    <s v="Bařice-Velké Těšany"/>
    <s v="Bařice-Velké Těšany, Velké Těšany, 9. května 70, PSČ 76701"/>
    <s v="93110"/>
    <s v="Provozování sportovních zařízení"/>
    <m/>
    <m/>
    <m/>
    <m/>
    <m/>
    <m/>
    <m/>
    <m/>
    <m/>
    <m/>
    <m/>
    <m/>
    <m/>
    <m/>
    <m/>
    <m/>
    <m/>
  </r>
  <r>
    <s v="46308962"/>
    <s v="TJ Sokol Velký Ořechov, z.s."/>
    <s v="706"/>
    <x v="1"/>
    <x v="0"/>
    <s v="Velký Ořechov"/>
    <s v="Velký Ořechov 219, PSČ 763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119364"/>
    <s v="TJ Sokol Veselá, z.s."/>
    <s v="706"/>
    <x v="1"/>
    <x v="0"/>
    <s v="Veselá"/>
    <s v="Veselá 218, PSČ 76315"/>
    <s v="93110"/>
    <s v="Provozování sportovních zařízení"/>
    <m/>
    <m/>
    <m/>
    <m/>
    <m/>
    <m/>
    <m/>
    <m/>
    <m/>
    <m/>
    <m/>
    <m/>
    <m/>
    <m/>
    <m/>
    <m/>
    <m/>
  </r>
  <r>
    <s v="18154115"/>
    <s v="TJ Sokol Vizovice, z. s."/>
    <s v="706"/>
    <x v="1"/>
    <x v="0"/>
    <s v="Vizovice"/>
    <s v="Vizovice, Tyršova 177, PSČ 76312"/>
    <s v="931"/>
    <s v="Sportovní činnosti"/>
    <m/>
    <m/>
    <m/>
    <m/>
    <m/>
    <m/>
    <m/>
    <m/>
    <m/>
    <m/>
    <m/>
    <m/>
    <m/>
    <m/>
    <m/>
    <m/>
    <m/>
  </r>
  <r>
    <s v="40994830"/>
    <s v="TJ Sokol Vlčková, z.s."/>
    <s v="706"/>
    <x v="1"/>
    <x v="0"/>
    <s v="Vlčková"/>
    <s v="Vlčková č. ev. 131, PSČ 76319"/>
    <s v="931"/>
    <s v="Sportovní činnosti"/>
    <m/>
    <m/>
    <m/>
    <m/>
    <m/>
    <m/>
    <m/>
    <m/>
    <m/>
    <m/>
    <m/>
    <m/>
    <m/>
    <m/>
    <m/>
    <m/>
    <m/>
  </r>
  <r>
    <s v="46276122"/>
    <s v="TJ Sokol Všemina z.s."/>
    <s v="706"/>
    <x v="1"/>
    <x v="0"/>
    <s v="Všemina"/>
    <s v="Všemina 299, PSČ 76315"/>
    <s v="93110"/>
    <s v="Provozování sportovních zařízení"/>
    <s v="Stravování v restauracích, u stánků a v mobilních zařízeních"/>
    <s v="Činnosti ostatních organizací sdružujících osoby za účelem prosazování společných zájmů j. n."/>
    <s v="Destilace, rektifikace a míchání lihovin"/>
    <m/>
    <m/>
    <m/>
    <m/>
    <m/>
    <m/>
    <m/>
    <m/>
    <m/>
    <m/>
    <m/>
    <m/>
    <m/>
    <m/>
  </r>
  <r>
    <s v="46998276"/>
    <s v="TJ Sokol Záhlinice z.s."/>
    <s v="706"/>
    <x v="1"/>
    <x v="3"/>
    <s v="Hulín"/>
    <s v="Hulín, Záhlinice 138, PSČ 76824"/>
    <s v="93110"/>
    <s v="Provozování sportovních zařízení"/>
    <m/>
    <m/>
    <m/>
    <m/>
    <m/>
    <m/>
    <m/>
    <m/>
    <m/>
    <m/>
    <m/>
    <m/>
    <m/>
    <m/>
    <m/>
    <m/>
    <m/>
  </r>
  <r>
    <s v="68898703"/>
    <s v="TJ SOKOL ZDĚCHOV, z.s."/>
    <s v="706"/>
    <x v="1"/>
    <x v="1"/>
    <s v="Zděchov"/>
    <s v="Zděchov 175, PSČ 75607"/>
    <s v="931"/>
    <s v="Sportovní činnosti"/>
    <m/>
    <m/>
    <m/>
    <m/>
    <m/>
    <m/>
    <m/>
    <m/>
    <m/>
    <m/>
    <m/>
    <m/>
    <m/>
    <m/>
    <m/>
    <m/>
    <m/>
  </r>
  <r>
    <s v="47934573"/>
    <s v="TJ Sokol Zlobice z.s."/>
    <s v="706"/>
    <x v="1"/>
    <x v="3"/>
    <s v="Zlobice"/>
    <s v="Zlobice 77, PSČ 76831"/>
    <s v="93110"/>
    <s v="Provozování sportovních zařízení"/>
    <m/>
    <m/>
    <m/>
    <m/>
    <m/>
    <m/>
    <m/>
    <m/>
    <m/>
    <m/>
    <m/>
    <m/>
    <m/>
    <m/>
    <m/>
    <m/>
    <m/>
  </r>
  <r>
    <s v="18189709"/>
    <s v="TJ Sokol Žopy, z.s."/>
    <s v="706"/>
    <x v="1"/>
    <x v="3"/>
    <s v="Holešov"/>
    <s v="Holešov, Palackého 1169/39, PSČ 76901"/>
    <s v="93110"/>
    <s v="Provozování sportovních zařízení"/>
    <m/>
    <m/>
    <m/>
    <m/>
    <m/>
    <m/>
    <m/>
    <m/>
    <m/>
    <m/>
    <m/>
    <m/>
    <m/>
    <m/>
    <m/>
    <m/>
    <m/>
  </r>
  <r>
    <s v="00395455"/>
    <s v="TJ Spartak Hluk, z. s."/>
    <s v="706"/>
    <x v="1"/>
    <x v="2"/>
    <s v="Hluk"/>
    <s v="Hluk, Boršická 1313, PSČ 68725"/>
    <s v="93110"/>
    <s v="Provozování sportovních zařízení"/>
    <s v="Ubytování v hotelích a podobných ubytovacích zařízeních"/>
    <s v="Stravování v restauracích, u stánků a v mobilních zařízeních"/>
    <m/>
    <m/>
    <m/>
    <m/>
    <m/>
    <m/>
    <m/>
    <m/>
    <m/>
    <m/>
    <m/>
    <m/>
    <m/>
    <m/>
    <m/>
  </r>
  <r>
    <s v="48773280"/>
    <s v="TJ Spartak Jablůnka, z.s."/>
    <s v="706"/>
    <x v="1"/>
    <x v="1"/>
    <s v="Jablůnka"/>
    <s v="Jablůnka 187, PSČ 75623"/>
    <s v="931"/>
    <s v="Sportovní činnosti"/>
    <m/>
    <m/>
    <m/>
    <m/>
    <m/>
    <m/>
    <m/>
    <m/>
    <m/>
    <m/>
    <m/>
    <m/>
    <m/>
    <m/>
    <m/>
    <m/>
    <m/>
  </r>
  <r>
    <s v="16361474"/>
    <s v="TJ Spartak Uherský Brod, z.s."/>
    <s v="706"/>
    <x v="1"/>
    <x v="2"/>
    <s v="Uherský Brod"/>
    <s v="Uherský Brod, U Stadionu 2295, PSČ 68801"/>
    <s v="93110"/>
    <s v="Provozování sportovních zařízení"/>
    <s v="Výroba, obchod a služby neuvedené v přílohách 1 až 3 živnostenského zákona"/>
    <s v="Zprostředkování velkoobchodu a velkoobchod v zastoupení"/>
    <s v="Rekreační a ostatní krátkodobé ubytování"/>
    <m/>
    <m/>
    <m/>
    <m/>
    <m/>
    <m/>
    <m/>
    <m/>
    <m/>
    <m/>
    <m/>
    <m/>
    <m/>
    <m/>
  </r>
  <r>
    <s v="46307486"/>
    <s v="TJ Spartak Valašské Klobouky, z.s."/>
    <s v="706"/>
    <x v="1"/>
    <x v="0"/>
    <s v="Valašské Klobouky"/>
    <s v="Valašské Klobouky, Nádražní 28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956549"/>
    <s v="TJ Start Uherský Ostroh"/>
    <s v="706"/>
    <x v="1"/>
    <x v="2"/>
    <s v="Uherský Ostroh"/>
    <s v="Uherský Ostroh, Kvačice, Mlýnská 44, PSČ 68724"/>
    <s v="93110"/>
    <s v="Provozování sportovních zařízení"/>
    <s v="Smíšené hospodářství"/>
    <s v="Sladkovodní akvakultura"/>
    <m/>
    <m/>
    <m/>
    <m/>
    <m/>
    <m/>
    <m/>
    <m/>
    <m/>
    <m/>
    <m/>
    <m/>
    <m/>
    <m/>
    <m/>
  </r>
  <r>
    <s v="46311343"/>
    <s v="TJ Stavosvit Zlín Březůvky"/>
    <s v="706"/>
    <x v="1"/>
    <x v="0"/>
    <s v="Březůvky"/>
    <s v="Březůvky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04369"/>
    <s v="TJ Sušice z.s."/>
    <s v="706"/>
    <x v="1"/>
    <x v="2"/>
    <s v="Sušice"/>
    <s v="Sušice 176, PSČ 68704"/>
    <s v="93110"/>
    <s v="Provozování sportovních zařízení"/>
    <m/>
    <m/>
    <m/>
    <m/>
    <m/>
    <m/>
    <m/>
    <m/>
    <m/>
    <m/>
    <m/>
    <m/>
    <m/>
    <m/>
    <m/>
    <m/>
    <m/>
  </r>
  <r>
    <s v="13690353"/>
    <s v="TJ Štítná nad Vláří, z.s."/>
    <s v="706"/>
    <x v="1"/>
    <x v="0"/>
    <s v="Štítná nad Vláří-Popov"/>
    <s v="Štítná nad Vláří-Popov, Štítná nad Vláří 256, PSČ 76333"/>
    <s v="931"/>
    <s v="Sportovní činnosti"/>
    <s v="Výroba, obchod a služby neuvedené v přílohách 1 až 3 živnostenského zákona"/>
    <s v="Stravování v restauracích, u stánků a v mobilních zařízeních"/>
    <s v="Destilace, rektifikace a míchání lihovin"/>
    <m/>
    <m/>
    <m/>
    <m/>
    <m/>
    <m/>
    <m/>
    <m/>
    <m/>
    <m/>
    <m/>
    <m/>
    <m/>
    <m/>
  </r>
  <r>
    <s v="60370165"/>
    <s v="TJ Šumice z.s."/>
    <s v="706"/>
    <x v="1"/>
    <x v="2"/>
    <s v="Šumice"/>
    <s v="Šumice 400, PSČ 68731"/>
    <s v="93110"/>
    <s v="Provozování sportovních zařízení"/>
    <m/>
    <m/>
    <m/>
    <m/>
    <m/>
    <m/>
    <m/>
    <m/>
    <m/>
    <m/>
    <m/>
    <m/>
    <m/>
    <m/>
    <m/>
    <m/>
    <m/>
  </r>
  <r>
    <s v="44119216"/>
    <s v="TJ Tatran Biskupice, spolek"/>
    <s v="706"/>
    <x v="1"/>
    <x v="0"/>
    <s v="Biskupice"/>
    <s v="Biskupice 120, PSČ 763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898673"/>
    <s v="TJ Tatran Halenkov, z.s."/>
    <s v="706"/>
    <x v="1"/>
    <x v="1"/>
    <s v="Halenkov"/>
    <s v="Halenkov 686, PSČ 75603"/>
    <s v="931"/>
    <s v="Sportovní činnosti"/>
    <m/>
    <m/>
    <m/>
    <m/>
    <m/>
    <m/>
    <m/>
    <m/>
    <m/>
    <m/>
    <m/>
    <m/>
    <m/>
    <m/>
    <m/>
    <m/>
    <m/>
  </r>
  <r>
    <s v="46956972"/>
    <s v="TJ TATRAN HAVŘICE, z.s."/>
    <s v="706"/>
    <x v="1"/>
    <x v="2"/>
    <s v="Uherský Brod"/>
    <s v="Uherský Brod, Havřice, U Zastávky 362, PSČ 68801"/>
    <s v="93110"/>
    <s v="Provozování sportovních zařízení"/>
    <m/>
    <m/>
    <m/>
    <m/>
    <m/>
    <m/>
    <m/>
    <m/>
    <m/>
    <m/>
    <m/>
    <m/>
    <m/>
    <m/>
    <m/>
    <m/>
    <m/>
  </r>
  <r>
    <s v="65891520"/>
    <s v="TJ Tatran Janová, spolek"/>
    <s v="706"/>
    <x v="1"/>
    <x v="1"/>
    <s v="Janová"/>
    <s v="Janová 200, PSČ 75501"/>
    <s v="93110"/>
    <s v="Provozování sportovních zařízení"/>
    <m/>
    <m/>
    <m/>
    <m/>
    <m/>
    <m/>
    <m/>
    <m/>
    <m/>
    <m/>
    <m/>
    <m/>
    <m/>
    <m/>
    <m/>
    <m/>
    <m/>
  </r>
  <r>
    <s v="60370106"/>
    <s v="TJ Traplice z.s."/>
    <s v="706"/>
    <x v="1"/>
    <x v="2"/>
    <s v="Traplice"/>
    <s v="Traplice 374, PSČ 68704"/>
    <s v="93110"/>
    <s v="Provozování sportovních zařízení"/>
    <m/>
    <m/>
    <m/>
    <m/>
    <m/>
    <m/>
    <m/>
    <m/>
    <m/>
    <m/>
    <m/>
    <m/>
    <m/>
    <m/>
    <m/>
    <m/>
    <m/>
  </r>
  <r>
    <s v="47934115"/>
    <s v="TJ Troubky-Zdislavice z.s."/>
    <s v="706"/>
    <x v="1"/>
    <x v="3"/>
    <s v="Troubky-Zdislavice"/>
    <s v="Troubky-Zdislavice, Troubky 10, PSČ 76802"/>
    <s v="93110"/>
    <s v="Provozování sportovních zařízení"/>
    <s v="Destilace, rektifikace a míchání lihovin"/>
    <s v="Stravování v restauracích, u stánků a v mobilních zařízeních"/>
    <s v="Podpůrné činnosti pro scénická umění"/>
    <s v="Ostatní sportovní činnosti"/>
    <m/>
    <m/>
    <m/>
    <m/>
    <m/>
    <m/>
    <m/>
    <m/>
    <m/>
    <m/>
    <m/>
    <m/>
    <m/>
  </r>
  <r>
    <s v="60370271"/>
    <s v="TJ TUPESY, z.s."/>
    <s v="706"/>
    <x v="1"/>
    <x v="2"/>
    <s v="Tupesy"/>
    <s v="Tupesy 388, PSČ 68707"/>
    <s v="93110"/>
    <s v="Provozování sportovních zařízení"/>
    <m/>
    <m/>
    <m/>
    <m/>
    <m/>
    <m/>
    <m/>
    <m/>
    <m/>
    <m/>
    <m/>
    <m/>
    <m/>
    <m/>
    <m/>
    <m/>
    <m/>
  </r>
  <r>
    <s v="48506125"/>
    <s v="TJ Velehrad z.s."/>
    <s v="706"/>
    <x v="1"/>
    <x v="2"/>
    <s v="Velehrad"/>
    <s v="Velehrad č. ev. 47, PSČ 68706"/>
    <s v="93110"/>
    <s v="Provozování sportovních zařízení"/>
    <m/>
    <m/>
    <m/>
    <m/>
    <m/>
    <m/>
    <m/>
    <m/>
    <m/>
    <m/>
    <m/>
    <m/>
    <m/>
    <m/>
    <m/>
    <m/>
    <m/>
  </r>
  <r>
    <s v="46311742"/>
    <s v="TJ Vysoké Pole, z.s."/>
    <s v="706"/>
    <x v="1"/>
    <x v="0"/>
    <s v="Vysoké Pole"/>
    <s v="Vysoké Pole 118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0942546"/>
    <s v="TJ Zádveřice, z.s."/>
    <s v="706"/>
    <x v="1"/>
    <x v="0"/>
    <s v="Zádveřice-Raková"/>
    <s v="Zádveřice-Raková, Zádveřice 152, PSČ 76312"/>
    <s v="931"/>
    <s v="Sportovní činnosti"/>
    <m/>
    <m/>
    <m/>
    <m/>
    <m/>
    <m/>
    <m/>
    <m/>
    <m/>
    <m/>
    <m/>
    <m/>
    <m/>
    <m/>
    <m/>
    <m/>
    <m/>
  </r>
  <r>
    <s v="00536024"/>
    <s v="TJ Zbrojovka Vsetín, z.s."/>
    <s v="706"/>
    <x v="1"/>
    <x v="1"/>
    <s v="Vsetín"/>
    <s v="Vsetín, Tyršova 1456, PSČ 75501"/>
    <s v="93110"/>
    <s v="Provozování sportovních zařízení"/>
    <s v="Činnosti ostatních organizací sdružujících osoby za účelem prosazování společných zájmů j. n."/>
    <m/>
    <m/>
    <m/>
    <m/>
    <m/>
    <m/>
    <m/>
    <m/>
    <m/>
    <m/>
    <m/>
    <m/>
    <m/>
    <m/>
    <m/>
    <m/>
  </r>
  <r>
    <s v="26635259"/>
    <s v="TJG ZLÍN - občanské sdružení"/>
    <s v="706"/>
    <x v="1"/>
    <x v="0"/>
    <s v="Zlín"/>
    <s v="Zlín, Štefánikova 3176, PSČ 76001"/>
    <s v="93110"/>
    <s v="Provozování sportovních zařízení"/>
    <m/>
    <m/>
    <m/>
    <m/>
    <m/>
    <m/>
    <m/>
    <m/>
    <m/>
    <m/>
    <m/>
    <m/>
    <m/>
    <m/>
    <m/>
    <m/>
    <m/>
  </r>
  <r>
    <s v="47934972"/>
    <s v="TK Morkovice, z.s."/>
    <s v="706"/>
    <x v="1"/>
    <x v="3"/>
    <s v="Morkovice-Slížany"/>
    <s v="Morkovice-Slížany, Morkovice, Kolaříkova 651, PSČ 76833"/>
    <s v="93110"/>
    <s v="Provozování sportovních zařízení"/>
    <m/>
    <m/>
    <m/>
    <m/>
    <m/>
    <m/>
    <m/>
    <m/>
    <m/>
    <m/>
    <m/>
    <m/>
    <m/>
    <m/>
    <m/>
    <m/>
    <m/>
  </r>
  <r>
    <s v="27015840"/>
    <s v="TK Prusinovice, z.s."/>
    <s v="706"/>
    <x v="1"/>
    <x v="3"/>
    <s v="Prusinovice"/>
    <s v="Prusinovice, Zámčisko 350, PSČ 76842"/>
    <s v="93110"/>
    <s v="Provozování sportovních zařízení"/>
    <m/>
    <m/>
    <m/>
    <m/>
    <m/>
    <m/>
    <m/>
    <m/>
    <m/>
    <m/>
    <m/>
    <m/>
    <m/>
    <m/>
    <m/>
    <m/>
    <m/>
  </r>
  <r>
    <s v="18046380"/>
    <s v="TK SOKOL Vizovice, z.s."/>
    <s v="706"/>
    <x v="1"/>
    <x v="0"/>
    <s v="Vizovice"/>
    <s v="Vizovice, Těchlovská 807, PSČ 76312"/>
    <s v="93190"/>
    <s v="Ostatní sportovní činnosti"/>
    <m/>
    <m/>
    <m/>
    <m/>
    <m/>
    <m/>
    <m/>
    <m/>
    <m/>
    <m/>
    <m/>
    <m/>
    <m/>
    <m/>
    <m/>
    <m/>
    <m/>
  </r>
  <r>
    <s v="65325630"/>
    <s v="TKD SKYDIVE TEAM spolek"/>
    <s v="706"/>
    <x v="1"/>
    <x v="2"/>
    <s v="Uherské Hradiště"/>
    <s v="Uherské Hradiště, Sady, Trnková 432, PSČ 686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1844852"/>
    <s v="TLAPKA - kynologický spolek Kvasice"/>
    <s v="706"/>
    <x v="1"/>
    <x v="3"/>
    <s v="Kvasice"/>
    <s v="Kvasice, Čtvrtky 709, PSČ 768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791741"/>
    <s v="To mě rozlož, z.s."/>
    <s v="706"/>
    <x v="1"/>
    <x v="3"/>
    <s v="Kroměříž"/>
    <s v="Kroměříž, Spáčilova 3372/4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93017"/>
    <s v="T.O. Vršava, z.s."/>
    <s v="706"/>
    <x v="1"/>
    <x v="3"/>
    <s v="Zdounky"/>
    <s v="Zdounky, Zákostelí 276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996213"/>
    <s v="TOKAČEKA, z.s."/>
    <s v="706"/>
    <x v="1"/>
    <x v="0"/>
    <s v="Napajedla"/>
    <s v="Napajedla, Nádražní 706, PSČ 76361"/>
    <s v="94991"/>
    <s v="Činnosti organizací dětí a mládeže"/>
    <m/>
    <m/>
    <m/>
    <m/>
    <m/>
    <m/>
    <m/>
    <m/>
    <m/>
    <m/>
    <m/>
    <m/>
    <m/>
    <m/>
    <m/>
    <m/>
    <m/>
  </r>
  <r>
    <s v="09716181"/>
    <s v="Tokaheya vzdělávání, z. s."/>
    <s v="706"/>
    <x v="1"/>
    <x v="3"/>
    <s v="Holešov"/>
    <s v="Holešov, Sadová 152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684750"/>
    <s v="TOM HELP, z. s."/>
    <s v="706"/>
    <x v="1"/>
    <x v="1"/>
    <s v="Valašské Meziříčí"/>
    <s v="Valašské Meziříčí, 1. máje 103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5111"/>
    <s v="ToNeON o.s."/>
    <s v="706"/>
    <x v="1"/>
    <x v="0"/>
    <s v="Luhačovice"/>
    <s v="Luhačovice, Masarykova 101, SOŠ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05979811"/>
    <s v="TOP tým Zlín, z. s."/>
    <s v="706"/>
    <x v="1"/>
    <x v="0"/>
    <s v="Zlín"/>
    <s v="Zlín, J. A. Bati 564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4369"/>
    <s v="TOPMOTO z.s."/>
    <s v="706"/>
    <x v="1"/>
    <x v="2"/>
    <s v="Topolná"/>
    <s v="Topolná 391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47532"/>
    <s v="TOPOLANKA, z.s."/>
    <s v="706"/>
    <x v="1"/>
    <x v="2"/>
    <s v="Topolná"/>
    <s v="Topolná 204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4183"/>
    <s v="TOPOLSKÁ CHASA"/>
    <s v="706"/>
    <x v="1"/>
    <x v="2"/>
    <s v="Topolná"/>
    <s v="Topolná 92, PSČ 687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3856"/>
    <s v="Toulavé nožky - cestovatelský klub, o. s."/>
    <s v="706"/>
    <x v="1"/>
    <x v="1"/>
    <s v="Halenkov"/>
    <s v="Halenkov 310, PSČ 75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505667"/>
    <s v="Toušky, z. s."/>
    <s v="706"/>
    <x v="1"/>
    <x v="3"/>
    <s v="Holešov"/>
    <s v="Holešov, Novosady 1566, PSČ 76901"/>
    <s v="94991"/>
    <s v="Činnosti organizací dětí a mládeže"/>
    <m/>
    <m/>
    <m/>
    <m/>
    <m/>
    <m/>
    <m/>
    <m/>
    <m/>
    <m/>
    <m/>
    <m/>
    <m/>
    <m/>
    <m/>
    <m/>
    <m/>
  </r>
  <r>
    <s v="05020735"/>
    <s v="Tož tak! z. s."/>
    <s v="706"/>
    <x v="1"/>
    <x v="0"/>
    <s v="Otrokovice"/>
    <s v="Otrokovice, Kvítkovice, SNP 1173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41638"/>
    <s v="Tradice Bílých Karpat, z.s."/>
    <s v="706"/>
    <x v="1"/>
    <x v="2"/>
    <s v="Hostětín"/>
    <s v="Hostětín 4, PSČ 68771"/>
    <s v="9499"/>
    <s v="Činnosti ostatních organizací sdružujících osoby za účelem prosazování společných zájmů j. n."/>
    <s v="Maloobchod v nespecializovaných prodejnách"/>
    <s v="Destilace, rektifikace a míchání lihovin"/>
    <s v="Nespecializovaný velkoobchod"/>
    <m/>
    <m/>
    <m/>
    <m/>
    <m/>
    <m/>
    <m/>
    <m/>
    <m/>
    <m/>
    <m/>
    <m/>
    <m/>
    <m/>
  </r>
  <r>
    <s v="03674029"/>
    <s v="Tradiční výrobek Slovácka, z.s."/>
    <s v="706"/>
    <x v="1"/>
    <x v="2"/>
    <s v="Uherské Hradiště"/>
    <s v="Uherské Hradiště, Masarykovo náměstí 2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424191"/>
    <s v="Trail U Jericha, z.s."/>
    <s v="706"/>
    <x v="1"/>
    <x v="2"/>
    <s v="Vlčnov"/>
    <s v="Vlčnov 870, PSČ 687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52786"/>
    <s v="Trampská osada &quot;Dakota&quot;"/>
    <s v="706"/>
    <x v="1"/>
    <x v="1"/>
    <s v="Francova Lhota"/>
    <s v="Francova Lhota, Půlčín, chata DAKOTA ev.č. 0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934389"/>
    <s v="Trampská osada HAWAI, zapsaný spolek"/>
    <s v="706"/>
    <x v="1"/>
    <x v="1"/>
    <s v="Francova Lhota"/>
    <s v="Francova Lhota, Pulčín č. ev. 27, PSČ 756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804121"/>
    <s v="Tramtárie, spolek"/>
    <s v="706"/>
    <x v="1"/>
    <x v="1"/>
    <s v="Rožnov pod Radhoštěm"/>
    <s v="Rožnov pod Radhoštěm, Chodská 1025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10621"/>
    <s v="Transparentní podnikatelské prostředí, z.s."/>
    <s v="706"/>
    <x v="1"/>
    <x v="1"/>
    <s v="Pozděchov"/>
    <s v="Pozděchov 25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166861"/>
    <s v="Trchalíkova usedlost z.s."/>
    <s v="706"/>
    <x v="1"/>
    <x v="2"/>
    <s v="Šumice"/>
    <s v="Šumice 210, PSČ 687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11380"/>
    <s v="„Tree of eternity production”"/>
    <s v="706"/>
    <x v="1"/>
    <x v="0"/>
    <s v="Zlín"/>
    <s v="Zlín, Louky, V Olší 234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6910"/>
    <s v="TRI LIFE"/>
    <s v="706"/>
    <x v="1"/>
    <x v="0"/>
    <s v="Lukoveček"/>
    <s v="Lukoveček, Sýkoří 158, PSČ 76316"/>
    <s v="93190"/>
    <s v="Ostatní sportovní činnosti"/>
    <m/>
    <m/>
    <m/>
    <m/>
    <m/>
    <m/>
    <m/>
    <m/>
    <m/>
    <m/>
    <m/>
    <m/>
    <m/>
    <m/>
    <m/>
    <m/>
    <m/>
  </r>
  <r>
    <s v="09728139"/>
    <s v="TRIDENT Discgolf Holešov z.s."/>
    <s v="706"/>
    <x v="1"/>
    <x v="3"/>
    <s v="Holešov"/>
    <s v="Holešov, Masarykova 1372/1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56245"/>
    <s v="TRIGO MÍKOVICE"/>
    <s v="736"/>
    <x v="0"/>
    <x v="2"/>
    <s v="Uherské Hradiště"/>
    <s v="Uherské Hradiště, Míkovice, Lesní 21, PSČ 68609"/>
    <s v="9499"/>
    <s v="Činnosti ostatních organizací sdružujících osoby za účelem prosazování společných zájmů j. n."/>
    <s v="Stravování v restauracích, u stánků a v mobilních zařízeních"/>
    <s v="Ostatní zábavní a rekreační činnosti j. n."/>
    <m/>
    <m/>
    <m/>
    <m/>
    <m/>
    <m/>
    <m/>
    <m/>
    <m/>
    <m/>
    <m/>
    <m/>
    <m/>
    <m/>
    <m/>
  </r>
  <r>
    <s v="48489328"/>
    <s v="TRIGO, mládežnická organizace Horní Němčí"/>
    <s v="736"/>
    <x v="0"/>
    <x v="2"/>
    <s v="Horní Němčí"/>
    <s v="Horní Němčí,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720211"/>
    <s v="TriMount, z.s."/>
    <s v="706"/>
    <x v="1"/>
    <x v="0"/>
    <s v="Otrokovice"/>
    <s v="Otrokovice, Krátká 811, PSČ 76502"/>
    <s v="93190"/>
    <s v="Ostatní sportovní činnosti"/>
    <m/>
    <m/>
    <m/>
    <m/>
    <m/>
    <m/>
    <m/>
    <m/>
    <m/>
    <m/>
    <m/>
    <m/>
    <m/>
    <m/>
    <m/>
    <m/>
    <m/>
  </r>
  <r>
    <s v="03640019"/>
    <s v="TRINNNO, z.s."/>
    <s v="706"/>
    <x v="1"/>
    <x v="2"/>
    <s v="Staré Město"/>
    <s v="Staré Město, Mojmírova 732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5908"/>
    <s v="Triotus Production"/>
    <s v="706"/>
    <x v="1"/>
    <x v="0"/>
    <s v="Ludkovice"/>
    <s v="Ludkovice 168, PSČ 763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317950"/>
    <s v="Trispectra z.s."/>
    <s v="706"/>
    <x v="1"/>
    <x v="2"/>
    <s v="Bojkovice"/>
    <s v="Bojkovice, Bezručova čtvrť 726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2030"/>
    <s v="Trnavský kolík, občanské sdružení"/>
    <s v="706"/>
    <x v="1"/>
    <x v="0"/>
    <s v="Trnava"/>
    <s v="Trnava 333, PSČ 7631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6877"/>
    <s v="&quot;TRNÉČKA o.s.&quot;"/>
    <s v="706"/>
    <x v="1"/>
    <x v="2"/>
    <s v="Uherské Hradiště"/>
    <s v="Uherské Hradiště, Jarošov, Za Humny 42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88013"/>
    <s v="Trnkové kapky z.s."/>
    <s v="706"/>
    <x v="1"/>
    <x v="2"/>
    <s v="Boršice u Blatnice"/>
    <s v="Boršice u Blatnice 98, PSČ 687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24552"/>
    <s v="Trojkvítek, z. s."/>
    <s v="706"/>
    <x v="1"/>
    <x v="2"/>
    <s v="Hluk"/>
    <s v="Hluk, Mladá 838, PSČ 687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122820"/>
    <s v="Trpaslíci KM, z.s."/>
    <s v="706"/>
    <x v="1"/>
    <x v="3"/>
    <s v="Kroměříž"/>
    <s v="Kroměříž, Talichova 3733/16, PSČ 76701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22877983"/>
    <s v="&quot;Třetí věk u nás&quot;"/>
    <s v="706"/>
    <x v="1"/>
    <x v="3"/>
    <s v="Bystřice pod Hostýnem"/>
    <s v="Bystřice pod Hostýnem, U Hřiště 1649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109786"/>
    <s v="Tři Kavky z. s."/>
    <s v="706"/>
    <x v="1"/>
    <x v="1"/>
    <s v="Zubří"/>
    <s v="Zubří, Na Potoku 375, PSČ 756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8128"/>
    <s v="TS Kotár, z. s."/>
    <s v="706"/>
    <x v="1"/>
    <x v="1"/>
    <s v="Vsetín"/>
    <s v="Vsetín, U Hřiště 123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728778"/>
    <s v="TSAMPA"/>
    <s v="706"/>
    <x v="1"/>
    <x v="0"/>
    <s v="Sehradice"/>
    <s v="Sehradice 1, PSČ 763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05813"/>
    <s v="T.T.R."/>
    <s v="706"/>
    <x v="1"/>
    <x v="0"/>
    <s v="Zlín"/>
    <s v="Zlín, U Trojáku 4635, PSČ 76005"/>
    <s v="93110"/>
    <s v="Provozování sportovních zařízení"/>
    <m/>
    <m/>
    <m/>
    <m/>
    <m/>
    <m/>
    <m/>
    <m/>
    <m/>
    <m/>
    <m/>
    <m/>
    <m/>
    <m/>
    <m/>
    <m/>
    <m/>
  </r>
  <r>
    <s v="08823197"/>
    <s v="Tučapské Koukolky, z. s."/>
    <s v="706"/>
    <x v="1"/>
    <x v="2"/>
    <s v="Tučapy"/>
    <s v="Tučapy 11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460536"/>
    <s v="Tučapští zlobři"/>
    <s v="706"/>
    <x v="1"/>
    <x v="2"/>
    <s v="Tučapy"/>
    <s v="Tučapy 30, PSČ 6870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743989"/>
    <s v="TUFO CykloZákladna Otrokovice z.s."/>
    <s v="706"/>
    <x v="1"/>
    <x v="0"/>
    <s v="Otrokovice"/>
    <s v="Otrokovice, U Letiště 1857, PSČ 76502"/>
    <s v="93190"/>
    <s v="Ostatní sportovní činnosti"/>
    <m/>
    <m/>
    <m/>
    <m/>
    <m/>
    <m/>
    <m/>
    <m/>
    <m/>
    <m/>
    <m/>
    <m/>
    <m/>
    <m/>
    <m/>
    <m/>
    <m/>
  </r>
  <r>
    <s v="26581884"/>
    <s v="Tuning club IGNORE"/>
    <s v="706"/>
    <x v="1"/>
    <x v="0"/>
    <s v="Valašské Klobouky"/>
    <s v="Valašské Klobouky, Masarykovo náměstí 107, PSČ 76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202469"/>
    <s v="Tupesští BROUČCI, z.s."/>
    <s v="706"/>
    <x v="1"/>
    <x v="2"/>
    <s v="Tupesy"/>
    <s v="Tupesy 10, PSČ 687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07388"/>
    <s v="Turf Data, z.s."/>
    <s v="706"/>
    <x v="1"/>
    <x v="0"/>
    <s v="Otrokovice"/>
    <s v="Otrokovice, Kvítkovice, Hlavní 1252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7651953"/>
    <s v="Turisté hraběnky Kateřiny, z. s."/>
    <s v="706"/>
    <x v="1"/>
    <x v="1"/>
    <s v="Kateřinice"/>
    <s v="Kateřinice 242, PSČ 756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60771"/>
    <s v="Turistické Informační Centrum"/>
    <s v="706"/>
    <x v="1"/>
    <x v="2"/>
    <s v="Hluk"/>
    <s v="Hluk, Hradišťská 314, PSČ 687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49675"/>
    <s v="TURISTICKÝ ODDÍL CBA o.s."/>
    <s v="736"/>
    <x v="0"/>
    <x v="2"/>
    <s v="Bojkovice"/>
    <s v="Bojkovice, Krhov 147, PSČ 687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03148"/>
    <s v="Turistický oddíl Hluboček, z.s."/>
    <s v="706"/>
    <x v="1"/>
    <x v="2"/>
    <s v="Podolí"/>
    <s v="Podolí 262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231158"/>
    <s v="Tutun Snowboard Club"/>
    <s v="706"/>
    <x v="1"/>
    <x v="0"/>
    <s v="Zlín"/>
    <s v="Zlín, Okružní 4551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095642"/>
    <s v="Tváře měst, z.s."/>
    <s v="706"/>
    <x v="1"/>
    <x v="0"/>
    <s v="Zlín"/>
    <s v="Zlín, 2. května 713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273777"/>
    <s v="Tyátr ModroDiv, z.s."/>
    <s v="706"/>
    <x v="1"/>
    <x v="0"/>
    <s v="Zlín"/>
    <s v="Zlín, Příkrá 3569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293979"/>
    <s v="U nás doma, o.p.s."/>
    <s v="141"/>
    <x v="2"/>
    <x v="2"/>
    <s v="Kunovice"/>
    <s v="Kunovice, Obecní 1596, PSČ 68604"/>
    <s v="87900"/>
    <s v="Ostatní pobytové služby sociální péče"/>
    <s v="Velkoobchod a maloobchod; opravy a údržba motorových vozidel"/>
    <s v="Výroba, obchod a služby neuvedené v přílohách 1 až 3 živnostenského zákona"/>
    <s v="Výroba oděvů"/>
    <s v="Zpracování dřeva, výroba dřevěných, korkových, proutěných a slaměných výrobků, kromě nábytku"/>
    <s v="Ostatní zpracovatelský průmysl"/>
    <s v="Skladování a vedlejší činnosti v dopravě"/>
    <s v="Zprostředkování velkoobchodu a velkoobchod v zastoupení"/>
    <s v="Ostatní vzdělávání"/>
    <s v="Ostatní zpracovatelský průmysl j. n."/>
    <s v="Činnosti zpravodajských tiskových kanceláří a agentur"/>
    <s v="Činnosti reklamních agentur"/>
    <s v="Specializované návrhářské činnosti"/>
    <s v="Ostatní úklidové činnosti"/>
    <s v="90020"/>
    <s v="Podpůrné činnosti pro scénická umění"/>
    <s v="95220"/>
    <s v="Opravy přístrojů a zařízení převážně pro domácnost, dům a zahradu"/>
  </r>
  <r>
    <s v="62330110"/>
    <s v="ÚAMK - AMK Neslyšících Valašské Meziříčí"/>
    <s v="736"/>
    <x v="0"/>
    <x v="1"/>
    <s v="Bystřička"/>
    <s v="Bystřička 314, PSČ 756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73189"/>
    <s v="ÚAMK - AMK NESLYŠÍCÍCH ZLÍN"/>
    <s v="736"/>
    <x v="0"/>
    <x v="0"/>
    <s v="Otrokovice"/>
    <s v="Otrokovice, Kvítkovice, Hlavní 1254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03198"/>
    <s v="ÚAMK - AutoMotoKlub Rallye Sport - Vsetín"/>
    <s v="736"/>
    <x v="0"/>
    <x v="1"/>
    <s v="Ratiboř"/>
    <s v="Ratiboř 592, PSČ 756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49958"/>
    <s v="ÚAMK - SKCT MÍKOVICE"/>
    <s v="736"/>
    <x v="0"/>
    <x v="2"/>
    <s v="Kunovice"/>
    <s v="Kunovice, Na Drahách 881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693462"/>
    <s v="ÚAMK - VR Vsetín"/>
    <s v="736"/>
    <x v="0"/>
    <x v="1"/>
    <s v="Vsetín"/>
    <s v="Vsetín, Jiráskova 2057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7066611"/>
    <s v="ÚAMK Tuning Motor Sprint"/>
    <s v="736"/>
    <x v="0"/>
    <x v="3"/>
    <s v="Kroměříž"/>
    <s v="Kroměříž, Bílany 7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16033"/>
    <s v="”UFNOSŤA - NADĚJE”"/>
    <s v="706"/>
    <x v="1"/>
    <x v="1"/>
    <s v="Vsetín"/>
    <s v="Vsetín, Jiráskova 40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93144"/>
    <s v="UH Senior Band"/>
    <s v="706"/>
    <x v="1"/>
    <x v="2"/>
    <s v="Uherské Hradiště"/>
    <s v="Uherské Hradiště, Hradební 1198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2704"/>
    <s v="UH-ALLIN o.s."/>
    <s v="706"/>
    <x v="1"/>
    <x v="2"/>
    <s v="Uherské Hradiště"/>
    <s v="Uherské Hradiště, Palackého náměstí 293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653801"/>
    <s v="Uherskobrodský astronomický spolek"/>
    <s v="706"/>
    <x v="1"/>
    <x v="2"/>
    <s v="Uherský Brod"/>
    <s v="Uherský Brod, Prakšická 2222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5832"/>
    <s v="Uherskobrodští patrioti"/>
    <s v="706"/>
    <x v="1"/>
    <x v="2"/>
    <s v="Uherský Brod"/>
    <s v="Uherský Brod, Hodinářská 299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22281"/>
    <s v="Uhrovo dechové kvarteto"/>
    <s v="706"/>
    <x v="1"/>
    <x v="2"/>
    <s v="Nivnice"/>
    <s v="Nivnice, Příčná 754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298087"/>
    <s v="UIC FUND z.s."/>
    <s v="706"/>
    <x v="1"/>
    <x v="3"/>
    <s v="Hulín"/>
    <s v="Hulín, Záhlinická 506, PSČ 7682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1172816"/>
    <s v="UK Zlín, z.s."/>
    <s v="706"/>
    <x v="1"/>
    <x v="0"/>
    <s v="Otrokovice"/>
    <s v="Otrokovice, Krátká 9322, PSČ 76502"/>
    <s v="93110"/>
    <s v="Provozování sportovních zařízení"/>
    <m/>
    <m/>
    <m/>
    <m/>
    <m/>
    <m/>
    <m/>
    <m/>
    <m/>
    <m/>
    <m/>
    <m/>
    <m/>
    <m/>
    <m/>
    <m/>
    <m/>
  </r>
  <r>
    <s v="14090414"/>
    <s v="UKAZOVÁTKO - spolek přátel školy"/>
    <s v="706"/>
    <x v="1"/>
    <x v="0"/>
    <s v="Zlín"/>
    <s v="Zlín, Zarámí 442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351294"/>
    <s v="Ukrajina ponad use z.s."/>
    <s v="706"/>
    <x v="1"/>
    <x v="3"/>
    <s v="Hulín"/>
    <s v="Hulín, Záhlinická 506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5531295"/>
    <s v="UL klub Gryf Uherské Hradiště, z.s."/>
    <s v="706"/>
    <x v="1"/>
    <x v="2"/>
    <s v="Uherské Hradiště"/>
    <s v="Uherské Hradiště, Stará Tenice 1202, PSČ 68601"/>
    <s v="9499"/>
    <s v="Činnosti ostatních organizací sdružujících osoby za účelem prosazování společných zájmů j. n."/>
    <s v="Ostatní sportovní činnosti"/>
    <m/>
    <m/>
    <m/>
    <m/>
    <m/>
    <m/>
    <m/>
    <m/>
    <m/>
    <m/>
    <m/>
    <m/>
    <m/>
    <m/>
    <m/>
    <m/>
  </r>
  <r>
    <s v="18190120"/>
    <s v="Umělecká iniciativa Kroměříž z.s."/>
    <s v="706"/>
    <x v="1"/>
    <x v="3"/>
    <s v="Kroměříž"/>
    <s v="Kroměříž, Kojetínská 1425/59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27108"/>
    <s v="Umělecké sdružení Ad lib Moravia"/>
    <s v="706"/>
    <x v="1"/>
    <x v="0"/>
    <s v="Zlín"/>
    <s v="Zlín, Malenovice, Havlíčkova 418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859551"/>
    <s v="Umění, rodiče a podpora ZUŠ Zdounky, z. s."/>
    <s v="706"/>
    <x v="1"/>
    <x v="3"/>
    <s v="Zdounky"/>
    <s v="Zdounky 23, PSČ 76802"/>
    <s v="94991"/>
    <s v="Činnosti organizací dětí a mládeže"/>
    <m/>
    <m/>
    <m/>
    <m/>
    <m/>
    <m/>
    <m/>
    <m/>
    <m/>
    <m/>
    <m/>
    <m/>
    <m/>
    <m/>
    <m/>
    <m/>
    <m/>
  </r>
  <r>
    <s v="75046351"/>
    <s v="UnArt Provodov, p.s."/>
    <s v="736"/>
    <x v="0"/>
    <x v="0"/>
    <s v="Provodov"/>
    <s v="Provodov 233, PSČ 7634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51626"/>
    <s v="UnArt Slavičín, p.s."/>
    <s v="736"/>
    <x v="0"/>
    <x v="0"/>
    <s v="Slavičín"/>
    <s v="Slavičín, Školní 29, PSČ 76321"/>
    <s v="9499"/>
    <s v="Činnosti ostatních organizací sdružujících osoby za účelem prosazování společných zájmů j. n."/>
    <s v="Činnosti v oblasti informačních technologií"/>
    <s v="Stravování v restauracích, u stánků a v mobilních zařízeních"/>
    <s v="Destilace, rektifikace a míchání lihovin"/>
    <m/>
    <m/>
    <m/>
    <m/>
    <m/>
    <m/>
    <m/>
    <m/>
    <m/>
    <m/>
    <m/>
    <m/>
    <m/>
    <m/>
  </r>
  <r>
    <s v="75092506"/>
    <s v="UnArt Spytihněv, p.s."/>
    <s v="736"/>
    <x v="0"/>
    <x v="0"/>
    <s v="Spytihněv"/>
    <s v="Spytihněv 29, PSČ 76364"/>
    <s v="9499"/>
    <s v="Činnosti ostatních organizací sdružujících osoby za účelem prosazování společných zájmů j. n."/>
    <s v="Ostatní zábavní a rekreační činnosti j. n."/>
    <m/>
    <m/>
    <m/>
    <m/>
    <m/>
    <m/>
    <m/>
    <m/>
    <m/>
    <m/>
    <m/>
    <m/>
    <m/>
    <m/>
    <m/>
    <m/>
  </r>
  <r>
    <s v="26609479"/>
    <s v="UnArt, z.s."/>
    <s v="706"/>
    <x v="1"/>
    <x v="0"/>
    <s v="Slavičín"/>
    <s v="Slavičín, Školní 29, PSČ 76321"/>
    <s v="9499"/>
    <s v="Činnosti ostatních organizací sdružujících osoby za účelem prosazování společných zájmů j. n."/>
    <s v="Výroba, obchod a služby neuvedené v přílohách 1 až 3 živnostenského zákona"/>
    <s v="Činnosti v oblasti informačních technologií"/>
    <s v="Opravy výrobků pro osobní potřebu a převážně pro domácnost"/>
    <m/>
    <m/>
    <m/>
    <m/>
    <m/>
    <m/>
    <m/>
    <m/>
    <m/>
    <m/>
    <m/>
    <m/>
    <m/>
    <m/>
  </r>
  <r>
    <s v="22680489"/>
    <s v="UNGUŽBUNGUDUNGU z.s."/>
    <s v="706"/>
    <x v="1"/>
    <x v="0"/>
    <s v="Zlín"/>
    <s v="Zlín, Mladcová, Návesní 58, PSČ 76001"/>
    <s v="94991"/>
    <s v="Činnosti organizací dětí a mládeže"/>
    <m/>
    <m/>
    <m/>
    <m/>
    <m/>
    <m/>
    <m/>
    <m/>
    <m/>
    <m/>
    <m/>
    <m/>
    <m/>
    <m/>
    <m/>
    <m/>
    <m/>
  </r>
  <r>
    <s v="07695977"/>
    <s v="Unie architektů Zlínského kraje, z.s."/>
    <s v="706"/>
    <x v="1"/>
    <x v="0"/>
    <s v="Zlín"/>
    <s v="Zlín, nám. T. G. Masaryka 128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563439"/>
    <s v="Unie Comenius"/>
    <s v="706"/>
    <x v="1"/>
    <x v="2"/>
    <s v="Uherský Brod"/>
    <s v="Uherský Brod, Přemysla Otakara II. 37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28144"/>
    <s v="Unie Kompas, z.s."/>
    <s v="706"/>
    <x v="1"/>
    <x v="0"/>
    <s v="Zlín"/>
    <s v="Zlín, Pod Stráněmi 2505, PSČ 76001"/>
    <s v="889"/>
    <s v="Ostatní ambulantní nebo terénní sociální služby"/>
    <m/>
    <m/>
    <m/>
    <m/>
    <m/>
    <m/>
    <m/>
    <m/>
    <m/>
    <m/>
    <m/>
    <m/>
    <m/>
    <m/>
    <m/>
    <m/>
    <m/>
  </r>
  <r>
    <s v="02442388"/>
    <s v="Unie pracovníků mimo vyučování"/>
    <s v="706"/>
    <x v="1"/>
    <x v="1"/>
    <s v="Valašské Meziříčí"/>
    <s v="Valašské Meziříčí 454, PSČ 757 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25989"/>
    <s v="&quot;Unie pro vznik městských částí statutárního města Zlín&quot;"/>
    <s v="706"/>
    <x v="1"/>
    <x v="0"/>
    <s v="Zlín"/>
    <s v="Zlín, Podlesí 54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19342"/>
    <s v="Unie rodičů při ZŠ Velké Karlovice,z.s."/>
    <s v="706"/>
    <x v="1"/>
    <x v="1"/>
    <s v="Velké Karlovice"/>
    <s v="Velké Karlovice 19, PSČ 756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056482"/>
    <s v="Unie rodičů Střední školy-COPt Uherský Brod z.s."/>
    <s v="706"/>
    <x v="1"/>
    <x v="2"/>
    <s v="Uherský Brod"/>
    <s v="Uherský Brod, Vlčnovská 688, PSČ 68801"/>
    <s v="94999"/>
    <s v="Činnosti ostatních organizací j. n."/>
    <m/>
    <m/>
    <m/>
    <m/>
    <m/>
    <m/>
    <m/>
    <m/>
    <m/>
    <m/>
    <m/>
    <m/>
    <m/>
    <m/>
    <m/>
    <m/>
    <m/>
  </r>
  <r>
    <s v="18190111"/>
    <s v="Unie ROSKA - reg. org. ROSKA KROMĚŘÍŽ, z.p.s."/>
    <s v="736"/>
    <x v="0"/>
    <x v="3"/>
    <s v="Kroměříž"/>
    <s v="Kroměříž, Lutopecká 1410/3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75060230"/>
    <s v="Unie ROSKA - reg. org. ROSKA VSETÍN, z.p.s."/>
    <s v="736"/>
    <x v="0"/>
    <x v="1"/>
    <s v="Vsetín"/>
    <s v="Vsetín, Smetanova 1484, PSČ 755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6959598"/>
    <s v="Unie studentů v Uherském Hradišti, z.s."/>
    <s v="706"/>
    <x v="1"/>
    <x v="2"/>
    <s v="Uherské Hradiště"/>
    <s v="Uherské Hradiště, Mařatice, Studentské náměstí 1535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002883"/>
    <s v="Úniky za přírodou, z. s."/>
    <s v="706"/>
    <x v="1"/>
    <x v="2"/>
    <s v="Uherské Hradiště"/>
    <s v="Uherské Hradiště, Vésky, Na Dědině 194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33474"/>
    <s v="Union Jiu-Jitsu Organisations - Konfederace bojových umění, spolek"/>
    <s v="706"/>
    <x v="1"/>
    <x v="0"/>
    <s v="Zlín"/>
    <s v="Zlín, Lomená 2278, PSČ 76001"/>
    <s v="93120"/>
    <s v="Činnosti sportovních klubů"/>
    <m/>
    <m/>
    <m/>
    <m/>
    <m/>
    <m/>
    <m/>
    <m/>
    <m/>
    <m/>
    <m/>
    <m/>
    <m/>
    <m/>
    <m/>
    <m/>
    <m/>
  </r>
  <r>
    <s v="02254433"/>
    <s v="Union Restart, z.s."/>
    <s v="706"/>
    <x v="1"/>
    <x v="0"/>
    <s v="Machová"/>
    <s v="Machová 188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642259"/>
    <s v="UNITED 3P, z. s."/>
    <s v="706"/>
    <x v="1"/>
    <x v="1"/>
    <s v="Vsetín"/>
    <s v="Vsetín, Podsedky 950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467643"/>
    <s v="UniverSport z.s."/>
    <s v="706"/>
    <x v="1"/>
    <x v="0"/>
    <s v="Zlín"/>
    <s v="Zlín, Příluky, Náhorní 44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676401"/>
    <s v="Univerzita vědomého života, z.s."/>
    <s v="706"/>
    <x v="1"/>
    <x v="3"/>
    <s v="Rajnochovice"/>
    <s v="Rajnochovice 109, PSČ 768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3485"/>
    <s v="UNUECO"/>
    <s v="706"/>
    <x v="1"/>
    <x v="0"/>
    <s v="Zlín"/>
    <s v="Zlín, Malenovice, Chelčického 831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240264"/>
    <s v="Úsměvy Robinkova světa, z.s."/>
    <s v="706"/>
    <x v="1"/>
    <x v="0"/>
    <s v="Slopné"/>
    <s v="Slopné 212, PSČ 76323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7352263"/>
    <s v="Ústav Bytový dům Tichá z. ú."/>
    <s v="161"/>
    <x v="3"/>
    <x v="1"/>
    <s v="Vsetín"/>
    <s v="Vsetín, Tichá 1830, PSČ 75501"/>
    <s v="55909"/>
    <s v="Ostatní ubytování j. n."/>
    <m/>
    <m/>
    <m/>
    <m/>
    <m/>
    <m/>
    <m/>
    <m/>
    <m/>
    <m/>
    <m/>
    <m/>
    <m/>
    <m/>
    <m/>
    <m/>
    <m/>
  </r>
  <r>
    <s v="04472691"/>
    <s v="Ústav podpory bydlení z. ú."/>
    <s v="161"/>
    <x v="3"/>
    <x v="1"/>
    <s v="Pozděchov"/>
    <s v="Pozděchov 25, PSČ 7561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7045005"/>
    <s v="Ústí.Net z.s."/>
    <s v="706"/>
    <x v="1"/>
    <x v="1"/>
    <s v="Ústí"/>
    <s v="Ústí 2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633045"/>
    <s v="Útulek Zlín, z.s."/>
    <s v="706"/>
    <x v="1"/>
    <x v="3"/>
    <s v="Holešov"/>
    <s v="Holešov, Novosady 1329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980119"/>
    <s v="ÚtulekJinak, z.s."/>
    <s v="706"/>
    <x v="1"/>
    <x v="0"/>
    <s v="Napajedla"/>
    <s v="Napajedla, Radovany 116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648336"/>
    <s v="Územní organizace Svazu diabetiků"/>
    <s v="736"/>
    <x v="0"/>
    <x v="2"/>
    <s v="Uherský Ostroh"/>
    <s v="Uherský Ostroh, Mašovy 347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0433811"/>
    <s v="Územní sdružení Českého zahrádkářského svazu Kroměříž"/>
    <s v="736"/>
    <x v="0"/>
    <x v="3"/>
    <s v="Kroměříž"/>
    <s v="Kroměříž, Riegrovo nám. 191/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33845"/>
    <s v="Územní sdružení Českého zahrádkářského svazu Uherské Hradiště"/>
    <s v="736"/>
    <x v="0"/>
    <x v="2"/>
    <s v="Uherské Hradiště"/>
    <s v="Uherské Hradiště, Palackého náměstí 293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33985"/>
    <s v="Územní sdružení Českého zahrádkářského svazu Vsetín"/>
    <s v="736"/>
    <x v="0"/>
    <x v="1"/>
    <s v="Valašské Meziříčí"/>
    <s v="Valašské Meziříčí, Krásno nad Bečvou, Zašovská 847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0433781"/>
    <s v="Územní sdružení Českého zahrádkářského svazu Zlín"/>
    <s v="736"/>
    <x v="0"/>
    <x v="0"/>
    <s v="Zlín"/>
    <s v="Zlín, Malenovice, třída 3. května 325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38421"/>
    <s v="Územní sportovní centrum EUDURO Valašské Meziříčí"/>
    <s v="736"/>
    <x v="0"/>
    <x v="1"/>
    <s v="Valašské Meziříčí"/>
    <s v="Valašské Meziříčí, Husova 360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54300"/>
    <s v="&quot;V Lukovečku na kopečku, z.s.&quot;"/>
    <s v="706"/>
    <x v="1"/>
    <x v="0"/>
    <s v="Lukoveček"/>
    <s v="Lukoveček, Ráztocká 69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72903"/>
    <s v="V pohybu agentura jen pro děti z.s."/>
    <s v="706"/>
    <x v="1"/>
    <x v="0"/>
    <s v="Zlín"/>
    <s v="Zlín, Zálešná VI 6644, PSČ 76001"/>
    <s v="93190"/>
    <s v="Ostatní sportovní činnosti"/>
    <m/>
    <m/>
    <m/>
    <m/>
    <m/>
    <m/>
    <m/>
    <m/>
    <m/>
    <m/>
    <m/>
    <m/>
    <m/>
    <m/>
    <m/>
    <m/>
    <m/>
  </r>
  <r>
    <s v="08773262"/>
    <s v="V rytmu života, z.s."/>
    <s v="706"/>
    <x v="1"/>
    <x v="2"/>
    <s v="Zlechov"/>
    <s v="Zlechov 216, PSČ 6871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9211680"/>
    <s v="Vajanova z.s."/>
    <s v="706"/>
    <x v="1"/>
    <x v="1"/>
    <s v="Halenkov"/>
    <s v="Halenkov 520, PSČ 75603"/>
    <s v="90030"/>
    <s v="Umělecká tvorba"/>
    <m/>
    <m/>
    <m/>
    <m/>
    <m/>
    <m/>
    <m/>
    <m/>
    <m/>
    <m/>
    <m/>
    <m/>
    <m/>
    <m/>
    <m/>
    <m/>
    <m/>
  </r>
  <r>
    <s v="22879528"/>
    <s v="VALACHBAJK TEAM KAŠAVA z.s."/>
    <s v="706"/>
    <x v="1"/>
    <x v="0"/>
    <s v="Kašava"/>
    <s v="Kašava 219, PSČ 76319"/>
    <s v="93190"/>
    <s v="Ostatní sportovní činnosti"/>
    <m/>
    <m/>
    <m/>
    <m/>
    <m/>
    <m/>
    <m/>
    <m/>
    <m/>
    <m/>
    <m/>
    <m/>
    <m/>
    <m/>
    <m/>
    <m/>
    <m/>
  </r>
  <r>
    <s v="22757422"/>
    <s v="Valachiarun z.s."/>
    <s v="706"/>
    <x v="1"/>
    <x v="1"/>
    <s v="Vsetín"/>
    <s v="Vsetín, Josefa Sousedíka 1160, PSČ 75501"/>
    <s v="93190"/>
    <s v="Ostatní sportovní činnosti"/>
    <m/>
    <m/>
    <m/>
    <m/>
    <m/>
    <m/>
    <m/>
    <m/>
    <m/>
    <m/>
    <m/>
    <m/>
    <m/>
    <m/>
    <m/>
    <m/>
    <m/>
  </r>
  <r>
    <s v="02713667"/>
    <s v="Valaši v pohybu z.s."/>
    <s v="706"/>
    <x v="1"/>
    <x v="1"/>
    <s v="Valašské Meziříčí"/>
    <s v="Valašské Meziříčí, Krásno nad Bečvou, U Apolla 692/2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920907"/>
    <s v="Valaši vespolek, z. s."/>
    <s v="706"/>
    <x v="1"/>
    <x v="1"/>
    <s v="Vsetín"/>
    <s v="Vsetín, Turkmenská 1600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78540"/>
    <s v="VALAŠKA Radost o.p.s."/>
    <s v="141"/>
    <x v="2"/>
    <x v="3"/>
    <s v="Chvalčov"/>
    <s v="Chvalčov č. ev. 233, PSČ 76872"/>
    <s v="9499"/>
    <s v="Činnosti ostatních organizací sdružujících osoby za účelem prosazování společných zájmů j. n."/>
    <s v="Ostatní profesní, vědecké a technické činnosti j. n."/>
    <s v="Ostatní vzdělávání"/>
    <m/>
    <m/>
    <m/>
    <m/>
    <m/>
    <m/>
    <m/>
    <m/>
    <m/>
    <m/>
    <m/>
    <m/>
    <m/>
    <m/>
    <m/>
  </r>
  <r>
    <s v="01879006"/>
    <s v="Valašská akademie sportu z.s."/>
    <s v="706"/>
    <x v="1"/>
    <x v="1"/>
    <s v="Vsetín"/>
    <s v="Vsetín, Dolní náměstí 135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95604"/>
    <s v="Valašská garda z.s."/>
    <s v="706"/>
    <x v="1"/>
    <x v="1"/>
    <s v="Lužná"/>
    <s v="Lužná 133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154074"/>
    <s v="Valašská Konopa, pobočný spolek"/>
    <s v="736"/>
    <x v="0"/>
    <x v="1"/>
    <s v="Rožnov pod Radhoštěm"/>
    <s v="Rožnov pod Radhoštěm, Bezručova 66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27562"/>
    <s v="VALAŠSKÁ KREV"/>
    <s v="706"/>
    <x v="1"/>
    <x v="0"/>
    <s v="Vlachovice"/>
    <s v="Vlachovice 155, PSČ 76324"/>
    <s v="93110"/>
    <s v="Provozování sportovních zařízení"/>
    <m/>
    <m/>
    <m/>
    <m/>
    <m/>
    <m/>
    <m/>
    <m/>
    <m/>
    <m/>
    <m/>
    <m/>
    <m/>
    <m/>
    <m/>
    <m/>
    <m/>
  </r>
  <r>
    <s v="22664416"/>
    <s v="Valašská motorkářská garda, občanské sdružení"/>
    <s v="706"/>
    <x v="1"/>
    <x v="1"/>
    <s v="Lešná"/>
    <s v="Lešná, Jasenice 95, PSČ 756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842871"/>
    <s v="Valašská nadace"/>
    <s v="117"/>
    <x v="7"/>
    <x v="1"/>
    <s v="Francova Lhota"/>
    <s v="Francova Lhota 10, PSČ 756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9834"/>
    <s v="Valašská rekreologická společnost, z.s."/>
    <s v="706"/>
    <x v="1"/>
    <x v="1"/>
    <s v="Vsetín"/>
    <s v="Vsetín, Družstevní 164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334328"/>
    <s v="Valašská společnost historických kolejových vozidel, z. s."/>
    <s v="706"/>
    <x v="1"/>
    <x v="1"/>
    <s v="Krhová"/>
    <s v="Krhová, Hrádky 415, PSČ 756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899472"/>
    <s v="Valašské Časy z.s."/>
    <s v="706"/>
    <x v="1"/>
    <x v="1"/>
    <s v="Valašské Meziříčí"/>
    <s v="Valašské Meziříčí, Výletní 126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640424"/>
    <s v="Valašské království"/>
    <s v="706"/>
    <x v="1"/>
    <x v="1"/>
    <s v="Valašské Meziříčí"/>
    <s v="Valašské Meziříčí, J. K. Tyla 522/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37421"/>
    <s v="Valašské kumštování, z.s."/>
    <s v="706"/>
    <x v="1"/>
    <x v="0"/>
    <s v="Valašské Klobouky"/>
    <s v="Valašské Klobouky, Koželužská 690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66111"/>
    <s v="VALAŠSKÉ NÁRODNÍ DIVADLO z.s."/>
    <s v="706"/>
    <x v="1"/>
    <x v="1"/>
    <s v="Karolinka"/>
    <s v="Karolinka, U hřiště 142, PSČ 75605"/>
    <s v="90010"/>
    <s v="Scénická umění"/>
    <m/>
    <m/>
    <m/>
    <m/>
    <m/>
    <m/>
    <m/>
    <m/>
    <m/>
    <m/>
    <m/>
    <m/>
    <m/>
    <m/>
    <m/>
    <m/>
    <m/>
  </r>
  <r>
    <s v="21667837"/>
    <s v="Valašské pohybovky, z.s."/>
    <s v="706"/>
    <x v="1"/>
    <x v="3"/>
    <s v="Bystřice pod Hostýnem"/>
    <s v="Bystřice pod Hostýnem, Masarykovo nám. 66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986041"/>
    <s v="Valašské Tornádo, z.s."/>
    <s v="706"/>
    <x v="1"/>
    <x v="1"/>
    <s v="Ratiboř"/>
    <s v="Ratiboř 143, PSČ 75621"/>
    <s v="93190"/>
    <s v="Ostatní sportovní činnosti"/>
    <m/>
    <m/>
    <m/>
    <m/>
    <m/>
    <m/>
    <m/>
    <m/>
    <m/>
    <m/>
    <m/>
    <m/>
    <m/>
    <m/>
    <m/>
    <m/>
    <m/>
  </r>
  <r>
    <s v="29450543"/>
    <s v="Valašsko, o.p.s."/>
    <s v="141"/>
    <x v="2"/>
    <x v="1"/>
    <s v="Velké Karlovice"/>
    <s v="Velké Karlovice 875, PSČ 75606"/>
    <s v="63910"/>
    <s v="Činnosti zpravodajských tiskových kanceláří a agentur"/>
    <s v="Činnosti reklamních agentur"/>
    <m/>
    <m/>
    <m/>
    <m/>
    <m/>
    <m/>
    <m/>
    <m/>
    <m/>
    <m/>
    <m/>
    <m/>
    <m/>
    <m/>
    <m/>
    <m/>
  </r>
  <r>
    <s v="22725253"/>
    <s v="Valašskokloboucký fotbal"/>
    <s v="706"/>
    <x v="1"/>
    <x v="0"/>
    <s v="Valašské Klobouky"/>
    <s v="Valašské Klobouky, Luční 912, PSČ 76601"/>
    <s v="93110"/>
    <s v="Provozování sportovních zařízení"/>
    <m/>
    <m/>
    <m/>
    <m/>
    <m/>
    <m/>
    <m/>
    <m/>
    <m/>
    <m/>
    <m/>
    <m/>
    <m/>
    <m/>
    <m/>
    <m/>
    <m/>
  </r>
  <r>
    <s v="49157116"/>
    <s v="VALAŠSKÝ AEROKLUB Slavičín"/>
    <s v="706"/>
    <x v="1"/>
    <x v="0"/>
    <s v="Valašské Klobouky"/>
    <s v="Valašské Klobouky, Okružní 995, PSČ 76601"/>
    <s v="9499"/>
    <s v="Činnosti ostatních organizací sdružujících osoby za účelem prosazování společných zájmů j. n."/>
    <s v="Činnosti související se zpracováním dat a hostingem; činnosti související s webovými portály"/>
    <m/>
    <m/>
    <m/>
    <m/>
    <m/>
    <m/>
    <m/>
    <m/>
    <m/>
    <m/>
    <m/>
    <m/>
    <m/>
    <m/>
    <m/>
    <m/>
  </r>
  <r>
    <s v="21200629"/>
    <s v="Valašský autoklub v ÚAMK"/>
    <s v="736"/>
    <x v="0"/>
    <x v="1"/>
    <s v="Ratiboř"/>
    <s v="Ratiboř 261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934354"/>
    <s v="Valašský enduro club z.s."/>
    <s v="706"/>
    <x v="1"/>
    <x v="1"/>
    <s v="Valašské Meziříčí"/>
    <s v="Valašské Meziříčí, Kouty 127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184479"/>
    <s v="Valašský golfový klub, z.s."/>
    <s v="706"/>
    <x v="1"/>
    <x v="1"/>
    <s v="Rožnov pod Radhoštěm"/>
    <s v="Rožnov pod Radhoštěm, Horní Paseky 2664, PSČ 75661"/>
    <s v="93120"/>
    <s v="Činnosti sportovních klubů"/>
    <m/>
    <m/>
    <m/>
    <m/>
    <m/>
    <m/>
    <m/>
    <m/>
    <m/>
    <m/>
    <m/>
    <m/>
    <m/>
    <m/>
    <m/>
    <m/>
    <m/>
  </r>
  <r>
    <s v="22676759"/>
    <s v="VALAŠSKÝ HOKEJOVÝ KLUB, z. s."/>
    <s v="706"/>
    <x v="1"/>
    <x v="1"/>
    <s v="Vsetín"/>
    <s v="Vsetín, Rokytnice, Na Lapači 394, PSČ 75501"/>
    <s v="93110"/>
    <s v="Provozování sportovních zařízení"/>
    <m/>
    <m/>
    <m/>
    <m/>
    <m/>
    <m/>
    <m/>
    <m/>
    <m/>
    <m/>
    <m/>
    <m/>
    <m/>
    <m/>
    <m/>
    <m/>
    <m/>
  </r>
  <r>
    <s v="07165986"/>
    <s v="Valašský horolezecký klub, z.s."/>
    <s v="706"/>
    <x v="1"/>
    <x v="1"/>
    <s v="Velká Lhota"/>
    <s v="Velká Lhota, Malá Lhota 69, PSČ 75701"/>
    <s v="93190"/>
    <s v="Ostatní sportovní činnosti"/>
    <m/>
    <m/>
    <m/>
    <m/>
    <m/>
    <m/>
    <m/>
    <m/>
    <m/>
    <m/>
    <m/>
    <m/>
    <m/>
    <m/>
    <m/>
    <m/>
    <m/>
  </r>
  <r>
    <s v="22667059"/>
    <s v="Valašský jarmek, z.s."/>
    <s v="706"/>
    <x v="1"/>
    <x v="0"/>
    <s v="Valašské Klobouky"/>
    <s v="Valašské Klobouky, Brumovská 11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208607"/>
    <s v="Valašský klub plastikových modelářů p.s."/>
    <s v="736"/>
    <x v="0"/>
    <x v="0"/>
    <s v="Brumov-Bylnice"/>
    <s v="Brumov-Bylnice, Brumov, Pluskalova 958, PSČ 7633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52587"/>
    <s v="Valašský krajkářský a řemeslný spolek"/>
    <s v="706"/>
    <x v="1"/>
    <x v="1"/>
    <s v="Valašské Meziříčí"/>
    <s v="Valašské Meziříčí, Zdeňka Fibicha 1220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91589"/>
    <s v="VALAŠSKÝ KRŮŽEK JAZZOVÝ, z.s."/>
    <s v="706"/>
    <x v="1"/>
    <x v="1"/>
    <s v="Vsetín"/>
    <s v="Vsetín, Rokytnice, Rokytnice 413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99436"/>
    <s v="Valašský krúžek Malenovice"/>
    <s v="706"/>
    <x v="1"/>
    <x v="0"/>
    <s v="Zlín"/>
    <s v="Zlín-Malenovice"/>
    <s v="90030"/>
    <s v="Umělecká tvorba"/>
    <m/>
    <m/>
    <m/>
    <m/>
    <m/>
    <m/>
    <m/>
    <m/>
    <m/>
    <m/>
    <m/>
    <m/>
    <m/>
    <m/>
    <m/>
    <m/>
    <m/>
  </r>
  <r>
    <s v="69707448"/>
    <s v="Valašský krúžek RUSAVJAN, z.s."/>
    <s v="706"/>
    <x v="1"/>
    <x v="3"/>
    <s v="Rusava"/>
    <s v="Rusava 248, PSČ 76841"/>
    <s v="90010"/>
    <s v="Scénická umění"/>
    <m/>
    <m/>
    <m/>
    <m/>
    <m/>
    <m/>
    <m/>
    <m/>
    <m/>
    <m/>
    <m/>
    <m/>
    <m/>
    <m/>
    <m/>
    <m/>
    <m/>
  </r>
  <r>
    <s v="09476555"/>
    <s v="Valašský kuželkářský klub Vsetín, z.s."/>
    <s v="706"/>
    <x v="1"/>
    <x v="1"/>
    <s v="Vsetín"/>
    <s v="Vsetín, Turkmenská 835, PSČ 75501"/>
    <s v="93190"/>
    <s v="Ostatní sportovní činnosti"/>
    <m/>
    <m/>
    <m/>
    <m/>
    <m/>
    <m/>
    <m/>
    <m/>
    <m/>
    <m/>
    <m/>
    <m/>
    <m/>
    <m/>
    <m/>
    <m/>
    <m/>
  </r>
  <r>
    <s v="01830376"/>
    <s v="Valašský lenochod, z.s."/>
    <s v="706"/>
    <x v="1"/>
    <x v="1"/>
    <s v="Vsetín"/>
    <s v="Vsetín, Bratří Hlaviců 132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64440"/>
    <s v="Valašský letecký klub z. s."/>
    <s v="706"/>
    <x v="1"/>
    <x v="1"/>
    <s v="Valašské Meziříčí"/>
    <s v="Valašské Meziříčí, Krásno nad Bečvou, Bratří Čapků 689/7, PSČ 75701"/>
    <s v="93120"/>
    <s v="Činnosti sportovních klubů"/>
    <m/>
    <m/>
    <m/>
    <m/>
    <m/>
    <m/>
    <m/>
    <m/>
    <m/>
    <m/>
    <m/>
    <m/>
    <m/>
    <m/>
    <m/>
    <m/>
    <m/>
  </r>
  <r>
    <s v="21039038"/>
    <s v="Valašský MTB Team z. s."/>
    <s v="706"/>
    <x v="1"/>
    <x v="1"/>
    <s v="Jarcová"/>
    <s v="Jarcová 18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91244"/>
    <s v="Valašský muzejní a národopisný spolek v Rožnově pod Radhoštěm"/>
    <s v="706"/>
    <x v="1"/>
    <x v="1"/>
    <s v="Rožnov pod Radhoštěm"/>
    <s v="Rožnov pod Radhoštěm, Palackého 14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84291"/>
    <s v="Valašský odbojový spolek z.s"/>
    <s v="706"/>
    <x v="1"/>
    <x v="1"/>
    <s v="Prlov"/>
    <s v="Prlov 141, PSČ 756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16548"/>
    <s v="Valašský orchestr lidových nástrojů z.s."/>
    <s v="706"/>
    <x v="1"/>
    <x v="1"/>
    <s v="Vsetín"/>
    <s v="Vsetín, Rokytnice, Okružní 452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947916"/>
    <s v="Valašský pramen, z.s."/>
    <s v="706"/>
    <x v="1"/>
    <x v="1"/>
    <s v="Halenkov"/>
    <s v="Halenkov 109, PSČ 75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56361"/>
    <s v="Valašský sbor portášský z.s."/>
    <s v="706"/>
    <x v="1"/>
    <x v="1"/>
    <s v="Valašská Bystřice"/>
    <s v="Valašská Bystřice 669, PSČ 7562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311360"/>
    <s v="Valašský soubor Kašava, z. s."/>
    <s v="706"/>
    <x v="1"/>
    <x v="0"/>
    <s v="Zlín"/>
    <s v="Zlín, Štefánikova 2987/9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739308"/>
    <s v="Valašský soubor písní a tanců Beskyd z.s."/>
    <s v="706"/>
    <x v="1"/>
    <x v="1"/>
    <s v="Zubří"/>
    <s v="Zubří, Hamerská 10, PSČ 75654"/>
    <s v="93290"/>
    <s v="Ostatní zábavní a rekreační činnosti j. n."/>
    <m/>
    <m/>
    <m/>
    <m/>
    <m/>
    <m/>
    <m/>
    <m/>
    <m/>
    <m/>
    <m/>
    <m/>
    <m/>
    <m/>
    <m/>
    <m/>
    <m/>
  </r>
  <r>
    <s v="18190090"/>
    <s v="Valašský soubor písní a tanců Rusava, z.s."/>
    <s v="706"/>
    <x v="1"/>
    <x v="3"/>
    <s v="Bystřice pod Hostýnem"/>
    <s v="Bystřice pod Hostýnem, Vsetínská 1445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611"/>
    <s v="Valašský soubor písní a tanců VIZOVJAN"/>
    <s v="706"/>
    <x v="1"/>
    <x v="0"/>
    <s v="Lípa"/>
    <s v="Vizov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2811"/>
    <s v="Valašský soubor PORTÁŠ, z.s."/>
    <s v="706"/>
    <x v="1"/>
    <x v="0"/>
    <s v="Jasenná"/>
    <s v="Jasenná 270, PSČ 763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019776"/>
    <s v="Valašský soubor Troják, z. s."/>
    <s v="706"/>
    <x v="1"/>
    <x v="1"/>
    <s v="Valašská Bystřice"/>
    <s v="Valašská Bystřice 478, PSČ 75627"/>
    <s v="90030"/>
    <s v="Umělecká tvorba"/>
    <m/>
    <m/>
    <m/>
    <m/>
    <m/>
    <m/>
    <m/>
    <m/>
    <m/>
    <m/>
    <m/>
    <m/>
    <m/>
    <m/>
    <m/>
    <m/>
    <m/>
  </r>
  <r>
    <s v="22742026"/>
    <s v="Valašský sportovní klub mládeže, z.s."/>
    <s v="706"/>
    <x v="1"/>
    <x v="0"/>
    <s v="Valašské Příkazy"/>
    <s v="Valašské Příkazy 50, PSČ 75612"/>
    <s v="93120"/>
    <s v="Činnosti sportovních klubů"/>
    <m/>
    <m/>
    <m/>
    <m/>
    <m/>
    <m/>
    <m/>
    <m/>
    <m/>
    <m/>
    <m/>
    <m/>
    <m/>
    <m/>
    <m/>
    <m/>
    <m/>
  </r>
  <r>
    <s v="26588331"/>
    <s v="Valašský sportovní klub z.s."/>
    <s v="706"/>
    <x v="1"/>
    <x v="1"/>
    <s v="Vsetín"/>
    <s v="Vsetín, Jasenická 1797, PSČ 75501"/>
    <s v="93110"/>
    <s v="Provozování sportovních zařízení"/>
    <m/>
    <m/>
    <m/>
    <m/>
    <m/>
    <m/>
    <m/>
    <m/>
    <m/>
    <m/>
    <m/>
    <m/>
    <m/>
    <m/>
    <m/>
    <m/>
    <m/>
  </r>
  <r>
    <s v="26570726"/>
    <s v="Valašský šachový klub mládeže, z.s."/>
    <s v="706"/>
    <x v="1"/>
    <x v="1"/>
    <s v="Vsetín"/>
    <s v="Vsetín, Družstevní 1765, PSČ 75501"/>
    <s v="93120"/>
    <s v="Činnosti sportovních klubů"/>
    <m/>
    <m/>
    <m/>
    <m/>
    <m/>
    <m/>
    <m/>
    <m/>
    <m/>
    <m/>
    <m/>
    <m/>
    <m/>
    <m/>
    <m/>
    <m/>
    <m/>
  </r>
  <r>
    <s v="09973613"/>
    <s v="Valašský veterán klub, z.s."/>
    <s v="706"/>
    <x v="1"/>
    <x v="3"/>
    <s v="Bystřice pod Hostýnem"/>
    <s v="Bystřice pod Hostýnem, Na Zahrádkách 624, PSČ 768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86211"/>
    <s v="Valašští myslivečtí trubači"/>
    <s v="706"/>
    <x v="1"/>
    <x v="1"/>
    <s v="Valašské Meziříčí"/>
    <s v="Valašské Meziříčí, Podlesí 450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268318"/>
    <s v="Valašští sporťáci, z.s."/>
    <s v="706"/>
    <x v="1"/>
    <x v="1"/>
    <s v="Rožnov pod Radhoštěm"/>
    <s v="Rožnov pod Radhoštěm, Tvarůžkova 2493, PSČ 75661"/>
    <s v="93190"/>
    <s v="Ostatní sportovní činnosti"/>
    <m/>
    <m/>
    <m/>
    <m/>
    <m/>
    <m/>
    <m/>
    <m/>
    <m/>
    <m/>
    <m/>
    <m/>
    <m/>
    <m/>
    <m/>
    <m/>
    <m/>
  </r>
  <r>
    <s v="70238961"/>
    <s v="Valaští bajkeři, spolek"/>
    <s v="706"/>
    <x v="1"/>
    <x v="1"/>
    <s v="Rožnov pod Radhoštěm"/>
    <s v="Rožnov pod Radhoštěm, Nerudova 141, PSČ 75661"/>
    <s v="931"/>
    <s v="Sportovní činnosti"/>
    <m/>
    <m/>
    <m/>
    <m/>
    <m/>
    <m/>
    <m/>
    <m/>
    <m/>
    <m/>
    <m/>
    <m/>
    <m/>
    <m/>
    <m/>
    <m/>
    <m/>
  </r>
  <r>
    <s v="22889353"/>
    <s v="VALCEST - Klub valašských cestovatelů"/>
    <s v="706"/>
    <x v="1"/>
    <x v="1"/>
    <s v="Zašová"/>
    <s v="Zašová 373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896739"/>
    <s v="VÁLEK RACING z.s."/>
    <s v="706"/>
    <x v="1"/>
    <x v="0"/>
    <s v="Poteč"/>
    <s v="Poteč 135, PSČ 76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287669"/>
    <s v="Valmez Wolves Discgolf Team z.s."/>
    <s v="706"/>
    <x v="1"/>
    <x v="1"/>
    <s v="Jablůnka"/>
    <s v="Jablůnka 597, PSČ 75623"/>
    <s v="93190"/>
    <s v="Ostatní sportovní činnosti"/>
    <m/>
    <m/>
    <m/>
    <m/>
    <m/>
    <m/>
    <m/>
    <m/>
    <m/>
    <m/>
    <m/>
    <m/>
    <m/>
    <m/>
    <m/>
    <m/>
    <m/>
  </r>
  <r>
    <s v="22906398"/>
    <s v="Valmezáci z.s."/>
    <s v="706"/>
    <x v="1"/>
    <x v="1"/>
    <s v="Valašské Meziříčí"/>
    <s v="Valašské Meziříčí, Krásno nad Bečvou, Na Příkopě 808, PSČ 75701"/>
    <s v="94995"/>
    <s v="Činnosti environmentálních a ekologických hnutí"/>
    <m/>
    <m/>
    <m/>
    <m/>
    <m/>
    <m/>
    <m/>
    <m/>
    <m/>
    <m/>
    <m/>
    <m/>
    <m/>
    <m/>
    <m/>
    <m/>
    <m/>
  </r>
  <r>
    <s v="27044831"/>
    <s v="VARTA, z.s."/>
    <s v="706"/>
    <x v="1"/>
    <x v="1"/>
    <s v="Rožnov pod Radhoštěm"/>
    <s v="Rožnov pod Radhoštěm, Hrnčířská 1981, PSČ 7566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69747083"/>
    <s v="Vassura motorsport klub v AČR"/>
    <s v="736"/>
    <x v="0"/>
    <x v="0"/>
    <s v="Zlín"/>
    <s v="Zlín, Mezihoří 267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190508"/>
    <s v="Váš Parlament, z. s."/>
    <s v="706"/>
    <x v="1"/>
    <x v="0"/>
    <s v="Zlín"/>
    <s v="Zlín, Louky, třída Tomáše Bati 227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663941"/>
    <s v="Vaše srdce Ariance, z.s."/>
    <s v="706"/>
    <x v="1"/>
    <x v="0"/>
    <s v="Otrokovice"/>
    <s v="Otrokovice, J. Jabůrkové 1842, PSČ 76502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715258"/>
    <s v="Vážka ValMez"/>
    <s v="706"/>
    <x v="1"/>
    <x v="1"/>
    <s v="Valašské Meziříčí"/>
    <s v="Valašské Meziříčí, Smetanova 975/40, PSČ 75701"/>
    <s v="94999"/>
    <s v="Činnosti ostatních organizací j. n."/>
    <m/>
    <m/>
    <m/>
    <m/>
    <m/>
    <m/>
    <m/>
    <m/>
    <m/>
    <m/>
    <m/>
    <m/>
    <m/>
    <m/>
    <m/>
    <m/>
    <m/>
  </r>
  <r>
    <s v="22254684"/>
    <s v="Vážky, z.ú."/>
    <s v="161"/>
    <x v="3"/>
    <x v="0"/>
    <s v="Slušovice"/>
    <s v="Slušovice, Padělky 548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26516"/>
    <s v="VCC Zlín, z.s."/>
    <s v="706"/>
    <x v="1"/>
    <x v="0"/>
    <s v="Otrokovice"/>
    <s v="Otrokovice, J. Jabůrkové 314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929561"/>
    <s v="Včelařský spolek pro Střední Moravu"/>
    <s v="706"/>
    <x v="1"/>
    <x v="3"/>
    <s v="Lechotice"/>
    <s v="Lechotice 52, PSČ 768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4015"/>
    <s v="Včelí krajina o.s."/>
    <s v="706"/>
    <x v="1"/>
    <x v="1"/>
    <s v="Velká Lhota"/>
    <s v="Velká Lhota č. ev. 12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828147"/>
    <s v="VE JMÉNU ZDRAVÍ - NADAČNÍ FOND"/>
    <s v="118"/>
    <x v="6"/>
    <x v="1"/>
    <s v="Nový Hrozenkov"/>
    <s v="Nový Hrozenkov 466, PSČ 75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489800"/>
    <s v="Ve vatičce, z. s."/>
    <s v="706"/>
    <x v="1"/>
    <x v="3"/>
    <s v="Kroměříž"/>
    <s v="Kroměříž, Velehradská 529/45, PSČ 76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04012810"/>
    <s v="Vědomý rozvoj z.s."/>
    <s v="706"/>
    <x v="1"/>
    <x v="2"/>
    <s v="Kunovice"/>
    <s v="Kunovice, Luční 1702, PSČ 68604"/>
    <s v="94999"/>
    <s v="Činnosti ostatních organizací j. n."/>
    <m/>
    <m/>
    <m/>
    <m/>
    <m/>
    <m/>
    <m/>
    <m/>
    <m/>
    <m/>
    <m/>
    <m/>
    <m/>
    <m/>
    <m/>
    <m/>
    <m/>
  </r>
  <r>
    <s v="04875435"/>
    <s v="Vege-Najt, z.s."/>
    <s v="706"/>
    <x v="1"/>
    <x v="2"/>
    <s v="Uherský Brod"/>
    <s v="Uherský Brod, Havřice, Cihlářská 395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1411"/>
    <s v="Velkomoravané, z.s."/>
    <s v="706"/>
    <x v="1"/>
    <x v="2"/>
    <s v="Modrá"/>
    <s v="Modrá 54, PSČ 6870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4041"/>
    <s v="VELOCIPED WALKERS, spolek"/>
    <s v="706"/>
    <x v="1"/>
    <x v="1"/>
    <s v="Rožnov pod Radhoštěm"/>
    <s v="Rožnov pod Radhoštěm, Boženy Němcové 1720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501862"/>
    <s v="Velute, z. s."/>
    <s v="706"/>
    <x v="1"/>
    <x v="0"/>
    <s v="Slušovice"/>
    <s v="Slušovice, Padělky 542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46117"/>
    <s v="Velvit z.s."/>
    <s v="706"/>
    <x v="1"/>
    <x v="2"/>
    <s v="Kunovice"/>
    <s v="Kunovice, V Zátiší 911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65124"/>
    <s v="VĚNEČEK z.s."/>
    <s v="706"/>
    <x v="1"/>
    <x v="0"/>
    <s v="Fryšták"/>
    <s v="Fryšták, Horní Ves, Hutky 59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36176"/>
    <s v="VENKOVART"/>
    <s v="706"/>
    <x v="1"/>
    <x v="0"/>
    <s v="Velký Ořechov"/>
    <s v="Velký Ořechov 171, PSČ 76307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577505"/>
    <s v="Verdi star z.s."/>
    <s v="706"/>
    <x v="1"/>
    <x v="0"/>
    <s v="Valašské Klobouky"/>
    <s v="Valašské Klobouky, Luční 898, PSČ 76601"/>
    <s v="93190"/>
    <s v="Ostatní sportovní činnosti"/>
    <m/>
    <m/>
    <m/>
    <m/>
    <m/>
    <m/>
    <m/>
    <m/>
    <m/>
    <m/>
    <m/>
    <m/>
    <m/>
    <m/>
    <m/>
    <m/>
    <m/>
  </r>
  <r>
    <s v="26604027"/>
    <s v="Veselá bída, z. s."/>
    <s v="706"/>
    <x v="1"/>
    <x v="1"/>
    <s v="Vsetín"/>
    <s v="Vsetín, Velký Skalník 1898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360971"/>
    <s v="Veselá Partyja, z.s."/>
    <s v="706"/>
    <x v="1"/>
    <x v="2"/>
    <s v="Boršice"/>
    <s v="Boršice 497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1160"/>
    <s v="Veselejší Slovácko, z. s."/>
    <s v="706"/>
    <x v="1"/>
    <x v="2"/>
    <s v="Uherské Hradiště"/>
    <s v="Uherské Hradiště, Nádražní 2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6361016"/>
    <s v="VESLAŘSKÝ KLUB MORÁVIA UH z.s."/>
    <s v="706"/>
    <x v="1"/>
    <x v="2"/>
    <s v="Uherské Hradiště"/>
    <s v="Uherské Hradiště, Tyršovo náměstí 440, PSČ 68601"/>
    <s v="93110"/>
    <s v="Provozování sportovních zařízení"/>
    <m/>
    <m/>
    <m/>
    <m/>
    <m/>
    <m/>
    <m/>
    <m/>
    <m/>
    <m/>
    <m/>
    <m/>
    <m/>
    <m/>
    <m/>
    <m/>
    <m/>
  </r>
  <r>
    <s v="70933014"/>
    <s v="VESNA - sdružení pro podporu činnosti Krizového centra a ..."/>
    <s v="706"/>
    <x v="1"/>
    <x v="1"/>
    <s v="Mikulůvka"/>
    <s v="Mikulůvka 209, PSČ 7562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6990997"/>
    <s v="Veteran Bicyklub"/>
    <s v="706"/>
    <x v="1"/>
    <x v="2"/>
    <s v="Uherský Ostroh"/>
    <s v="Uherský Ostroh, Ostrožské Předměstí, Blatnická 172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5117240"/>
    <s v="Veteran Car Club Beskydy v AČR"/>
    <s v="736"/>
    <x v="0"/>
    <x v="1"/>
    <s v="Mikulůvka"/>
    <s v="Mikulůvka 251, PSČ 756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30321"/>
    <s v="Veteran Car Club Zlín"/>
    <s v="736"/>
    <x v="0"/>
    <x v="0"/>
    <s v="Lípa"/>
    <s v="Lípa 30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2620"/>
    <s v="VETERAN KLUB BŘEST z.s."/>
    <s v="706"/>
    <x v="1"/>
    <x v="3"/>
    <s v="Břest"/>
    <s v="Břest 50, PSČ 768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681752"/>
    <s v="Veterán klub Kroměříž z.s."/>
    <s v="706"/>
    <x v="1"/>
    <x v="3"/>
    <s v="Kroměříž"/>
    <s v="Kroměříž, Vejvanovského 374/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9421"/>
    <s v="Veterán sport car klub, o.s."/>
    <s v="706"/>
    <x v="1"/>
    <x v="0"/>
    <s v="Zlín"/>
    <s v="Zlín, Dlouhá 4309, PSČ 76001"/>
    <s v="93110"/>
    <s v="Provozování sportovních zařízení"/>
    <m/>
    <m/>
    <m/>
    <m/>
    <m/>
    <m/>
    <m/>
    <m/>
    <m/>
    <m/>
    <m/>
    <m/>
    <m/>
    <m/>
    <m/>
    <m/>
    <m/>
  </r>
  <r>
    <s v="26612844"/>
    <s v="Veterán turist club Otrokovice"/>
    <s v="706"/>
    <x v="1"/>
    <x v="0"/>
    <s v="Otrokovice"/>
    <s v="Otrokovice, Vrchlického 698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753060"/>
    <s v="VETUS MOLENDINI CZ z.s."/>
    <s v="706"/>
    <x v="1"/>
    <x v="3"/>
    <s v="Prasklice"/>
    <s v="Prasklice 82, PSČ 76833"/>
    <s v="87301"/>
    <s v="Sociální péče v domovech pro seniory"/>
    <m/>
    <m/>
    <m/>
    <m/>
    <m/>
    <m/>
    <m/>
    <m/>
    <m/>
    <m/>
    <m/>
    <m/>
    <m/>
    <m/>
    <m/>
    <m/>
    <m/>
  </r>
  <r>
    <s v="22874488"/>
    <s v="VEVERKA, z.s."/>
    <s v="706"/>
    <x v="1"/>
    <x v="0"/>
    <s v="Zlín"/>
    <s v="Zlín, Tyršovo nábřeží 76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307294"/>
    <s v="VF Motorsport z.s."/>
    <s v="706"/>
    <x v="1"/>
    <x v="1"/>
    <s v="Prostřední Bečva"/>
    <s v="Prostřední Bečva 335, PSČ 75656"/>
    <s v="93120"/>
    <s v="Činnosti sportovních klubů"/>
    <m/>
    <m/>
    <m/>
    <m/>
    <m/>
    <m/>
    <m/>
    <m/>
    <m/>
    <m/>
    <m/>
    <m/>
    <m/>
    <m/>
    <m/>
    <m/>
    <m/>
  </r>
  <r>
    <s v="08956171"/>
    <s v="VFA - Valašská fotbalová akademie z. s."/>
    <s v="706"/>
    <x v="1"/>
    <x v="1"/>
    <s v="Zašová"/>
    <s v="Zašová 849, PSČ 7565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91138"/>
    <s v="Via Lucis"/>
    <s v="706"/>
    <x v="1"/>
    <x v="2"/>
    <s v="Buchlovice"/>
    <s v="Buchlovice, Komenského 539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75359"/>
    <s v="VIA Mobility"/>
    <s v="706"/>
    <x v="1"/>
    <x v="3"/>
    <s v="Kroměříž"/>
    <s v="Kroměříž, Postoupky 10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08608"/>
    <s v="„Via Nemesis“"/>
    <s v="706"/>
    <x v="1"/>
    <x v="0"/>
    <s v="Napajedla"/>
    <s v="Napajedla, Komenského 1531, PSČ 76361"/>
    <s v="90030"/>
    <s v="Umělecká tvorba"/>
    <m/>
    <m/>
    <m/>
    <m/>
    <m/>
    <m/>
    <m/>
    <m/>
    <m/>
    <m/>
    <m/>
    <m/>
    <m/>
    <m/>
    <m/>
    <m/>
    <m/>
  </r>
  <r>
    <s v="70846898"/>
    <s v="Via vitae, z.s."/>
    <s v="706"/>
    <x v="1"/>
    <x v="0"/>
    <s v="Napajedla"/>
    <s v="Napajedla, Komenského 733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235416"/>
    <s v="Vichury. z.s."/>
    <s v="706"/>
    <x v="1"/>
    <x v="1"/>
    <s v="Valašské Meziříčí"/>
    <s v="Valašské Meziříčí, Hrachovec 67, PSČ 75701"/>
    <s v="94995"/>
    <s v="Činnosti environmentálních a ekologických hnutí"/>
    <m/>
    <m/>
    <m/>
    <m/>
    <m/>
    <m/>
    <m/>
    <m/>
    <m/>
    <m/>
    <m/>
    <m/>
    <m/>
    <m/>
    <m/>
    <m/>
    <m/>
  </r>
  <r>
    <s v="06661777"/>
    <s v="Videčky, z.s."/>
    <s v="706"/>
    <x v="1"/>
    <x v="1"/>
    <s v="Vsetín"/>
    <s v="Vsetín, Horní Jasenka 22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94099"/>
    <s v="Viktima"/>
    <s v="706"/>
    <x v="1"/>
    <x v="2"/>
    <s v="Uherské Hradiště"/>
    <s v="Šafaříkova 952, 686 01 Uherské Hradiště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5413"/>
    <s v="VINÁR z.s."/>
    <s v="706"/>
    <x v="1"/>
    <x v="2"/>
    <s v="Nedakonice"/>
    <s v="Nedakonice 372, PSČ 68738"/>
    <s v="90030"/>
    <s v="Umělecká tvorba"/>
    <m/>
    <m/>
    <m/>
    <m/>
    <m/>
    <m/>
    <m/>
    <m/>
    <m/>
    <m/>
    <m/>
    <m/>
    <m/>
    <m/>
    <m/>
    <m/>
    <m/>
  </r>
  <r>
    <s v="14044625"/>
    <s v="Vinaři Boršice, z.s."/>
    <s v="706"/>
    <x v="1"/>
    <x v="2"/>
    <s v="Boršice"/>
    <s v="Boršice 704, PSČ 68709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849015"/>
    <s v="Vinaři Břestek, z.s."/>
    <s v="706"/>
    <x v="1"/>
    <x v="2"/>
    <s v="Břestek"/>
    <s v="Břestek 1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0870"/>
    <s v="Vinaři Jarošov"/>
    <s v="706"/>
    <x v="1"/>
    <x v="2"/>
    <s v="Uherské Hradiště"/>
    <s v="Uherské Hradiště, Jarošov, U Bagru 10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06981"/>
    <s v="Vinaři Mařatice z.s."/>
    <s v="706"/>
    <x v="1"/>
    <x v="2"/>
    <s v="Uherské Hradiště"/>
    <s v="Uherské Hradiště, Mařatice, Vinohradská 850, PSČ 68605"/>
    <s v="94120"/>
    <s v="Činnosti profesních organizací"/>
    <m/>
    <m/>
    <m/>
    <m/>
    <m/>
    <m/>
    <m/>
    <m/>
    <m/>
    <m/>
    <m/>
    <m/>
    <m/>
    <m/>
    <m/>
    <m/>
    <m/>
  </r>
  <r>
    <s v="66610427"/>
    <s v="Vinaři SADY z.s."/>
    <s v="706"/>
    <x v="1"/>
    <x v="2"/>
    <s v="Uherské Hradiště"/>
    <s v="Uherské Hradiště, Sady, Solná cesta 309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501209"/>
    <s v="VINAŘSKÝ SPOLEK BBP"/>
    <s v="706"/>
    <x v="1"/>
    <x v="2"/>
    <s v="Boršice"/>
    <s v="Boršice č. ev. 89, PSČ 6870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9778799"/>
    <s v="Viniční dům Slovácká búda, z. s."/>
    <s v="706"/>
    <x v="1"/>
    <x v="0"/>
    <s v="Luhačovice"/>
    <s v="Luhačov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4189"/>
    <s v="VINIDI o.s."/>
    <s v="706"/>
    <x v="1"/>
    <x v="0"/>
    <s v="Valašské Klobouky"/>
    <s v="Valašské Klobouky, Masarykovo náměstí 106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0575735"/>
    <s v="VINOHRADY 98 - občanské sdružení"/>
    <s v="706"/>
    <x v="1"/>
    <x v="2"/>
    <s v="Nivnice"/>
    <s v="Nivnice, Dr. Kachníka 55, PSČ 687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060124"/>
    <s v="VIOLET o.p.s."/>
    <s v="141"/>
    <x v="2"/>
    <x v="0"/>
    <s v="Žlutava"/>
    <s v="Žlutava 435, PSČ 76361"/>
    <s v="8899"/>
    <s v="Ostatní ambulantní nebo terénní sociální služby j. n."/>
    <s v="Výroba, obchod a služby neuvedené v přílohách 1 až 3 živnostenského zákona"/>
    <s v="Maloobchod, kromě motorových vozidel"/>
    <s v="Zprostředkování velkoobchodu a velkoobchod v zastoupení"/>
    <s v="Ostatní vzdělávání"/>
    <s v="Ostatní profesní, vědecké a technické činnosti j. n."/>
    <s v="Činnosti zpravodajských tiskových kanceláří a agentur"/>
    <s v="Podpůrné činnosti pro scénická umění"/>
    <m/>
    <m/>
    <m/>
    <m/>
    <m/>
    <m/>
    <m/>
    <m/>
    <m/>
    <m/>
  </r>
  <r>
    <s v="01863525"/>
    <s v="Violet, o.s."/>
    <s v="706"/>
    <x v="1"/>
    <x v="3"/>
    <s v="Lechotice"/>
    <s v="Lechotice 137, PSČ 768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11461"/>
    <s v="Vis inclusio, z.s."/>
    <s v="706"/>
    <x v="1"/>
    <x v="0"/>
    <s v="Tlumačov"/>
    <s v="Tlumačov, Nádražní 204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3631647"/>
    <s v="Višva Guru Díp Hindu Mandir - české hinduistické společenství"/>
    <s v="721"/>
    <x v="8"/>
    <x v="3"/>
    <s v="Střílky"/>
    <s v="Střílky, Zámecká 202, PSČ 76804"/>
    <s v="94910"/>
    <s v="Činnosti náboženských organizací"/>
    <m/>
    <m/>
    <m/>
    <m/>
    <m/>
    <m/>
    <m/>
    <m/>
    <m/>
    <m/>
    <m/>
    <m/>
    <m/>
    <m/>
    <m/>
    <m/>
    <m/>
  </r>
  <r>
    <s v="03640825"/>
    <s v="Vita donum est - nadační fond"/>
    <s v="118"/>
    <x v="6"/>
    <x v="0"/>
    <s v="Zlín"/>
    <s v="Zlín, Pod Rozhlednou 606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3899"/>
    <s v="Vital Pro z.s."/>
    <s v="706"/>
    <x v="1"/>
    <x v="0"/>
    <s v="Otrokovice"/>
    <s v="Otrokovice, Moravní 909, PSČ 76502"/>
    <s v="93110"/>
    <s v="Provozování sportovních zařízení"/>
    <m/>
    <m/>
    <m/>
    <m/>
    <m/>
    <m/>
    <m/>
    <m/>
    <m/>
    <m/>
    <m/>
    <m/>
    <m/>
    <m/>
    <m/>
    <m/>
    <m/>
  </r>
  <r>
    <s v="14305887"/>
    <s v="Vitrioil, z. s."/>
    <s v="706"/>
    <x v="1"/>
    <x v="3"/>
    <s v="Zdounky"/>
    <s v="Zdounky 301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361448"/>
    <s v="Viva Dance Academy, z.s."/>
    <s v="706"/>
    <x v="1"/>
    <x v="0"/>
    <s v="Zlín"/>
    <s v="Zlín, Podlesí V 5506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74879"/>
    <s v="VIVACITAS, z.s."/>
    <s v="706"/>
    <x v="1"/>
    <x v="1"/>
    <s v="Valašské Meziříčí"/>
    <s v="Valašské Meziříčí, Juřinka 154, PSČ 75701"/>
    <s v="94995"/>
    <s v="Činnosti environmentálních a ekologických hnutí"/>
    <m/>
    <m/>
    <m/>
    <m/>
    <m/>
    <m/>
    <m/>
    <m/>
    <m/>
    <m/>
    <m/>
    <m/>
    <m/>
    <m/>
    <m/>
    <m/>
    <m/>
  </r>
  <r>
    <s v="07196881"/>
    <s v="VIZE 21 Otrokovice, z.s."/>
    <s v="706"/>
    <x v="1"/>
    <x v="0"/>
    <s v="Otrokovice"/>
    <s v="Otrokovice, Na Uličce 1360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95223"/>
    <s v="Vize 70 plus, z.s."/>
    <s v="706"/>
    <x v="1"/>
    <x v="0"/>
    <s v="Zlín"/>
    <s v="Zlín, Mladcová, Čtvrť Frant. Bartoše 615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9358"/>
    <s v="Vizovice-Těchlov"/>
    <s v="706"/>
    <x v="1"/>
    <x v="0"/>
    <s v="Vizovice"/>
    <s v="Vizovice, Těchlovská 1088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81451"/>
    <s v="VIZOVICKÉ PEČIVO - občanské sdružení"/>
    <s v="706"/>
    <x v="1"/>
    <x v="0"/>
    <s v="Vizovice"/>
    <s v="Vizovice, Pod hájem 1202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2340144"/>
    <s v="Vizovické trnkobraní, z. s."/>
    <s v="706"/>
    <x v="1"/>
    <x v="0"/>
    <s v="Vizovice"/>
    <s v="Vizovice, Štěpská 950, PSČ 76312"/>
    <s v="93290"/>
    <s v="Ostatní zábavní a rekreační činnosti j. n."/>
    <m/>
    <m/>
    <m/>
    <m/>
    <m/>
    <m/>
    <m/>
    <m/>
    <m/>
    <m/>
    <m/>
    <m/>
    <m/>
    <m/>
    <m/>
    <m/>
    <m/>
  </r>
  <r>
    <s v="27024661"/>
    <s v="Vizovické vrchy, z. s."/>
    <s v="706"/>
    <x v="1"/>
    <x v="0"/>
    <s v="Vizovice"/>
    <s v="Vizovice, Lázeňská 1104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416206"/>
    <s v="Vizovjánek - soubor valašských písní a tanců, z.s."/>
    <s v="706"/>
    <x v="1"/>
    <x v="0"/>
    <s v="Vizovice"/>
    <s v="Vizovice, Polní 1244, PSČ 763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9563254"/>
    <s v="VK AUSTIN Vsetín z.s."/>
    <s v="706"/>
    <x v="1"/>
    <x v="1"/>
    <s v="Vsetín"/>
    <s v="Vsetín, Horní Jasenka 299, PSČ 75501"/>
    <s v="93110"/>
    <s v="Provozování sportovních zařízení"/>
    <m/>
    <m/>
    <m/>
    <m/>
    <m/>
    <m/>
    <m/>
    <m/>
    <m/>
    <m/>
    <m/>
    <m/>
    <m/>
    <m/>
    <m/>
    <m/>
    <m/>
  </r>
  <r>
    <s v="05721156"/>
    <s v="VK dance collective, z.s."/>
    <s v="706"/>
    <x v="1"/>
    <x v="1"/>
    <s v="Horní Lideč"/>
    <s v="Horní Lideč 332, PSČ 75612"/>
    <s v="93190"/>
    <s v="Ostatní sportovní činnosti"/>
    <m/>
    <m/>
    <m/>
    <m/>
    <m/>
    <m/>
    <m/>
    <m/>
    <m/>
    <m/>
    <m/>
    <m/>
    <m/>
    <m/>
    <m/>
    <m/>
    <m/>
  </r>
  <r>
    <s v="26579529"/>
    <s v="VK Slovácko z.s."/>
    <s v="706"/>
    <x v="1"/>
    <x v="2"/>
    <s v="Uherské Hradiště"/>
    <s v="Uherské Hradiště, Mařatice, Sokolovská 356, PSČ 68601"/>
    <s v="93120"/>
    <s v="Činnosti sportovních klubů"/>
    <m/>
    <m/>
    <m/>
    <m/>
    <m/>
    <m/>
    <m/>
    <m/>
    <m/>
    <m/>
    <m/>
    <m/>
    <m/>
    <m/>
    <m/>
    <m/>
    <m/>
  </r>
  <r>
    <s v="17903912"/>
    <s v="VK Trnavští jeleni z.s."/>
    <s v="706"/>
    <x v="1"/>
    <x v="0"/>
    <s v="Trnava"/>
    <s v="Trnava 176, PSČ 76318"/>
    <s v="93190"/>
    <s v="Ostatní sportovní činnosti"/>
    <m/>
    <m/>
    <m/>
    <m/>
    <m/>
    <m/>
    <m/>
    <m/>
    <m/>
    <m/>
    <m/>
    <m/>
    <m/>
    <m/>
    <m/>
    <m/>
    <m/>
  </r>
  <r>
    <s v="02290324"/>
    <s v="Vlastivědný kroužek Holešov z.s."/>
    <s v="706"/>
    <x v="1"/>
    <x v="3"/>
    <s v="Holešov"/>
    <s v="Holešov, nám. Dr. E. Beneše 17/56, PSČ 76901"/>
    <s v="94995"/>
    <s v="Činnosti environmentálních a ekologických hnutí"/>
    <m/>
    <m/>
    <m/>
    <m/>
    <m/>
    <m/>
    <m/>
    <m/>
    <m/>
    <m/>
    <m/>
    <m/>
    <m/>
    <m/>
    <m/>
    <m/>
    <m/>
  </r>
  <r>
    <s v="01606476"/>
    <s v="Vlaštovky Fryšták o.s."/>
    <s v="706"/>
    <x v="1"/>
    <x v="0"/>
    <s v="Fryšták"/>
    <s v="Fryšták, Dolní Ves, Stolařská 40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59257"/>
    <s v="VLAŠTOVKY z.s."/>
    <s v="706"/>
    <x v="1"/>
    <x v="1"/>
    <s v="Kelč"/>
    <s v="Kelč, Komárovice 9, PSČ 7564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523220"/>
    <s v="Vlčnovský střelecký spolek"/>
    <s v="706"/>
    <x v="1"/>
    <x v="2"/>
    <s v="Vlčnov"/>
    <s v="Vlčnov 1098, PSČ 68761"/>
    <s v="93190"/>
    <s v="Ostatní sportovní činnosti"/>
    <m/>
    <m/>
    <m/>
    <m/>
    <m/>
    <m/>
    <m/>
    <m/>
    <m/>
    <m/>
    <m/>
    <m/>
    <m/>
    <m/>
    <m/>
    <m/>
    <m/>
  </r>
  <r>
    <s v="21957801"/>
    <s v="Vlídný Vsetín, z. s."/>
    <s v="706"/>
    <x v="1"/>
    <x v="1"/>
    <s v="Vsetín"/>
    <s v="Vsetín, Konečná 1179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92704"/>
    <s v="Voda pro les, voda pro lidi, z.s."/>
    <s v="706"/>
    <x v="1"/>
    <x v="1"/>
    <s v="Janová"/>
    <s v="Janová 19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189318"/>
    <s v="Vodácký klub Kroměříž, z.s."/>
    <s v="706"/>
    <x v="1"/>
    <x v="3"/>
    <s v="Kroměříž"/>
    <s v="Kroměříž, Zámecká zahrada 352/8, PSČ 76701"/>
    <s v="93120"/>
    <s v="Činnosti sportovních klubů"/>
    <m/>
    <m/>
    <m/>
    <m/>
    <m/>
    <m/>
    <m/>
    <m/>
    <m/>
    <m/>
    <m/>
    <m/>
    <m/>
    <m/>
    <m/>
    <m/>
    <m/>
  </r>
  <r>
    <s v="22846476"/>
    <s v="Vodácký klub Kvasice z.s."/>
    <s v="706"/>
    <x v="1"/>
    <x v="3"/>
    <s v="Kvasice"/>
    <s v="Kvasice, Bělovská 605, PSČ 76821"/>
    <s v="93120"/>
    <s v="Činnosti sportovních klubů"/>
    <m/>
    <m/>
    <m/>
    <m/>
    <m/>
    <m/>
    <m/>
    <m/>
    <m/>
    <m/>
    <m/>
    <m/>
    <m/>
    <m/>
    <m/>
    <m/>
    <m/>
  </r>
  <r>
    <s v="49157906"/>
    <s v="Vodácký spolek Čolek, z.s."/>
    <s v="706"/>
    <x v="1"/>
    <x v="0"/>
    <s v="Zlín"/>
    <s v="Zlín, Hradská 854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10740"/>
    <s v="Vojenské muzeum Loučka - Pearl Harbor, z.s."/>
    <s v="706"/>
    <x v="1"/>
    <x v="0"/>
    <s v="Loučka"/>
    <s v="Loučka 140, PSČ 763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6818"/>
    <s v="Vojensko historický klub - Divize Bílé Karpaty"/>
    <s v="706"/>
    <x v="1"/>
    <x v="2"/>
    <s v="Strání"/>
    <s v="Strání, Květná, nám. Em. Zahna 307, PSČ 6876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392727"/>
    <s v="Vojensko historický klub Východní fronta, z.s."/>
    <s v="706"/>
    <x v="1"/>
    <x v="2"/>
    <s v="Strání"/>
    <s v="Strání, Květná, Nová hora 1007, PSČ 6876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476881"/>
    <s v="Volejbal Vsetín, z.s."/>
    <s v="706"/>
    <x v="1"/>
    <x v="1"/>
    <s v="Vsetín"/>
    <s v="Vsetín, Horní Jasenka 299, PSČ 75501"/>
    <s v="93190"/>
    <s v="Ostatní sportovní činnosti"/>
    <m/>
    <m/>
    <m/>
    <m/>
    <m/>
    <m/>
    <m/>
    <m/>
    <m/>
    <m/>
    <m/>
    <m/>
    <m/>
    <m/>
    <m/>
    <m/>
    <m/>
  </r>
  <r>
    <s v="04710321"/>
    <s v="Volejbalový klub Kelč, z.s."/>
    <s v="706"/>
    <x v="1"/>
    <x v="1"/>
    <s v="Kelč"/>
    <s v="Kelč 5, PSČ 75643"/>
    <s v="93190"/>
    <s v="Ostatní sportovní činnosti"/>
    <m/>
    <m/>
    <m/>
    <m/>
    <m/>
    <m/>
    <m/>
    <m/>
    <m/>
    <m/>
    <m/>
    <m/>
    <m/>
    <m/>
    <m/>
    <m/>
    <m/>
  </r>
  <r>
    <s v="43963811"/>
    <s v="Volejbalový klub MEZ Vsetín, z.s."/>
    <s v="706"/>
    <x v="1"/>
    <x v="1"/>
    <s v="Vsetín"/>
    <s v="Vsetín, Mostecká 367, PSČ 75501"/>
    <s v="93110"/>
    <s v="Provozování sportovních zařízení"/>
    <m/>
    <m/>
    <m/>
    <m/>
    <m/>
    <m/>
    <m/>
    <m/>
    <m/>
    <m/>
    <m/>
    <m/>
    <m/>
    <m/>
    <m/>
    <m/>
    <m/>
  </r>
  <r>
    <s v="26525968"/>
    <s v="Volejbalový klub Mysločovice"/>
    <s v="706"/>
    <x v="1"/>
    <x v="0"/>
    <s v="Mysločovice"/>
    <s v="Mysločovice 21, PSČ 763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5659711"/>
    <s v="VOLEJBALOVÝ KLUB NAPAJEDLA, z.s."/>
    <s v="706"/>
    <x v="1"/>
    <x v="0"/>
    <s v="Napajedla"/>
    <s v="Napajedla, Dvořákova 1445, PSČ 76361"/>
    <s v="93110"/>
    <s v="Provozování sportovních zařízení"/>
    <m/>
    <m/>
    <m/>
    <m/>
    <m/>
    <m/>
    <m/>
    <m/>
    <m/>
    <m/>
    <m/>
    <m/>
    <m/>
    <m/>
    <m/>
    <m/>
    <m/>
  </r>
  <r>
    <s v="27003035"/>
    <s v="Volejbalový klub Přílepy, občanské sdružení"/>
    <s v="706"/>
    <x v="1"/>
    <x v="3"/>
    <s v="Přílepy"/>
    <s v="Přílepy 234, PSČ 76901"/>
    <s v="93110"/>
    <s v="Provozování sportovních zařízení"/>
    <m/>
    <m/>
    <m/>
    <m/>
    <m/>
    <m/>
    <m/>
    <m/>
    <m/>
    <m/>
    <m/>
    <m/>
    <m/>
    <m/>
    <m/>
    <m/>
    <m/>
  </r>
  <r>
    <s v="01719572"/>
    <s v="Volejbalový klub Valašské Meziříčí z.s."/>
    <s v="706"/>
    <x v="1"/>
    <x v="1"/>
    <s v="Valašské Meziříčí"/>
    <s v="Valašské Meziříčí, Štěpánov 1066, PSČ 75701"/>
    <s v="93120"/>
    <s v="Činnosti sportovních klubů"/>
    <m/>
    <m/>
    <m/>
    <m/>
    <m/>
    <m/>
    <m/>
    <m/>
    <m/>
    <m/>
    <m/>
    <m/>
    <m/>
    <m/>
    <m/>
    <m/>
    <m/>
  </r>
  <r>
    <s v="48491977"/>
    <s v="Volejbalový sportovní klub Staré Město, z.s."/>
    <s v="706"/>
    <x v="1"/>
    <x v="2"/>
    <s v="Staré Město"/>
    <s v="Staré Město, Brněnská 1249, PSČ 68603"/>
    <s v="93110"/>
    <s v="Provozování sportovních zařízení"/>
    <m/>
    <m/>
    <m/>
    <m/>
    <m/>
    <m/>
    <m/>
    <m/>
    <m/>
    <m/>
    <m/>
    <m/>
    <m/>
    <m/>
    <m/>
    <m/>
    <m/>
  </r>
  <r>
    <s v="00567931"/>
    <s v="Volejbalový sportovní klub Zlín,z.s."/>
    <s v="706"/>
    <x v="1"/>
    <x v="0"/>
    <s v="Zlín"/>
    <s v="Zlín, Hradská 854, PSČ 76001"/>
    <s v="93110"/>
    <s v="Provozování sportovních zařízení"/>
    <m/>
    <m/>
    <m/>
    <m/>
    <m/>
    <m/>
    <m/>
    <m/>
    <m/>
    <m/>
    <m/>
    <m/>
    <m/>
    <m/>
    <m/>
    <m/>
    <m/>
  </r>
  <r>
    <s v="10970908"/>
    <s v="Volleyball camp Zlín, z. s.."/>
    <s v="706"/>
    <x v="1"/>
    <x v="0"/>
    <s v="Zlín"/>
    <s v="Zlín, Zarámí 4083, PSČ 76001"/>
    <s v="93190"/>
    <s v="Ostatní sportovní činnosti"/>
    <m/>
    <m/>
    <m/>
    <m/>
    <m/>
    <m/>
    <m/>
    <m/>
    <m/>
    <m/>
    <m/>
    <m/>
    <m/>
    <m/>
    <m/>
    <m/>
    <m/>
  </r>
  <r>
    <s v="47930071"/>
    <s v="Volleyball Club Kroměříž, z.s."/>
    <s v="706"/>
    <x v="1"/>
    <x v="3"/>
    <s v="Kroměříž"/>
    <s v="Kroměříž, Třasoňova 3344/8A, PSČ 76701"/>
    <s v="93110"/>
    <s v="Provozování sportovních zařízení"/>
    <m/>
    <m/>
    <m/>
    <m/>
    <m/>
    <m/>
    <m/>
    <m/>
    <m/>
    <m/>
    <m/>
    <m/>
    <m/>
    <m/>
    <m/>
    <m/>
    <m/>
  </r>
  <r>
    <s v="14279592"/>
    <s v="Volné divadlo, z. s."/>
    <s v="706"/>
    <x v="1"/>
    <x v="0"/>
    <s v="Vizovice"/>
    <s v="Vizovice, Chrastěšov 8, PSČ 76312"/>
    <s v="90010"/>
    <s v="Scénická umění"/>
    <m/>
    <m/>
    <m/>
    <m/>
    <m/>
    <m/>
    <m/>
    <m/>
    <m/>
    <m/>
    <m/>
    <m/>
    <m/>
    <m/>
    <m/>
    <m/>
    <m/>
  </r>
  <r>
    <s v="02266521"/>
    <s v="Volné občanské sdružení Uherský Ostroh"/>
    <s v="706"/>
    <x v="1"/>
    <x v="2"/>
    <s v="Uherský Ostroh"/>
    <s v="Uherský Ostroh, V zahradách 131, PSČ 687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17698"/>
    <s v="Volné sdružení Kanálka"/>
    <s v="706"/>
    <x v="1"/>
    <x v="0"/>
    <s v="Zlín"/>
    <s v="Zlín, Příluky, Přílucká 412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320306"/>
    <s v="Volnočasový spolek Bystřička"/>
    <s v="706"/>
    <x v="1"/>
    <x v="1"/>
    <s v="Bystřička"/>
    <s v="Bystřička 80, PSČ 756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669631"/>
    <s v="Von Macenau, z.s."/>
    <s v="706"/>
    <x v="1"/>
    <x v="0"/>
    <s v="Zlín"/>
    <s v="Zlín, Prštné, L. Váchy 51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709957"/>
    <s v="VONICA 80 o.p.s."/>
    <s v="141"/>
    <x v="2"/>
    <x v="0"/>
    <s v="Zlín"/>
    <s v="Zlín, třída Tomáše Bati 204, PSČ 76001"/>
    <s v="900"/>
    <s v="Tvůrčí, umělecké a zábavní činnosti"/>
    <s v="Umělecké vzdělávání"/>
    <s v="Ostatní vzdělávání j. n."/>
    <s v="Vzdělávání v jazykových školách"/>
    <m/>
    <m/>
    <m/>
    <m/>
    <m/>
    <m/>
    <m/>
    <m/>
    <m/>
    <m/>
    <m/>
    <m/>
    <m/>
    <m/>
  </r>
  <r>
    <s v="49156527"/>
    <s v="VONIČKA Zlín z. s."/>
    <s v="706"/>
    <x v="1"/>
    <x v="0"/>
    <s v="Zlín"/>
    <s v="Zlín, Gahurova 5265, PSČ 76001"/>
    <s v="90030"/>
    <s v="Umělecká tvorba"/>
    <m/>
    <m/>
    <m/>
    <m/>
    <m/>
    <m/>
    <m/>
    <m/>
    <m/>
    <m/>
    <m/>
    <m/>
    <m/>
    <m/>
    <m/>
    <m/>
    <m/>
  </r>
  <r>
    <s v="22676619"/>
    <s v="&quot;VOSA Hrachovec, z. s.&quot;"/>
    <s v="706"/>
    <x v="1"/>
    <x v="1"/>
    <s v="Valašské Meziříčí"/>
    <s v="Valašské Meziříčí, Hrachovec 270, PSČ 75701"/>
    <s v="93110"/>
    <s v="Provozování sportovních zařízení"/>
    <m/>
    <m/>
    <m/>
    <m/>
    <m/>
    <m/>
    <m/>
    <m/>
    <m/>
    <m/>
    <m/>
    <m/>
    <m/>
    <m/>
    <m/>
    <m/>
    <m/>
  </r>
  <r>
    <s v="21871230"/>
    <s v="VR Production klub v AČR"/>
    <s v="736"/>
    <x v="0"/>
    <x v="0"/>
    <s v="Tlumačov"/>
    <s v="Tlumačov, Dr. Ignáce Horníčka 900, PSČ 7636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3543340"/>
    <s v="Vrchařská koruna Valašska z. s."/>
    <s v="706"/>
    <x v="1"/>
    <x v="1"/>
    <s v="Vsetín"/>
    <s v="Vsetín, Dolní Jasenka 750, PSČ 75501"/>
    <s v="9319"/>
    <s v="Ostatní sportovní činnosti"/>
    <m/>
    <m/>
    <m/>
    <m/>
    <m/>
    <m/>
    <m/>
    <m/>
    <m/>
    <m/>
    <m/>
    <m/>
    <m/>
    <m/>
    <m/>
    <m/>
    <m/>
  </r>
  <r>
    <s v="48773531"/>
    <s v="&quot;Vrkoč, z.s.&quot;"/>
    <s v="706"/>
    <x v="1"/>
    <x v="1"/>
    <s v="Vsetín"/>
    <s v="Vsetín, Jasenická 1796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807240"/>
    <s v="VRV pro sport z.s."/>
    <s v="706"/>
    <x v="1"/>
    <x v="1"/>
    <s v="Valašské Meziříčí"/>
    <s v="Valašské Meziříčí, Krásno nad Bečvou, Na Šištotě 276, PSČ 75701"/>
    <s v="93190"/>
    <s v="Ostatní sportovní činnosti"/>
    <m/>
    <m/>
    <m/>
    <m/>
    <m/>
    <m/>
    <m/>
    <m/>
    <m/>
    <m/>
    <m/>
    <m/>
    <m/>
    <m/>
    <m/>
    <m/>
    <m/>
  </r>
  <r>
    <s v="22718532"/>
    <s v="VRV TEAM, z.s."/>
    <s v="706"/>
    <x v="1"/>
    <x v="1"/>
    <s v="Valašské Meziříčí"/>
    <s v="Valašské Meziříčí, Šípková 1334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17113563"/>
    <s v="VRZOT z. s."/>
    <s v="706"/>
    <x v="1"/>
    <x v="2"/>
    <s v="Buchlovice"/>
    <s v="Buchlovice, Arnošta Hrabala 114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838614"/>
    <s v="Vsacan Art z.s."/>
    <s v="706"/>
    <x v="1"/>
    <x v="1"/>
    <s v="Jablůnka"/>
    <s v="Jablůnka 263, PSČ 756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2476"/>
    <s v="Vsacánek z. s."/>
    <s v="706"/>
    <x v="1"/>
    <x v="1"/>
    <s v="Vsetín"/>
    <s v="Vsetín, Svárov 1055, PSČ 75501"/>
    <s v="90030"/>
    <s v="Umělecká tvorba"/>
    <m/>
    <m/>
    <m/>
    <m/>
    <m/>
    <m/>
    <m/>
    <m/>
    <m/>
    <m/>
    <m/>
    <m/>
    <m/>
    <m/>
    <m/>
    <m/>
    <m/>
  </r>
  <r>
    <s v="01209311"/>
    <s v="Vsetín Jokers z. s."/>
    <s v="706"/>
    <x v="1"/>
    <x v="1"/>
    <s v="Vsetín"/>
    <s v="Vsetín, Lázky 2085, PSČ 75501"/>
    <s v="93110"/>
    <s v="Provozování sportovních zařízení"/>
    <m/>
    <m/>
    <m/>
    <m/>
    <m/>
    <m/>
    <m/>
    <m/>
    <m/>
    <m/>
    <m/>
    <m/>
    <m/>
    <m/>
    <m/>
    <m/>
    <m/>
  </r>
  <r>
    <s v="26561328"/>
    <s v="&quot;Vsetínská hudební společnost&quot;, z. s."/>
    <s v="706"/>
    <x v="1"/>
    <x v="1"/>
    <s v="Vsetín"/>
    <s v="Vsetín, Ohrada 1865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720589"/>
    <s v="Vsetínské fórum, z.s."/>
    <s v="706"/>
    <x v="1"/>
    <x v="1"/>
    <s v="Vsetín"/>
    <s v="Vsetín, Zbrojovácká 944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582705"/>
    <s v="Vsetínský basket, z.s."/>
    <s v="706"/>
    <x v="1"/>
    <x v="1"/>
    <s v="Vsetín"/>
    <s v="Vsetín, Rokytnice, Okružní 410, PSČ 75501"/>
    <s v="93190"/>
    <s v="Ostatní sportovní činnosti"/>
    <m/>
    <m/>
    <m/>
    <m/>
    <m/>
    <m/>
    <m/>
    <m/>
    <m/>
    <m/>
    <m/>
    <m/>
    <m/>
    <m/>
    <m/>
    <m/>
    <m/>
  </r>
  <r>
    <s v="26558696"/>
    <s v="Vsetínsport o.s."/>
    <s v="706"/>
    <x v="1"/>
    <x v="1"/>
    <s v="Vsetín"/>
    <s v="Vsetín, 4. května 1220, PSČ 75501"/>
    <s v="93190"/>
    <s v="Ostatní sportovní činnosti"/>
    <m/>
    <m/>
    <m/>
    <m/>
    <m/>
    <m/>
    <m/>
    <m/>
    <m/>
    <m/>
    <m/>
    <m/>
    <m/>
    <m/>
    <m/>
    <m/>
    <m/>
  </r>
  <r>
    <s v="21230692"/>
    <s v="VSPT Bača, z.s."/>
    <s v="706"/>
    <x v="1"/>
    <x v="1"/>
    <s v="Valašské Meziříčí"/>
    <s v="Valašské Meziříčí, Krásno nad Bečvou, Křižná 658/42, PSČ 75701"/>
    <s v="855"/>
    <s v="Ostatní vzdělávání"/>
    <s v="Výroba, obchod a služby neuvedené v přílohách 1 až 3 živnostenského zákona"/>
    <s v="Poskytování ostatních osobních služeb"/>
    <s v="Ostatní sportovní činnosti"/>
    <m/>
    <m/>
    <m/>
    <m/>
    <m/>
    <m/>
    <m/>
    <m/>
    <m/>
    <m/>
    <m/>
    <m/>
    <m/>
    <m/>
  </r>
  <r>
    <s v="02093707"/>
    <s v="Všetuláci sobě, z.s."/>
    <s v="706"/>
    <x v="1"/>
    <x v="3"/>
    <s v="Holešov"/>
    <s v="Holešov, Všetuly, 6. května 20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142757"/>
    <s v="Všudybyl z.s."/>
    <s v="706"/>
    <x v="1"/>
    <x v="0"/>
    <s v="Zlín"/>
    <s v="Zlín, Prštné, Hrabůvky 63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53338"/>
    <s v="VV Ecurie"/>
    <s v="706"/>
    <x v="1"/>
    <x v="1"/>
    <s v="Lešná"/>
    <s v="Lešná, Příluky 5, PSČ 75641"/>
    <s v="93190"/>
    <s v="Ostatní sportovní činnosti"/>
    <m/>
    <m/>
    <m/>
    <m/>
    <m/>
    <m/>
    <m/>
    <m/>
    <m/>
    <m/>
    <m/>
    <m/>
    <m/>
    <m/>
    <m/>
    <m/>
    <m/>
  </r>
  <r>
    <s v="48739201"/>
    <s v="Východomoravský seniorát Českobratrské církve evangelické"/>
    <s v="722"/>
    <x v="5"/>
    <x v="2"/>
    <s v="Uherské Hradiště"/>
    <s v="Uherské Hradiště, Jana Blahoslava 419, PSČ 68601"/>
    <s v="94910"/>
    <s v="Činnosti náboženských organizací"/>
    <m/>
    <m/>
    <m/>
    <m/>
    <m/>
    <m/>
    <m/>
    <m/>
    <m/>
    <m/>
    <m/>
    <m/>
    <m/>
    <m/>
    <m/>
    <m/>
    <m/>
  </r>
  <r>
    <s v="19329920"/>
    <s v="Výchova a výcvik psů - Human Dog Coach, z.s."/>
    <s v="706"/>
    <x v="1"/>
    <x v="3"/>
    <s v="Bořenovice"/>
    <s v="Bořenovice 52, PSČ 76901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04436415"/>
    <s v="Výchovně vzdělávací a sociální centrum, z. ú."/>
    <s v="161"/>
    <x v="3"/>
    <x v="0"/>
    <s v="Zlín"/>
    <s v="Zlín, Zarámí 132, PSČ 76001"/>
    <s v="94991"/>
    <s v="Činnosti organizací dětí a mládeže"/>
    <m/>
    <m/>
    <m/>
    <m/>
    <m/>
    <m/>
    <m/>
    <m/>
    <m/>
    <m/>
    <m/>
    <m/>
    <m/>
    <m/>
    <m/>
    <m/>
    <m/>
  </r>
  <r>
    <s v="02009021"/>
    <s v="Výchovně-vzdělávací centrum STUDÁNKA"/>
    <s v="706"/>
    <x v="1"/>
    <x v="0"/>
    <s v="Zlín"/>
    <s v="Zlín, Ševcovská 522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7279"/>
    <s v="„Vykopávky”"/>
    <s v="706"/>
    <x v="1"/>
    <x v="0"/>
    <s v="Spytihněv"/>
    <s v="Spytihněv 174, PSČ 763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3690311"/>
    <s v="Vysokoškolský sportovní klub UNIVERZITA Zlín, z.s."/>
    <s v="706"/>
    <x v="1"/>
    <x v="0"/>
    <s v="Zlín"/>
    <s v="Zlín, Mostní 5139, PSČ 76001"/>
    <s v="93110"/>
    <s v="Provozování sportovních zařízení"/>
    <m/>
    <m/>
    <m/>
    <m/>
    <m/>
    <m/>
    <m/>
    <m/>
    <m/>
    <m/>
    <m/>
    <m/>
    <m/>
    <m/>
    <m/>
    <m/>
    <m/>
  </r>
  <r>
    <s v="27052907"/>
    <s v="Výstavba kaple Slavičín-Hrádek, z s."/>
    <s v="706"/>
    <x v="1"/>
    <x v="0"/>
    <s v="Slavičín"/>
    <s v="Slavičín, Mladotické nábřeží 419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962328"/>
    <s v="Výtah, z. s."/>
    <s v="706"/>
    <x v="1"/>
    <x v="0"/>
    <s v="Zlín"/>
    <s v="Zlín, Hluboká 4145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664829"/>
    <s v="Výtvarná polepšovna, z.s."/>
    <s v="706"/>
    <x v="1"/>
    <x v="2"/>
    <s v="Bílovice"/>
    <s v="Bílovice 519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3563"/>
    <s v="Výtvarný spolek G"/>
    <s v="706"/>
    <x v="1"/>
    <x v="0"/>
    <s v="Valašské Klobouky"/>
    <s v="Valašské Klobouky, Koželužská 690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19225"/>
    <s v="Výtvarný spolek Vincúch"/>
    <s v="706"/>
    <x v="1"/>
    <x v="0"/>
    <s v="Valašské Klobouky"/>
    <s v="Valašské Klobouky, Koželužská 690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842149"/>
    <s v="Vzdělávací a komunitní centrum Integra Vsetín o.p.s."/>
    <s v="141"/>
    <x v="2"/>
    <x v="1"/>
    <s v="Vsetín"/>
    <s v="Vsetín, Na Rybníkách 1628, PSČ 75501"/>
    <s v="8899"/>
    <s v="Ostatní ambulantní nebo terénní sociální služby j. n."/>
    <s v="Ostatní vzdělávání j. n."/>
    <m/>
    <m/>
    <m/>
    <m/>
    <m/>
    <m/>
    <m/>
    <m/>
    <m/>
    <m/>
    <m/>
    <m/>
    <m/>
    <m/>
    <m/>
    <m/>
  </r>
  <r>
    <s v="19717016"/>
    <s v="Vzdělávací a volnočasové centrum Semínko, z. s."/>
    <s v="706"/>
    <x v="1"/>
    <x v="1"/>
    <s v="Rožnov pod Radhoštěm"/>
    <s v="Rožnov pod Radhoštěm, 1. máje 1164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522301"/>
    <s v="Vzdělávací institut Kormidlo z.s."/>
    <s v="706"/>
    <x v="1"/>
    <x v="1"/>
    <s v="Rožnov pod Radhoštěm"/>
    <s v="Rožnov pod Radhoštěm, Chodská 697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269501"/>
    <s v="Vzdělávací, sociální a kulturní středisko při Nadaci Jana Pivečky, o.p.s."/>
    <s v="141"/>
    <x v="2"/>
    <x v="0"/>
    <s v="Slavičín"/>
    <s v="Slavičín, Horní náměstí 111, PSČ 76321"/>
    <s v="8559"/>
    <s v="Ostatní vzdělávání j. n."/>
    <s v="Ambulantní nebo terénní sociální služby"/>
    <s v="Vydávání knih, periodických publikací a ostatní vydavatelské činnosti"/>
    <s v="Reklamní činnosti"/>
    <s v="Pronájem a leasing výrobků pro osobní potřebu a převážně pro domácnost"/>
    <s v="Stravování v restauracích, u stánků a v mobilních zařízeních"/>
    <s v="Zprostředkovatelské činnosti realitních agentur"/>
    <s v="Překladatelské a tlumočnické činnosti"/>
    <s v="Ostatní zábavní a rekreační činnosti j. n."/>
    <m/>
    <m/>
    <m/>
    <m/>
    <m/>
    <m/>
    <m/>
    <m/>
    <m/>
  </r>
  <r>
    <s v="22900098"/>
    <s v="Walachian Tribe o.s."/>
    <s v="706"/>
    <x v="1"/>
    <x v="0"/>
    <s v="Zlín"/>
    <s v="Zlín, Okružní 4725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41731"/>
    <s v="WALAŠSKÝ RALLY KLUB v AČR"/>
    <s v="736"/>
    <x v="0"/>
    <x v="1"/>
    <s v="Valašská Bystřice"/>
    <s v="Valašská Bystřice 203, PSČ 7562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490139"/>
    <s v="Waldorfská základní škola Jasan z. s."/>
    <s v="706"/>
    <x v="1"/>
    <x v="0"/>
    <s v="Zlín"/>
    <s v="Zlín, Nad Ovčírnou V 1778/11, PSČ 76001"/>
    <s v="94999"/>
    <s v="Činnosti ostatních organizací j. n."/>
    <m/>
    <m/>
    <m/>
    <m/>
    <m/>
    <m/>
    <m/>
    <m/>
    <m/>
    <m/>
    <m/>
    <m/>
    <m/>
    <m/>
    <m/>
    <m/>
    <m/>
  </r>
  <r>
    <s v="05361346"/>
    <s v="Wallachia Art z.s."/>
    <s v="706"/>
    <x v="1"/>
    <x v="1"/>
    <s v="Police"/>
    <s v="Police 64, PSČ 756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641846"/>
    <s v="Wallachia z.s."/>
    <s v="706"/>
    <x v="1"/>
    <x v="1"/>
    <s v="Valašské Meziříčí"/>
    <s v="Valašské Meziříčí, Nerudova 635/29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54515"/>
    <s v="WALLACHIAN o. s."/>
    <s v="706"/>
    <x v="1"/>
    <x v="1"/>
    <s v="Vsetín"/>
    <s v="Vsetín, Na Rybníkách 1312, PSČ 75501"/>
    <s v="9499"/>
    <s v="Činnosti ostatních organizací sdružujících osoby za účelem prosazování společných zájmů j. n."/>
    <s v="Pěstování plodin jiných než trvalých"/>
    <s v="Živočišná výroba"/>
    <s v="Podpůrné činnosti pro zemědělství a posklizňové činnosti"/>
    <s v="Podpůrné činnosti pro lesnictví"/>
    <s v="Sladkovodní akvakultura"/>
    <m/>
    <m/>
    <m/>
    <m/>
    <m/>
    <m/>
    <m/>
    <m/>
    <m/>
    <m/>
    <m/>
    <m/>
  </r>
  <r>
    <s v="05054893"/>
    <s v="Wallachian Scooter rider, z.s."/>
    <s v="706"/>
    <x v="1"/>
    <x v="1"/>
    <s v="Rožnov pod Radhoštěm"/>
    <s v="Rožnov pod Radhoštěm, Palackého 2205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445841"/>
    <s v="War Sports Team Slavičín z. s."/>
    <s v="706"/>
    <x v="1"/>
    <x v="0"/>
    <s v="Slavičín"/>
    <s v="Slavičín, Jasmínová 463, PSČ 76321"/>
    <s v="93190"/>
    <s v="Ostatní sportovní činnosti"/>
    <m/>
    <m/>
    <m/>
    <m/>
    <m/>
    <m/>
    <m/>
    <m/>
    <m/>
    <m/>
    <m/>
    <m/>
    <m/>
    <m/>
    <m/>
    <m/>
    <m/>
  </r>
  <r>
    <s v="27006409"/>
    <s v="WBC"/>
    <s v="706"/>
    <x v="1"/>
    <x v="0"/>
    <s v="Otrokovice"/>
    <s v="Přístavní 522, 765 02 Otrokovice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382353"/>
    <s v="W-club z.s."/>
    <s v="706"/>
    <x v="1"/>
    <x v="1"/>
    <s v="Vidče"/>
    <s v="Vidče 366, PSČ 7565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23389"/>
    <s v="WeAreGuards, z.s."/>
    <s v="706"/>
    <x v="1"/>
    <x v="0"/>
    <s v="Tlumačov"/>
    <s v="Tlumačov, Nádražní 204, PSČ 7636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63615"/>
    <s v="WESTERN HORSE CLUB, z.s."/>
    <s v="706"/>
    <x v="1"/>
    <x v="1"/>
    <s v="Poličná"/>
    <s v="Poličná 57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91147"/>
    <s v="Western Riding club Czech republic - sekce Rožnov"/>
    <s v="736"/>
    <x v="0"/>
    <x v="1"/>
    <s v="Rožnov pod Radhoštěm"/>
    <s v="Rožnov pod Radhoštěm, Čs. armády 124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822455"/>
    <s v="Western Riding Club České republiky Oblastní sekce Zlín"/>
    <s v="736"/>
    <x v="0"/>
    <x v="0"/>
    <s v="Zlín"/>
    <s v="Zlín, Kvítková 3687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7269731"/>
    <s v="Western Riding Club České republiky, z.s."/>
    <s v="706"/>
    <x v="1"/>
    <x v="0"/>
    <s v="Jasenná"/>
    <s v="Jasenná 227, PSČ 7631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3458497"/>
    <s v="WESTERN RIDING CLUB ČR Sekce RANCH U ZTRACENÉ PODKOVY FRYŠTÁK"/>
    <s v="736"/>
    <x v="0"/>
    <x v="0"/>
    <s v="Fryšták"/>
    <s v="Fryšták, Potoky 114, PSČ 76316"/>
    <s v="93120"/>
    <s v="Činnosti sportovních klubů"/>
    <s v="Živočišná výroba"/>
    <m/>
    <m/>
    <m/>
    <m/>
    <m/>
    <m/>
    <m/>
    <m/>
    <m/>
    <m/>
    <m/>
    <m/>
    <m/>
    <m/>
    <m/>
    <m/>
  </r>
  <r>
    <s v="19857560"/>
    <s v="WESTERN SPORT ŽLUTAVA z.s."/>
    <s v="706"/>
    <x v="1"/>
    <x v="0"/>
    <s v="Žlutava"/>
    <s v="Žlutava 389, PSČ 76361"/>
    <s v="93190"/>
    <s v="Ostatní sportovní činnosti"/>
    <m/>
    <m/>
    <m/>
    <m/>
    <m/>
    <m/>
    <m/>
    <m/>
    <m/>
    <m/>
    <m/>
    <m/>
    <m/>
    <m/>
    <m/>
    <m/>
    <m/>
  </r>
  <r>
    <s v="22740040"/>
    <s v="Westerňáci"/>
    <s v="706"/>
    <x v="1"/>
    <x v="3"/>
    <s v="Chropyně"/>
    <s v="Chropyně, Nádražní 645, PSČ 76811"/>
    <s v="93190"/>
    <s v="Ostatní sportovní činnosti"/>
    <m/>
    <m/>
    <m/>
    <m/>
    <m/>
    <m/>
    <m/>
    <m/>
    <m/>
    <m/>
    <m/>
    <m/>
    <m/>
    <m/>
    <m/>
    <m/>
    <m/>
  </r>
  <r>
    <s v="26594129"/>
    <s v="Wind Solar, z.s."/>
    <s v="706"/>
    <x v="1"/>
    <x v="1"/>
    <s v="Valašské Meziříčí"/>
    <s v="č.p. 69, 757 01 Valašské Meziříčí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939751"/>
    <s v="WOLFHOUND KLUB, z.s."/>
    <s v="706"/>
    <x v="1"/>
    <x v="0"/>
    <s v="Zlín"/>
    <s v="Zlín, Kostelec, Štípská 505, PSČ 7631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96679"/>
    <s v="World Association of Karate Jutsu z. s."/>
    <s v="706"/>
    <x v="1"/>
    <x v="0"/>
    <s v="Zlín"/>
    <s v="Zlín, Javorová 4518, PSČ 76005"/>
    <s v="93110"/>
    <s v="Provozování sportovních zařízení"/>
    <m/>
    <m/>
    <m/>
    <m/>
    <m/>
    <m/>
    <m/>
    <m/>
    <m/>
    <m/>
    <m/>
    <m/>
    <m/>
    <m/>
    <m/>
    <m/>
    <m/>
  </r>
  <r>
    <s v="23152885"/>
    <s v="WORLD ASSOCIATION OF TUER, z.s."/>
    <s v="706"/>
    <x v="1"/>
    <x v="0"/>
    <s v="Zlín"/>
    <s v="Zlín, Kvítková 7148, PSČ 76001"/>
    <s v="94995"/>
    <s v="Činnosti environmentálních a ekologických hnutí"/>
    <m/>
    <m/>
    <m/>
    <m/>
    <m/>
    <m/>
    <m/>
    <m/>
    <m/>
    <m/>
    <m/>
    <m/>
    <m/>
    <m/>
    <m/>
    <m/>
    <m/>
  </r>
  <r>
    <s v="75037262"/>
    <s v="WRC RANCH VALAŠSKO"/>
    <s v="736"/>
    <x v="0"/>
    <x v="1"/>
    <s v="Rožnov pod Radhoštěm"/>
    <s v="Rožnov pod Radhoštěm, Čs. armády 1243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3745"/>
    <s v="X-Ride Team Lešná, z.s."/>
    <s v="706"/>
    <x v="1"/>
    <x v="1"/>
    <s v="Lešná"/>
    <s v="Lešná 108, PSČ 7564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552027"/>
    <s v="YACET-MLÁDEŽ, UMĚNÍ A KREATIVITA V EVROPĚ"/>
    <s v="706"/>
    <x v="1"/>
    <x v="2"/>
    <s v="Uherské Hradiště"/>
    <s v="Uherské Hradiště, Vodní 121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7172"/>
    <s v="YACHT CLUB Chrášťany z.s."/>
    <s v="706"/>
    <x v="1"/>
    <x v="3"/>
    <s v="Hulín"/>
    <s v="Hulín, Chrášťany 49, PSČ 76824"/>
    <s v="93190"/>
    <s v="Ostatní sportovní činnosti"/>
    <m/>
    <m/>
    <m/>
    <m/>
    <m/>
    <m/>
    <m/>
    <m/>
    <m/>
    <m/>
    <m/>
    <m/>
    <m/>
    <m/>
    <m/>
    <m/>
    <m/>
  </r>
  <r>
    <s v="14612003"/>
    <s v="YACHT CLUB MEZ VSETÍN, z.s."/>
    <s v="706"/>
    <x v="1"/>
    <x v="1"/>
    <s v="Vsetín"/>
    <s v="Vsetín, Ohrada 2051, PSČ 75501"/>
    <s v="93110"/>
    <s v="Provozování sportovních zařízení"/>
    <s v="Ubytování v hotelích a podobných ubytovacích zařízeních"/>
    <s v="Stavba rekreačních a sportovních člunů"/>
    <m/>
    <m/>
    <m/>
    <m/>
    <m/>
    <m/>
    <m/>
    <m/>
    <m/>
    <m/>
    <m/>
    <m/>
    <m/>
    <m/>
    <m/>
  </r>
  <r>
    <s v="02922061"/>
    <s v="Yacht Club Yachta´s z.s."/>
    <s v="706"/>
    <x v="1"/>
    <x v="0"/>
    <s v="Zlín"/>
    <s v="Zlín, Losky 3071, PSČ 76001"/>
    <s v="93120"/>
    <s v="Činnosti sportovních klubů"/>
    <m/>
    <m/>
    <m/>
    <m/>
    <m/>
    <m/>
    <m/>
    <m/>
    <m/>
    <m/>
    <m/>
    <m/>
    <m/>
    <m/>
    <m/>
    <m/>
    <m/>
  </r>
  <r>
    <s v="19570309"/>
    <s v="Yak55 Aerobatic Team z.s."/>
    <s v="706"/>
    <x v="1"/>
    <x v="1"/>
    <s v="Rožnov pod Radhoštěm"/>
    <s v="Rožnov pod Radhoštěm, Koryčanské Paseky 461, PSČ 75661"/>
    <s v="93120"/>
    <s v="Činnosti sportovních klubů"/>
    <m/>
    <m/>
    <m/>
    <m/>
    <m/>
    <m/>
    <m/>
    <m/>
    <m/>
    <m/>
    <m/>
    <m/>
    <m/>
    <m/>
    <m/>
    <m/>
    <m/>
  </r>
  <r>
    <s v="01192949"/>
    <s v="YAMAMOTO Czech z.s."/>
    <s v="706"/>
    <x v="1"/>
    <x v="3"/>
    <s v="Kroměříž"/>
    <s v="Kroměříž, U Rejdiště 3730/11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878560"/>
    <s v="Yellow Hills z. s."/>
    <s v="706"/>
    <x v="1"/>
    <x v="0"/>
    <s v="Žlutava"/>
    <s v="Žlutava 57, PSČ 76361"/>
    <s v="93190"/>
    <s v="Ostatní sportovní činnosti"/>
    <m/>
    <m/>
    <m/>
    <m/>
    <m/>
    <m/>
    <m/>
    <m/>
    <m/>
    <m/>
    <m/>
    <m/>
    <m/>
    <m/>
    <m/>
    <m/>
    <m/>
  </r>
  <r>
    <s v="01829882"/>
    <s v="„Yggdrasil”"/>
    <s v="706"/>
    <x v="1"/>
    <x v="3"/>
    <s v="Kroměříž"/>
    <s v="Kroměříž, Máchova 2493/6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861444"/>
    <s v="Yoga Slavičín, z.s."/>
    <s v="706"/>
    <x v="1"/>
    <x v="0"/>
    <s v="Slavičín"/>
    <s v="Slavičín, Dlouhá 627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757541"/>
    <s v="YogafestZLÍN z.s."/>
    <s v="706"/>
    <x v="1"/>
    <x v="0"/>
    <s v="Zlín"/>
    <s v="Zlín, nám. T. G. Masaryka 243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192042"/>
    <s v="YOUNG BOYS BAŤOV OTROKOVICE"/>
    <s v="736"/>
    <x v="0"/>
    <x v="0"/>
    <s v="Otrokovice"/>
    <s v="Otrokovice, Štěrkoviště 1295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5754"/>
    <s v="&quot;Young Music, o.s.&quot;"/>
    <s v="706"/>
    <x v="1"/>
    <x v="1"/>
    <s v="Valašské Meziříčí"/>
    <s v="Valašské Meziříčí, Kraiczova 519/24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083211"/>
    <s v="YOUnited z. s."/>
    <s v="706"/>
    <x v="1"/>
    <x v="3"/>
    <s v="Kroměříž"/>
    <s v="Kroměříž, Havlíčkova 2788/135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447719"/>
    <s v="Youth+ z.s."/>
    <s v="706"/>
    <x v="1"/>
    <x v="1"/>
    <s v="Rožnov pod Radhoštěm"/>
    <s v="Rožnov pod Radhoštěm, Pod strání č. ev. 226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273018"/>
    <s v="Z - team Zlín, z. s."/>
    <s v="706"/>
    <x v="1"/>
    <x v="0"/>
    <s v="Březnice"/>
    <s v="Březnice 55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57605"/>
    <s v="Z JUNIOR o.s."/>
    <s v="706"/>
    <x v="1"/>
    <x v="1"/>
    <s v="Vsetín"/>
    <s v="Horní Jasenka 180, 755 01 Vsetín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41454"/>
    <s v="Z kola ven, z. s."/>
    <s v="706"/>
    <x v="1"/>
    <x v="0"/>
    <s v="Fryšták"/>
    <s v="Fryšták, Horní Ves, Lesní čtvrť 419, PSČ 76316"/>
    <s v="94992"/>
    <s v="Činnosti organizací na podporu kulturní činnosti"/>
    <m/>
    <m/>
    <m/>
    <m/>
    <m/>
    <m/>
    <m/>
    <m/>
    <m/>
    <m/>
    <m/>
    <m/>
    <m/>
    <m/>
    <m/>
    <m/>
    <m/>
  </r>
  <r>
    <s v="61704172"/>
    <s v="z. s. Sokol Částkov"/>
    <s v="706"/>
    <x v="1"/>
    <x v="2"/>
    <s v="Částkov"/>
    <s v="Částkov 86, PSČ 68712"/>
    <s v="93110"/>
    <s v="Provozování sportovních zařízení"/>
    <m/>
    <m/>
    <m/>
    <m/>
    <m/>
    <m/>
    <m/>
    <m/>
    <m/>
    <m/>
    <m/>
    <m/>
    <m/>
    <m/>
    <m/>
    <m/>
    <m/>
  </r>
  <r>
    <s v="26605953"/>
    <s v="Za Krásno krásnější z.s."/>
    <s v="706"/>
    <x v="1"/>
    <x v="1"/>
    <s v="Valašské Meziříčí"/>
    <s v="Valašské Meziříčí, Krásno nad Bečvou, Zámecká 364/5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70941"/>
    <s v="Za Krhovou klidnější, krásnější a zdravější z.s."/>
    <s v="706"/>
    <x v="1"/>
    <x v="1"/>
    <s v="Krhová"/>
    <s v="Krhová, Hlavní 139, PSČ 756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04782"/>
    <s v="Za lepší život v Újezdci"/>
    <s v="706"/>
    <x v="1"/>
    <x v="2"/>
    <s v="Újezdec"/>
    <s v="Újezdec 11, PSČ 68741"/>
    <s v="94995"/>
    <s v="Činnosti environmentálních a ekologických hnutí"/>
    <m/>
    <m/>
    <m/>
    <m/>
    <m/>
    <m/>
    <m/>
    <m/>
    <m/>
    <m/>
    <m/>
    <m/>
    <m/>
    <m/>
    <m/>
    <m/>
    <m/>
  </r>
  <r>
    <s v="22825151"/>
    <s v="&quot;Za lepší životní prostředí v Otrokovicích, z.s.&quot;"/>
    <s v="706"/>
    <x v="1"/>
    <x v="0"/>
    <s v="Otrokovice"/>
    <s v="Otrokovice, tř. Spojenců 717, PSČ 76502"/>
    <s v="94995"/>
    <s v="Činnosti environmentálních a ekologických hnutí"/>
    <m/>
    <m/>
    <m/>
    <m/>
    <m/>
    <m/>
    <m/>
    <m/>
    <m/>
    <m/>
    <m/>
    <m/>
    <m/>
    <m/>
    <m/>
    <m/>
    <m/>
  </r>
  <r>
    <s v="22853961"/>
    <s v="„Za obec Prlov krásnější, o.s.”"/>
    <s v="706"/>
    <x v="1"/>
    <x v="1"/>
    <s v="Prlov"/>
    <s v="Prlov čp. 14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4571"/>
    <s v="ZA POZLOVICE z.s."/>
    <s v="706"/>
    <x v="1"/>
    <x v="0"/>
    <s v="Pozlovice"/>
    <s v="Pozlovice, Pod Větrníkem 60, PSČ 7632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45319"/>
    <s v="&quot;Za rozvoj Baťova kanálu&quot;"/>
    <s v="706"/>
    <x v="1"/>
    <x v="0"/>
    <s v="Spytihněv"/>
    <s v="Spytihněv 329, PSČ 7636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1531"/>
    <s v="Za sklem o.s."/>
    <s v="706"/>
    <x v="1"/>
    <x v="0"/>
    <s v="Zlín"/>
    <s v="Zlín, Sedmdesátá 7055, PSČ 76001"/>
    <s v="8899"/>
    <s v="Ostatní ambulantní nebo terénní sociální služby j. n."/>
    <s v="Ambulantní nebo terénní sociální služby pro osoby se zdravotním postižením"/>
    <m/>
    <m/>
    <m/>
    <m/>
    <m/>
    <m/>
    <m/>
    <m/>
    <m/>
    <m/>
    <m/>
    <m/>
    <m/>
    <m/>
    <m/>
    <m/>
  </r>
  <r>
    <s v="09611606"/>
    <s v="Za události a osobnosti z.s."/>
    <s v="706"/>
    <x v="1"/>
    <x v="0"/>
    <s v="Březůvky"/>
    <s v="Březůvky 154, PSČ 76345"/>
    <s v="9499"/>
    <s v="Činnosti ostatních organizací sdružujících osoby za účelem prosazování společných zájmů j. n."/>
    <s v="Velkoobchod a maloobchod; opravy a údržba motorových vozidel"/>
    <s v="Výroba, obchod a služby neuvedené v přílohách 1 až 3 živnostenského zákona"/>
    <s v="Činnosti reklamních agentur"/>
    <s v="Podpůrné činnosti pro scénická umění"/>
    <s v="Ostatní sportovní činnosti"/>
    <m/>
    <m/>
    <m/>
    <m/>
    <m/>
    <m/>
    <m/>
    <m/>
    <m/>
    <m/>
    <m/>
    <m/>
  </r>
  <r>
    <s v="17084041"/>
    <s v="Za udržitelnost krajinného rázu a bezpečnosti na Černém kopečku v Zašové, z.s."/>
    <s v="706"/>
    <x v="1"/>
    <x v="1"/>
    <s v="Zašová"/>
    <s v="Zašová 802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418759"/>
    <s v="Za zachování rozmanité přírody, z.s."/>
    <s v="706"/>
    <x v="1"/>
    <x v="3"/>
    <s v="Koryčany"/>
    <s v="Koryčany, Petrželka 138, PSČ 76805"/>
    <s v="94995"/>
    <s v="Činnosti environmentálních a ekologických hnutí"/>
    <m/>
    <m/>
    <m/>
    <m/>
    <m/>
    <m/>
    <m/>
    <m/>
    <m/>
    <m/>
    <m/>
    <m/>
    <m/>
    <m/>
    <m/>
    <m/>
    <m/>
  </r>
  <r>
    <s v="23251841"/>
    <s v="Za záchranu Hřebčína Napajedla a chovu koní v něm, z.s."/>
    <s v="706"/>
    <x v="1"/>
    <x v="0"/>
    <s v="Napajedla"/>
    <s v="Napajedla, 1. máje 1053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845119"/>
    <s v="Za zdravé a krásné Holešovsko, z. s."/>
    <s v="706"/>
    <x v="1"/>
    <x v="3"/>
    <s v="Holešov"/>
    <s v="Holešov, Všetuly, Míru 316, PSČ 769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45137"/>
    <s v="Za zdravé Lešensko, z.s."/>
    <s v="706"/>
    <x v="1"/>
    <x v="1"/>
    <s v="Lešná"/>
    <s v="Lešná 98, PSČ 7564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26552914"/>
    <s v="Za zdravé město, z. s."/>
    <s v="706"/>
    <x v="1"/>
    <x v="0"/>
    <s v="Brumov-Bylnice"/>
    <s v="Brumov-Bylnice, Brumov, Na Vyhlídce 792, PSČ 7633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1578"/>
    <s v="Za zdravý Zlín"/>
    <s v="706"/>
    <x v="1"/>
    <x v="0"/>
    <s v="Zlín"/>
    <s v="Zlín, Hornomlýnská 84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452701"/>
    <s v="Za zdravý život - Fryšták Žaba, Horní Ves, z.s."/>
    <s v="706"/>
    <x v="1"/>
    <x v="0"/>
    <s v="Fryšták"/>
    <s v="Fryšták, Horní Ves, Lesní čtvrť 403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69144"/>
    <s v="Zachar - škola pro život, z.s."/>
    <s v="706"/>
    <x v="1"/>
    <x v="3"/>
    <s v="Kroměříž"/>
    <s v="Kroměříž, Albertova 4062/8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253572"/>
    <s v="Zachraň zvíře před sekačkou Zlínsko z.s."/>
    <s v="706"/>
    <x v="1"/>
    <x v="0"/>
    <s v="Zlín"/>
    <s v="Zlín, Zelinova 5587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183566"/>
    <s v="Zachraňme naše zdravotnictví, z. s."/>
    <s v="706"/>
    <x v="1"/>
    <x v="0"/>
    <s v="Zlín"/>
    <s v="Zlín, Louky, třída Tomáše Bati 227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04626"/>
    <s v="Záchranná brigáda kynologů Zlínského kraje"/>
    <s v="736"/>
    <x v="0"/>
    <x v="1"/>
    <s v="Valašské Meziříčí"/>
    <s v="Valašské Meziříčí, Podlesí 36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36006"/>
    <s v="Zachraňte Zádveřice"/>
    <s v="706"/>
    <x v="1"/>
    <x v="0"/>
    <s v="Zádveřice-Raková"/>
    <s v="Zádveřice-Raková, Zádveřice 441, PSČ 763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362431"/>
    <s v="Zahrádkáři Bezedné - Německé, z.s."/>
    <s v="706"/>
    <x v="1"/>
    <x v="0"/>
    <s v="Otrokovice"/>
    <s v="Otrokovice, Napajedelská 1903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83815"/>
    <s v="Zahrádkářský spolek Vlára"/>
    <s v="706"/>
    <x v="1"/>
    <x v="0"/>
    <s v="Slavičín"/>
    <s v="Slavičín, K Hájenkám 341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0045"/>
    <s v="Zahrádkářský spolek 1 Slavičín"/>
    <s v="706"/>
    <x v="1"/>
    <x v="0"/>
    <s v="Slavičín"/>
    <s v="Slavičín, Divnice 130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1716995"/>
    <s v="Zahrádkářský spolek 2 Slavičín"/>
    <s v="706"/>
    <x v="1"/>
    <x v="0"/>
    <s v="Slavičín"/>
    <s v="Slavičín, Okružní 659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522434"/>
    <s v="ZAJIŠTĚNÍ - při pobočce ŽSÚD ve Zlíně"/>
    <s v="706"/>
    <x v="1"/>
    <x v="0"/>
    <s v="Zlín"/>
    <s v="Zlín, Kvítková 395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085781"/>
    <s v="Zájmové a hudební soubory Všemina z. s."/>
    <s v="706"/>
    <x v="1"/>
    <x v="0"/>
    <s v="Všemina"/>
    <s v="Všemina 320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180177"/>
    <s v="Základní článek Asociace Brontosaura - dětský oddíl"/>
    <s v="736"/>
    <x v="0"/>
    <x v="0"/>
    <s v="Otrokovice"/>
    <s v="Otrokovice, B. Němcové 1206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8491527"/>
    <s v="Základní článek Hnutí Brontosaurus Mařatice"/>
    <s v="736"/>
    <x v="0"/>
    <x v="2"/>
    <s v="Uherské Hradiště"/>
    <s v="Uherské Hradiště, Šafaříkova 726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415528"/>
    <s v="Základní článek Hnutí Brontosaurus Oldomáš"/>
    <s v="736"/>
    <x v="0"/>
    <x v="2"/>
    <s v="Žítková"/>
    <s v="Žítková 7, PSČ 68774"/>
    <s v="94995"/>
    <s v="Činnosti environmentálních a ekologických hnutí"/>
    <m/>
    <m/>
    <m/>
    <m/>
    <m/>
    <m/>
    <m/>
    <m/>
    <m/>
    <m/>
    <m/>
    <m/>
    <m/>
    <m/>
    <m/>
    <m/>
    <m/>
  </r>
  <r>
    <s v="62832107"/>
    <s v="Základní kynologická organizace"/>
    <s v="736"/>
    <x v="0"/>
    <x v="2"/>
    <s v="Břestek"/>
    <s v="Břestek,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4018975"/>
    <s v="Základní organizace Českého zahrádkářského svazu Babice"/>
    <s v="736"/>
    <x v="0"/>
    <x v="2"/>
    <s v="Babice"/>
    <s v="Babice 470, PSČ 687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50151"/>
    <s v="Základní organizace Českého zahrádkářského svazu Bánov"/>
    <s v="736"/>
    <x v="0"/>
    <x v="2"/>
    <s v="Bánov"/>
    <s v="Bánov 42, PSČ 6875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2841"/>
    <s v="Základní organizace Českého zahrádkářského svazu Bílovice"/>
    <s v="736"/>
    <x v="0"/>
    <x v="2"/>
    <s v="Bílovice"/>
    <s v="Bílovice 69, PSČ 687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7401"/>
    <s v="Základní organizace Českého zahrádkářského svazu Bohuslavice nad Vláří"/>
    <s v="736"/>
    <x v="0"/>
    <x v="0"/>
    <s v="Bohuslavice nad Vláří"/>
    <s v="Bohuslavice nad Vláří 62, PSČ 763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022804"/>
    <s v="Základní organizace Českého zahrádkářského svazu Bohuslavice u Zlína"/>
    <s v="736"/>
    <x v="0"/>
    <x v="0"/>
    <s v="Zlín"/>
    <s v="Zlín, Podlesí IV 4960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901"/>
    <s v="Základní organizace Českého zahrádkářského svazu Brumov-Bylnice"/>
    <s v="736"/>
    <x v="0"/>
    <x v="0"/>
    <s v="Brumov-Bylnice"/>
    <s v="Brumov-Bylnice, Bylnice, Na Poříčí 405, PSČ 7633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8983"/>
    <s v="Základní organizace Českého zahrádkářského svazu, Březolupy"/>
    <s v="736"/>
    <x v="0"/>
    <x v="2"/>
    <s v="Březolupy"/>
    <s v="Březolupy 501, PSČ 6871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4439135"/>
    <s v="Základní organizace Českého zahrádkářského svazu Buchlovice"/>
    <s v="736"/>
    <x v="0"/>
    <x v="2"/>
    <s v="Buchlovice"/>
    <s v="Buchlovice, Na Lhotce 578, PSČ 6870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081"/>
    <s v="Základní organizace Českého zahrádkářského svazu Centroprojekt Zlín"/>
    <s v="736"/>
    <x v="0"/>
    <x v="0"/>
    <s v="Zlín"/>
    <s v="Zlín, Podvesná VI 308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2911"/>
    <s v="Základní organizace Českého zahrádkářského svazu Chvalčov"/>
    <s v="736"/>
    <x v="0"/>
    <x v="3"/>
    <s v="Chvalčov"/>
    <s v="Chvalčov, Na Kamenci 432, PSČ 7687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2902"/>
    <s v="Základní organizace Českého zahrádkářského svazu č. 1 Chropyně"/>
    <s v="736"/>
    <x v="0"/>
    <x v="3"/>
    <s v="Chropyně"/>
    <s v="Chropyně, Dr. Emila Axmana 279, PSČ 768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2899"/>
    <s v="Základní organizace Českého zahrádkářského svazu č. 1 Hulín"/>
    <s v="736"/>
    <x v="0"/>
    <x v="3"/>
    <s v="Hulín"/>
    <s v="Hulín, Žižkova 176, PSČ 768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2929"/>
    <s v="Základní organizace Českého zahrádkářského svazu č. 1 Kroměříž"/>
    <s v="736"/>
    <x v="0"/>
    <x v="3"/>
    <s v="Kroměříž"/>
    <s v="Kroměříž, Spáčilova 3069/10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2881"/>
    <s v="Základní organizace Českého zahrádkářského svazu č. 1 městská Bystřice pod Hostýnem"/>
    <s v="736"/>
    <x v="0"/>
    <x v="3"/>
    <s v="Bystřice pod Hostýnem"/>
    <s v="Bystřice pod Hostýnem, Rusavská 195, PSČ 768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311"/>
    <s v="Základní organizace Českého zahrádkářského svazu č. 10 Kroměříž"/>
    <s v="736"/>
    <x v="0"/>
    <x v="3"/>
    <s v="Kroměříž"/>
    <s v="Kroměříž, Slov. nár. povstání 3986/1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8951"/>
    <s v="Základní organizace Českého zahrádkářského svazu č. 2 Kroměříž"/>
    <s v="736"/>
    <x v="0"/>
    <x v="3"/>
    <s v="Kroměříž"/>
    <s v="Kroměříž, Talichova 3676/12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108"/>
    <s v="Základní organizace Českého zahrádkářského svazu č. 2 Zábřeh Bystřice pod Hostýnem"/>
    <s v="736"/>
    <x v="0"/>
    <x v="3"/>
    <s v="Bystřice pod Hostýnem"/>
    <s v="Bystřice pod Hostýnem, U Hřiště 1649, PSČ 768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8969"/>
    <s v="Základní organizace Českého zahrádkářského svazu č. 3 Slovan Kroměříž"/>
    <s v="736"/>
    <x v="0"/>
    <x v="3"/>
    <s v="Kroměříž"/>
    <s v="Kroměříž, Havlíčkova 1281/90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8900"/>
    <s v="Základní organizace Českého zahrádkářského svazu č. 4 Hulín"/>
    <s v="736"/>
    <x v="0"/>
    <x v="3"/>
    <s v="Hulín"/>
    <s v="Hulín, Záhlinická 475, PSČ 768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270312"/>
    <s v="Základní organizace Českého zahrádkářského svazu č. 4 Kroměříž Vážany"/>
    <s v="736"/>
    <x v="0"/>
    <x v="3"/>
    <s v="Kroměříž"/>
    <s v="Kroměříž, Vážany, Osvoboditelů 232/94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132"/>
    <s v="Základní organizace Českého zahrádkářského svazu č. 5 Kroměříž"/>
    <s v="736"/>
    <x v="0"/>
    <x v="3"/>
    <s v="Kroměříž"/>
    <s v="Kroměříž, 1. máje 217/6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3241"/>
    <s v="Základní organizace Českého zahrádkářského svazu č. 7 - U Strže Kroměříž"/>
    <s v="736"/>
    <x v="0"/>
    <x v="3"/>
    <s v="Kroměříž"/>
    <s v="Kroměříž, Nitranská 4066/4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8977"/>
    <s v="Základní organizace Českého zahrádkářského svazu č. 9 Kroměříž"/>
    <s v="736"/>
    <x v="0"/>
    <x v="3"/>
    <s v="Kroměříž"/>
    <s v="Kroměříž, Sládkova 2607/31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159"/>
    <s v="Základní organizace Českého zahrádkářského svazu č.2 Chropyně-Podlesí"/>
    <s v="736"/>
    <x v="0"/>
    <x v="3"/>
    <s v="Chropyně"/>
    <s v="Chropyně, Moravská 713, PSČ 768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281"/>
    <s v="Základní organizace Českého zahrádkářského svazu Dobrotice"/>
    <s v="736"/>
    <x v="0"/>
    <x v="3"/>
    <s v="Holešov"/>
    <s v="Holešov, Dobrotice 177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2581"/>
    <s v="Základní organizace Českého zahrádkářského svazu Dolní Němčí"/>
    <s v="736"/>
    <x v="0"/>
    <x v="2"/>
    <s v="Dolní Němčí"/>
    <s v="Dolní Němčí 1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5179"/>
    <s v="Základní organizace Českého zahrádkářského svazu Drnovice - Újezd"/>
    <s v="736"/>
    <x v="0"/>
    <x v="0"/>
    <s v="Drnovice"/>
    <s v="Drnovice 1, PSČ 763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124"/>
    <s v="Základní organizace Českého zahrádkářského svazu Družba 2 Hulín"/>
    <s v="736"/>
    <x v="0"/>
    <x v="3"/>
    <s v="Hulín"/>
    <s v="Hulín, Žižkova 1298, PSČ 768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38758"/>
    <s v="Základní organizace Českého zahrádkářského svazu Halenkov"/>
    <s v="736"/>
    <x v="0"/>
    <x v="1"/>
    <s v="Halenkov"/>
    <s v="Halenkov 24, PSČ 75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207"/>
    <s v="Základní organizace Českého zahrádkářského svazu Halenkovice"/>
    <s v="736"/>
    <x v="0"/>
    <x v="0"/>
    <s v="Halenkovice"/>
    <s v="Halenkovice 315, PSČ 7636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45219"/>
    <s v="Základní organizace Českého zahrádkářského svazu Helštýn Valašské Meziříčí"/>
    <s v="736"/>
    <x v="0"/>
    <x v="1"/>
    <s v="Valašské Meziříčí"/>
    <s v="Valašské Meziříčí, Krásno nad Bečvou, Růžová 153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8991"/>
    <s v="Základní organizace Českého zahrádkářského svazu Hluk"/>
    <s v="736"/>
    <x v="0"/>
    <x v="2"/>
    <s v="Hluk"/>
    <s v="Hluk, Vyšehradská 1167, PSČ 687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7934549"/>
    <s v="Základní organizace Českého zahrádkářského svazu Holešov"/>
    <s v="736"/>
    <x v="0"/>
    <x v="3"/>
    <s v="Holešov"/>
    <s v="Holešov, Dlažánky 321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64765"/>
    <s v="Základní organizace Českého zahrádkářského svazu Horní Bečva"/>
    <s v="736"/>
    <x v="0"/>
    <x v="1"/>
    <s v="Horní Bečva"/>
    <s v="Horní Bečva 1056, PSČ 7565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32478"/>
    <s v="Základní organizace Českého zahrádkářského svazu Hradčovice"/>
    <s v="736"/>
    <x v="0"/>
    <x v="2"/>
    <s v="Hradčovice"/>
    <s v="Hradčovice 168, PSČ 687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34605"/>
    <s v="Základní organizace Českého zahrádkářského svazu Hradská Zlín"/>
    <s v="736"/>
    <x v="0"/>
    <x v="0"/>
    <s v="Zlín"/>
    <s v="Zlín, Podvesná IV 378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67731"/>
    <s v="Základní organizace Českého zahrádkářského svazu Hrobice"/>
    <s v="736"/>
    <x v="0"/>
    <x v="0"/>
    <s v="Hrobice"/>
    <s v="Hrobice 2, PSČ 7631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2315"/>
    <s v="Základní organizace Českého zahrádkářského svazu Hvozdná"/>
    <s v="736"/>
    <x v="0"/>
    <x v="0"/>
    <s v="Hvozdná"/>
    <s v="Hvozdná, Fojtská 395, PSČ 76310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764510"/>
    <s v="Základní organizace Českého zahrádkářského svazu Jalubí"/>
    <s v="736"/>
    <x v="0"/>
    <x v="2"/>
    <s v="Jalubí"/>
    <s v="Jalubí 28, PSČ 687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833450"/>
    <s v="Základní organizace Českého zahrádkářského svazu Jaroslavice  jih Zlín"/>
    <s v="736"/>
    <x v="0"/>
    <x v="0"/>
    <s v="Zlín"/>
    <s v="Zlín, Příluky, Pančava 91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80681"/>
    <s v="Základní organizace Českého zahrádkářského svazu Jiráskův sad Zlín Letná"/>
    <s v="736"/>
    <x v="0"/>
    <x v="0"/>
    <s v="Zlín"/>
    <s v="Zlín, Na Honech II 4907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61123"/>
    <s v="Základní organizace Českého zahrádkářského svazu Karolinka"/>
    <s v="736"/>
    <x v="0"/>
    <x v="1"/>
    <s v="Karolinka"/>
    <s v="Karolinka, Raťkov 293, PSČ 756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50051"/>
    <s v="Základní organizace Českého zahrádkářského svazu Kelč"/>
    <s v="736"/>
    <x v="0"/>
    <x v="1"/>
    <s v="Kelč"/>
    <s v="Kelč 287, PSČ 7564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935195"/>
    <s v="Základní organizace Českého zahrádkářského svazu Kněžpole"/>
    <s v="736"/>
    <x v="0"/>
    <x v="2"/>
    <s v="Kněžpole"/>
    <s v="Kněžpole 125, PSČ 687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375"/>
    <s v="Základní organizace Českého zahrádkářského svazu Kočkov Zlín 4"/>
    <s v="736"/>
    <x v="0"/>
    <x v="0"/>
    <s v="Zlín"/>
    <s v="Zlín, Valachův žleb 4894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10563"/>
    <s v="Základní organizace Českého zahrádkářského svazu Kolektivní sad Kudlov Zlín"/>
    <s v="736"/>
    <x v="0"/>
    <x v="0"/>
    <s v="Zlín"/>
    <s v="Zlín, Kudlov 763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8942"/>
    <s v="Základní organizace Českého zahrádkářského svazu Koryčany"/>
    <s v="736"/>
    <x v="0"/>
    <x v="3"/>
    <s v="Koryčany"/>
    <s v="Koryčany, Masarykova 629, PSČ 768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22668"/>
    <s v="Základní organizace Českého zahrádkářského svazu Kosov I Příluky"/>
    <s v="736"/>
    <x v="0"/>
    <x v="0"/>
    <s v="Zlín"/>
    <s v="Zlín, Okružní 4726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961"/>
    <s v="Základní organizace Českého zahrádkářského svazu Kosov II Příluky Zlín"/>
    <s v="736"/>
    <x v="0"/>
    <x v="0"/>
    <s v="Zlín"/>
    <s v="Zlín, M. Knesla 4028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8934"/>
    <s v="Základní organizace Českého zahrádkářského svazu Kostelany"/>
    <s v="736"/>
    <x v="0"/>
    <x v="3"/>
    <s v="Kroměříž"/>
    <s v="Kroměříž, Velehradská 3004/22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03081"/>
    <s v="Základní organizace Českého zahrádkářského svazu Košíky"/>
    <s v="736"/>
    <x v="0"/>
    <x v="2"/>
    <s v="Košíky"/>
    <s v="Košíky 153, PSČ 687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17434"/>
    <s v="Základní organizace Českého zahrádkářského svazu Kotlí Velehrad"/>
    <s v="736"/>
    <x v="0"/>
    <x v="2"/>
    <s v="Uherské Hradiště"/>
    <s v="Uherské Hradiště, Svatováclavská 906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93308"/>
    <s v="Základní organizace Českého zahrádkářského svazu Krhová"/>
    <s v="736"/>
    <x v="0"/>
    <x v="1"/>
    <s v="Krhová"/>
    <s v="Krhová, Pod Jehličnou 341, PSČ 7566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62305"/>
    <s v="Základní organizace Českého zahrádkářského svazu Křižná"/>
    <s v="736"/>
    <x v="0"/>
    <x v="1"/>
    <s v="Valašské Meziříčí"/>
    <s v="Valašské Meziříčí, Krásno nad Bečvou, Čajkovského 623/4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5659524"/>
    <s v="Základní organizace Českého zahrádkářského svazu Kučovaniny - západ, Zlín - Malenovice"/>
    <s v="736"/>
    <x v="0"/>
    <x v="0"/>
    <s v="Zlín"/>
    <s v="Zlín, Malenovice, třída 3. května 805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05491"/>
    <s v="Základní organizace Českého zahrádkářského svazu Kudlovice"/>
    <s v="736"/>
    <x v="0"/>
    <x v="2"/>
    <s v="Kudlovice"/>
    <s v="Kudlovice 342, PSČ 687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9009"/>
    <s v="Základní organizace Českého zahrádkářského svazu Kunovice"/>
    <s v="736"/>
    <x v="0"/>
    <x v="2"/>
    <s v="Kunovice"/>
    <s v="Kunovice, Pod Valy 1460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337"/>
    <s v="Základní organizace Českého zahrádkářského svazu Kvasice"/>
    <s v="736"/>
    <x v="0"/>
    <x v="3"/>
    <s v="Kvasice"/>
    <s v="Kvasice, Kroměřížská 625, PSČ 768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6358"/>
    <s v="Základní organizace Českého zahrádkářského svazu Lešná"/>
    <s v="736"/>
    <x v="0"/>
    <x v="1"/>
    <s v="Vsetín"/>
    <s v="Vsetín, Mládí 1558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8512"/>
    <s v="Základní organizace Českého zahrádkářského svazu Lidečko"/>
    <s v="736"/>
    <x v="0"/>
    <x v="1"/>
    <s v="Lidečko"/>
    <s v="Lidečko 247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5068"/>
    <s v="Základní organizace Českého zahrádkářského svazu Lipová"/>
    <s v="736"/>
    <x v="0"/>
    <x v="0"/>
    <s v="Lipová"/>
    <s v="Lipová, 9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345"/>
    <s v="Základní organizace Českého zahrádkářského svazu Loukov"/>
    <s v="736"/>
    <x v="0"/>
    <x v="3"/>
    <s v="Loukov"/>
    <s v="Loukov 199, PSČ 7687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07783"/>
    <s v="Základní organizace Českého zahrádkářského svazu Ludkovice"/>
    <s v="736"/>
    <x v="0"/>
    <x v="0"/>
    <s v="Ludkovice"/>
    <s v="Ludkovice 44, PSČ 7634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511"/>
    <s v="Základní organizace Českého zahrádkářského svazu Luhačovice"/>
    <s v="736"/>
    <x v="0"/>
    <x v="0"/>
    <s v="Luhačovice"/>
    <s v="Luhačovice, Družstevní 90, PSČ 7632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801"/>
    <s v="Základní organizace Českého zahrádkářského svazu Lukoveček - Fryšták"/>
    <s v="736"/>
    <x v="0"/>
    <x v="0"/>
    <s v="Lukoveček"/>
    <s v="Lukoveček, Mlýnská 26, PSČ 7631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8962"/>
    <s v="Základní organizace Českého zahrádkářského svazu Machová"/>
    <s v="736"/>
    <x v="0"/>
    <x v="0"/>
    <s v="Machová"/>
    <s v="Machová 120, PSČ 763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622"/>
    <s v="Základní organizace Českého zahrádkářského svazu Malenovice  město"/>
    <s v="736"/>
    <x v="0"/>
    <x v="0"/>
    <s v="Zlín"/>
    <s v="Zlín, Malenovice, Mlýnská 685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6934435"/>
    <s v="Základní organizace Českého zahrádkářského svazu Malý Skalník Vsetín"/>
    <s v="736"/>
    <x v="0"/>
    <x v="1"/>
    <s v="Vsetín"/>
    <s v="Vsetín, Ohrada 1849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213"/>
    <s v="Základní organizace Českého zahrádkářského svazu Milovice"/>
    <s v="736"/>
    <x v="0"/>
    <x v="3"/>
    <s v="Soběsuky"/>
    <s v="Soběsuky, Milovice 13, PSČ 768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2859"/>
    <s v="Základní organizace Českého zahrádkářského svazu Mistřice"/>
    <s v="736"/>
    <x v="0"/>
    <x v="2"/>
    <s v="Mistřice"/>
    <s v="Mistřice 77, PSČ 687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2937"/>
    <s v="Základní organizace Českého zahrádkářského svazu Míškovice"/>
    <s v="736"/>
    <x v="0"/>
    <x v="3"/>
    <s v="Míškovice"/>
    <s v="Míškovice 96, PSČ 7685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2684"/>
    <s v="Základní organizace Českého zahrádkářského svazu Mladcová Zlín"/>
    <s v="736"/>
    <x v="0"/>
    <x v="0"/>
    <s v="Zlín"/>
    <s v="Zlín, Mladcová, Stráně 357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1796068"/>
    <s v="Základní organizace Českého zahrádkářského svazu MOČIDLA"/>
    <s v="736"/>
    <x v="0"/>
    <x v="0"/>
    <s v="Otrokovice"/>
    <s v="Otrokovice, Havlíčkova 1279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6254251"/>
    <s v="Základní organizace Českého zahrádkářského svazu Modrá"/>
    <s v="736"/>
    <x v="0"/>
    <x v="2"/>
    <s v="Modrá"/>
    <s v="Modrá 9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30436"/>
    <s v="Základní organizace Českého zahrádkářského svazu, Mokrá  Zlín"/>
    <s v="736"/>
    <x v="0"/>
    <x v="0"/>
    <s v="Zlín"/>
    <s v="Zlín, Klabalská III 5632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3232"/>
    <s v="Základní organizace Českého zahrádkářského svazu Morkovice"/>
    <s v="736"/>
    <x v="0"/>
    <x v="3"/>
    <s v="Morkovice-Slížany"/>
    <s v="Morkovice-Slížany, Morkovice, Náměstí 29, PSČ 768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8993"/>
    <s v="Základní organizace Českého zahrádkářského svazu Mrlínek"/>
    <s v="736"/>
    <x v="0"/>
    <x v="3"/>
    <s v="Mrlínek"/>
    <s v="Mrlínek 9, PSČ 768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54302"/>
    <s v="Základní organizace Českého zahrádkářského svazu Na Kálavách Zlín 4"/>
    <s v="736"/>
    <x v="0"/>
    <x v="0"/>
    <s v="Zlín"/>
    <s v="Zlín, Voženílkova 5562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99080"/>
    <s v="Základní organizace Českého zahrádkářského svazu Na stráni Lužkovice"/>
    <s v="736"/>
    <x v="0"/>
    <x v="0"/>
    <s v="Zlín"/>
    <s v="Zlín, Lužkovice, Horní 56, PSČ 763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60051"/>
    <s v="Základní organizace Českého zahrádkářského svazu Na Stráni Zlín-Kudlov"/>
    <s v="736"/>
    <x v="0"/>
    <x v="0"/>
    <s v="Zlín"/>
    <s v="Zlín, Malenovice, Tyršova 890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600"/>
    <s v="Základní organizace Českého zahrádkářského svazu Na Vrše Jaroslavice"/>
    <s v="736"/>
    <x v="0"/>
    <x v="0"/>
    <s v="Zlín"/>
    <s v="Zlín, Beckovská 2687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258"/>
    <s v="Základní organizace Českého zahrádkářského svazu Nad Rivierou Zlín - Malenovice"/>
    <s v="736"/>
    <x v="0"/>
    <x v="0"/>
    <s v="Zlín"/>
    <s v="Zlín, Javorová 4519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9158236"/>
    <s v="Základní organizace Českého zahrádkářského svazu Napajedla"/>
    <s v="736"/>
    <x v="0"/>
    <x v="0"/>
    <s v="Napajedla"/>
    <s v="Napajedla, Pod zahrádkama 1570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417296"/>
    <s v="Základní organizace Českého zahrádkářského svazu Nedakonice"/>
    <s v="736"/>
    <x v="0"/>
    <x v="2"/>
    <s v="Nedakonice"/>
    <s v="Nedakonice 453, PSČ 6873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2803"/>
    <s v="Základní organizace Českého zahrádkářského svazu Nedašova Lhota"/>
    <s v="736"/>
    <x v="0"/>
    <x v="0"/>
    <s v="Nedašova Lhota"/>
    <s v="Nedašova Lhota 10, PSČ 7633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065"/>
    <s v="Základní organizace Českého zahrádkářského svazu Nivky Březnice"/>
    <s v="736"/>
    <x v="0"/>
    <x v="0"/>
    <s v="Zlín"/>
    <s v="Zlín, Mladcová, Mokrá II 290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6254838"/>
    <s v="Základní organizace Českého zahrádkářského svazu Nivnice"/>
    <s v="736"/>
    <x v="0"/>
    <x v="2"/>
    <s v="Nivnice"/>
    <s v="Nivnice, Brodská 900, PSČ 68751"/>
    <s v="94993"/>
    <s v="Činnosti organizací na podporu rekreační a zájmové činnosti"/>
    <s v="Výroba potravinářských výrobků"/>
    <s v="Podpůrné činnosti pro zemědělství a posklizňové činnosti"/>
    <s v="Destilace, rektifikace a míchání lihovin"/>
    <m/>
    <m/>
    <m/>
    <m/>
    <m/>
    <m/>
    <m/>
    <m/>
    <m/>
    <m/>
    <m/>
    <m/>
    <m/>
    <m/>
  </r>
  <r>
    <s v="44019033"/>
    <s v="Základní organizace Českého zahrádkářského svazu Ořechov"/>
    <s v="736"/>
    <x v="0"/>
    <x v="2"/>
    <s v="Ořechov"/>
    <s v="Ořechov 21, PSČ 6873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6934486"/>
    <s v="Základní organizace Českého zahrádkářského svazu Osada Kramolišov Rožnov pod Radhoštěm"/>
    <s v="736"/>
    <x v="0"/>
    <x v="1"/>
    <s v="Rožnov pod Radhoštěm"/>
    <s v="Rožnov pod Radhoštěm, Kramolišov 2944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8239533"/>
    <s v="Základní organizace Českého zahrádkářského svazu Osady Slavičín"/>
    <s v="736"/>
    <x v="0"/>
    <x v="0"/>
    <s v="Slavičín"/>
    <s v="Slavičín, Horní náměstí 821, PSČ 763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84661"/>
    <s v="Základní organizace Českého zahrádkářského svazu Ostrožská Lhota"/>
    <s v="736"/>
    <x v="0"/>
    <x v="2"/>
    <s v="Ostrožská Lhota"/>
    <s v="Ostrožská Lhota 220, PSČ 687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9025"/>
    <s v="Základní organizace Českého zahrádkářského svazu, Osvětimany"/>
    <s v="736"/>
    <x v="0"/>
    <x v="2"/>
    <s v="Osvětimany"/>
    <s v="Osvětimany 30, PSČ 6874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9156314"/>
    <s v="Základní organizace Českého zahrádkářského svazu Otrokovice - Dubová"/>
    <s v="736"/>
    <x v="0"/>
    <x v="0"/>
    <s v="Otrokovice"/>
    <s v="Otrokovice, J. Jabůrkové 1405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791"/>
    <s v="Základní organizace Českého zahrádkářského svazu Otrokovice Újezdy"/>
    <s v="736"/>
    <x v="0"/>
    <x v="0"/>
    <s v="Otrokovice"/>
    <s v="Otrokovice, Štěrkoviště 1293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64505"/>
    <s v="Základní organizace Českého zahrádkářského svazu Panorama V"/>
    <s v="736"/>
    <x v="0"/>
    <x v="0"/>
    <s v="Zlín"/>
    <s v="Zlín, Středová 4786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761294"/>
    <s v="Základní organizace Českého zahrádkářského svazu Pitín"/>
    <s v="736"/>
    <x v="0"/>
    <x v="2"/>
    <s v="Pitín"/>
    <s v="Pitín 89, PSČ 687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727841"/>
    <s v="Základní organizace Českého zahrádkářského svazu Pod Čupem Vsetín"/>
    <s v="736"/>
    <x v="0"/>
    <x v="1"/>
    <s v="Vsetín"/>
    <s v="Vsetín, Rokytnice, Okružní 418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1459"/>
    <s v="Základní organizace Českého zahrádkářského svazu Pod hradem Zlín - Malenovice"/>
    <s v="736"/>
    <x v="0"/>
    <x v="0"/>
    <s v="Zlín"/>
    <s v="Zlín, U Trojáku 4585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875494"/>
    <s v="Základní organizace Českého zahrádkářského svazu Pod Salašem Zlín"/>
    <s v="736"/>
    <x v="0"/>
    <x v="0"/>
    <s v="Zlín"/>
    <s v="Zlín, Malenovice, Jar. Staši 1148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15550"/>
    <s v="Základní organizace Českého zahrádkářského svazu Pod Skalami Lukov"/>
    <s v="736"/>
    <x v="0"/>
    <x v="0"/>
    <s v="Zlín"/>
    <s v="Zlín, Zálešná II 3404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832824"/>
    <s v="Základní organizace Českého zahrádkářského svazu Pod svahy Uherské Hradiště"/>
    <s v="736"/>
    <x v="0"/>
    <x v="2"/>
    <s v="Uherské Hradiště"/>
    <s v="Uherské Hradiště, Mařatice, Okružní 716, PSČ 686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93341"/>
    <s v="Základní organizace Českého zahrádkářského svazu Pod zelenou cestou Uherské Hradiště"/>
    <s v="736"/>
    <x v="0"/>
    <x v="2"/>
    <s v="Uherské Hradiště"/>
    <s v="Uherské Hradiště, Dukelských hrdinů 796, PSČ 68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9156365"/>
    <s v="Základní organizace Českého zahrádkářského svazu Poddubová Napajedla"/>
    <s v="736"/>
    <x v="0"/>
    <x v="0"/>
    <s v="Otrokovice"/>
    <s v="Otrokovice, Smetanova 1368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438883"/>
    <s v="Základní organizace Českého zahrádkářského svazu Podolí"/>
    <s v="736"/>
    <x v="0"/>
    <x v="2"/>
    <s v="Podolí"/>
    <s v="Podolí 190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07431"/>
    <s v="Základní organizace Českého zahrádkářského svazu Pohořelice"/>
    <s v="736"/>
    <x v="0"/>
    <x v="0"/>
    <s v="Pohořelice"/>
    <s v="Pohořelice, Močidla 206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45079"/>
    <s v="Základní organizace Českého zahrádkářského svazu Polešovice"/>
    <s v="736"/>
    <x v="0"/>
    <x v="2"/>
    <s v="Polešovice"/>
    <s v="Polešovice č. ev. 34, PSČ 6873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20148"/>
    <s v="Základní organizace Českého zahrádkářského svazu Poličná"/>
    <s v="736"/>
    <x v="0"/>
    <x v="1"/>
    <s v="Valašské Meziříčí"/>
    <s v="Valašské Meziříčí, Krásno nad Bečvou, Sklářská 644/1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9041"/>
    <s v="Základní organizace Českého zahrádkářského svazu Popovice"/>
    <s v="736"/>
    <x v="0"/>
    <x v="2"/>
    <s v="Popovice"/>
    <s v="Popovice 185, PSČ 686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266"/>
    <s v="Základní organizace Českého zahrádkářského svazu Potoky Zlín"/>
    <s v="736"/>
    <x v="0"/>
    <x v="0"/>
    <s v="Zlín"/>
    <s v="Zlín, Na Požáře 2928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469704"/>
    <s v="Základní organizace Českého zahrádkářského svazu Potůčky II Vsetín"/>
    <s v="736"/>
    <x v="0"/>
    <x v="1"/>
    <s v="Vsetín"/>
    <s v="Vsetín, Družstevní 1569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49761"/>
    <s v="Základní organizace Českého zahrádkářského svazu Prostřední Bečva"/>
    <s v="736"/>
    <x v="0"/>
    <x v="1"/>
    <s v="Prostřední Bečva"/>
    <s v="Prostřední Bečva 104, PSČ 7565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2945"/>
    <s v="Základní organizace Českého zahrádkářského svazu Prusinovice"/>
    <s v="736"/>
    <x v="0"/>
    <x v="3"/>
    <s v="Prusinovice"/>
    <s v="Prusinovice, Plačkov 185, PSČ 7684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14872"/>
    <s v="Základní organizace Českého zahrádkářského svazu Přílepy"/>
    <s v="736"/>
    <x v="0"/>
    <x v="3"/>
    <s v="Přílepy"/>
    <s v="Přílepy 260, PSČ 769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324"/>
    <s v="Základní organizace Českého zahrádkářského svazu Radovánky Otrokovice"/>
    <s v="736"/>
    <x v="0"/>
    <x v="0"/>
    <s v="Otrokovice"/>
    <s v="Otrokovice, Kvítkovice, SNP 1174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3194"/>
    <s v="Základní organizace Českého zahrádkářského svazu Rataje"/>
    <s v="736"/>
    <x v="0"/>
    <x v="3"/>
    <s v="Rataje"/>
    <s v="Rataje 137, PSČ 768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62275"/>
    <s v="Základní organizace Českého zahrádkářského svazu Rokytnice Vsetín"/>
    <s v="736"/>
    <x v="0"/>
    <x v="1"/>
    <s v="Vsetín"/>
    <s v="Vsetín, Zahradní 1186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8411"/>
    <s v="Základní organizace Českého zahrádkářského svazu Růžďka"/>
    <s v="736"/>
    <x v="0"/>
    <x v="1"/>
    <s v="Růžďka"/>
    <s v="Růžďka 125, PSČ 7562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58270"/>
    <s v="Základní organizace Českého zahrádkářského svazu Rybárny Uherské Hradiště"/>
    <s v="736"/>
    <x v="0"/>
    <x v="2"/>
    <s v="Uherské Hradiště"/>
    <s v="Uherské Hradiště, Prokopa Holého 733, PSČ 686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12825"/>
    <s v="Základní organizace Českého zahrádkářského svazu Rybníky I Vsetín"/>
    <s v="736"/>
    <x v="0"/>
    <x v="1"/>
    <s v="Vsetín"/>
    <s v="Vsetín, Konečná 1179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82772"/>
    <s v="Základní organizace Českého zahrádkářského svazu Sad Burešov Zlín"/>
    <s v="736"/>
    <x v="0"/>
    <x v="0"/>
    <s v="Zlín"/>
    <s v="Zlín, Padělky VIII 390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1653"/>
    <s v="Základní organizace Českého zahrádkářského svazu sad č.4 Březnice"/>
    <s v="736"/>
    <x v="0"/>
    <x v="0"/>
    <s v="Zlín"/>
    <s v="Zlín, Dlouhá 4217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294"/>
    <s v="Základní organizace Českého zahrádkářského svazu Sad Mezilesí - Březnice Zlín"/>
    <s v="736"/>
    <x v="0"/>
    <x v="0"/>
    <s v="Zlín"/>
    <s v="Zlín, Santražiny 1624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979"/>
    <s v="Základní organizace Českého zahrádkářského svazu Sad Míru Otrokovice"/>
    <s v="736"/>
    <x v="0"/>
    <x v="0"/>
    <s v="Otrokovice"/>
    <s v="Otrokovice, Kvítkovice, Padělky 337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265682"/>
    <s v="Základní organizace Českého zahrádkářského svazu Sady Prštné Zlín"/>
    <s v="736"/>
    <x v="0"/>
    <x v="0"/>
    <s v="Hostišová"/>
    <s v="Hostišová, Hostišová - Horňák 49, PSČ 763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9050"/>
    <s v="Základní organizace Českého zahrádkářského svazu Sady- Uherské Hradiště"/>
    <s v="736"/>
    <x v="0"/>
    <x v="2"/>
    <s v="Uherské Hradiště"/>
    <s v="Uherské Hradiště, Mařatice, Jaroslava Staňka 861, PSČ 686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3184128"/>
    <s v="Základní organizace Českého zahrádkářského svazu Seninka"/>
    <s v="736"/>
    <x v="0"/>
    <x v="1"/>
    <s v="Seninka"/>
    <s v="Seninka 42, PSČ 756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537"/>
    <s v="Základní organizace Českého zahrádkářského svazu Slunečná Malenovice"/>
    <s v="736"/>
    <x v="0"/>
    <x v="0"/>
    <s v="Zlín"/>
    <s v="Zlín, Malenovice, Chelčického 824, PSČ 763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649"/>
    <s v="Základní organizace Českého zahrádkářského svazu Slušovice"/>
    <s v="736"/>
    <x v="0"/>
    <x v="0"/>
    <s v="Slušovice"/>
    <s v="Slušovice, Školní 632, PSČ 7631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169"/>
    <s v="Základní organizace Českého zahrádkářského svazu Spytihněv"/>
    <s v="736"/>
    <x v="0"/>
    <x v="0"/>
    <s v="Spytihněv"/>
    <s v="Spytihněv 214, PSČ 7636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026575"/>
    <s v="Základní organizace Českého zahrádkářského svazu Staré Město"/>
    <s v="736"/>
    <x v="0"/>
    <x v="2"/>
    <s v="Staré Město"/>
    <s v="Staré Město, Hradišťská 89, PSČ 6860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0185"/>
    <s v="Základní organizace Českého zahrádkářského svazu &quot;STAVBAŘ&quot; Zlín"/>
    <s v="736"/>
    <x v="0"/>
    <x v="0"/>
    <s v="Zlín"/>
    <s v="Zlín, Kúty 195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164369"/>
    <s v="Základní organizace Českého zahrádkářského svazu Stonky Uherské Hradiště"/>
    <s v="736"/>
    <x v="0"/>
    <x v="2"/>
    <s v="Uherské Hradiště"/>
    <s v="Uherské Hradiště, Štěpnická 1086, PSČ 686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98423"/>
    <s v="Základní organizace Českého zahrádkářského svazu Střelná"/>
    <s v="736"/>
    <x v="0"/>
    <x v="1"/>
    <s v="Střelná"/>
    <s v="Střelná 13, PSČ 756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99217"/>
    <s v="Základní organizace Českého zahrádkářského svazu Šardica II Napajedla"/>
    <s v="736"/>
    <x v="0"/>
    <x v="0"/>
    <s v="Napajedla"/>
    <s v="Napajedla, Nábřeží 1345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326032"/>
    <s v="Základní organizace Českého zahrádkářského svazu Špitálka Uherské Hradiště"/>
    <s v="736"/>
    <x v="0"/>
    <x v="2"/>
    <s v="Uherské Hradiště"/>
    <s v="Uherské Hradiště, Velehradská třída 798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07794"/>
    <s v="Základní organizace Českého zahrádkářského svazu Štěpnice Uherské Hradiště"/>
    <s v="736"/>
    <x v="0"/>
    <x v="2"/>
    <s v="Uherské Hradiště"/>
    <s v="Uherské Hradiště, Štěpnická 1095, PSČ 686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8496"/>
    <s v="Základní organizace Českého zahrádkářského svazu Štítná nad Vláří Popov"/>
    <s v="736"/>
    <x v="0"/>
    <x v="0"/>
    <s v="Štítná nad Vláří-Popov"/>
    <s v="Štítná nad Vláří-Popov, Štítná nad Vláří 409, PSČ 763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5981"/>
    <s v="Základní organizace Českého zahrádkářského svazu Tlumačov"/>
    <s v="736"/>
    <x v="0"/>
    <x v="0"/>
    <s v="Tlumačov"/>
    <s v="Tlumačov, Mánesova 774, PSČ 7636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9076"/>
    <s v="Základní organizace Českého zahrádkářského svazu Topolná"/>
    <s v="736"/>
    <x v="0"/>
    <x v="2"/>
    <s v="Topolná"/>
    <s v="Topolná 205, PSČ 6871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028713"/>
    <s v="Základní organizace Českého zahrádkářského svazu Traplice"/>
    <s v="736"/>
    <x v="0"/>
    <x v="2"/>
    <s v="Traplice"/>
    <s v="Traplice, Traplice 40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027"/>
    <s v="Základní organizace Českého zahrádkářského svazu Trávník"/>
    <s v="736"/>
    <x v="0"/>
    <x v="3"/>
    <s v="Kroměříž"/>
    <s v="Kroměříž, Trávník 138, PSČ 76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04661"/>
    <s v="Základní organizace Českého zahrádkářského svazu Trnava"/>
    <s v="736"/>
    <x v="0"/>
    <x v="0"/>
    <s v="Trnava"/>
    <s v="Trnava 356, PSČ 76318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046374"/>
    <s v="Základní organizace Českého zahrádkářského svazu Třešňovka Uherské Hradiště"/>
    <s v="736"/>
    <x v="0"/>
    <x v="2"/>
    <s v="Uherské Hradiště"/>
    <s v="Uherské Hradiště, Tř. Maršála Malinovského 936, PSČ 686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9084"/>
    <s v="Základní organizace Českého zahrádkářského svazu Tupesy"/>
    <s v="736"/>
    <x v="0"/>
    <x v="2"/>
    <s v="Tupesy"/>
    <s v="Tupesy 251, PSČ 6870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2710850"/>
    <s v="Základní organizace Českého zahrádkářského svazu U Jabloné Zlín - Příluky"/>
    <s v="736"/>
    <x v="0"/>
    <x v="0"/>
    <s v="Zlín"/>
    <s v="Zlín, Nivy I 436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291"/>
    <s v="Základní organizace Českého zahrádkářského svazu U rybníku Slavičín"/>
    <s v="736"/>
    <x v="0"/>
    <x v="0"/>
    <s v="Slavičín"/>
    <s v="Slavičín, Okružní 593, PSČ 7632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159177"/>
    <s v="Základní organizace Českého zahrádkářského svazu U skansenu, Rožnov pod Radhoštěm"/>
    <s v="736"/>
    <x v="0"/>
    <x v="1"/>
    <s v="Rožnov pod Radhoštěm"/>
    <s v="Rožnov pod Radhoštěm, Partyzánská 1098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038325"/>
    <s v="Základní organizace Českého zahrádkářského svazu U Splavu Vsetín"/>
    <s v="736"/>
    <x v="0"/>
    <x v="1"/>
    <s v="Vsetín"/>
    <s v="Vsetín, Sušilova 1329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9092"/>
    <s v="Základní organizace Českého zahrádkářského svazu Uherský Brod"/>
    <s v="736"/>
    <x v="0"/>
    <x v="2"/>
    <s v="Uherský Brod"/>
    <s v="Uherský Brod, Močidla 2493, PSČ 688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4019106"/>
    <s v="Základní organizace Českého zahrádkářského svazu Uherský Ostroh"/>
    <s v="736"/>
    <x v="0"/>
    <x v="2"/>
    <s v="Uherský Ostroh"/>
    <s v="Uherský Ostroh, Ostrožské Předměstí, Na Zámecké 834, PSČ 687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4041"/>
    <s v="Základní organizace Českého zahrádkářského svazu Valašská Bystřice"/>
    <s v="736"/>
    <x v="0"/>
    <x v="1"/>
    <s v="Valašská Bystřice"/>
    <s v="Valašská Bystřice 470, PSČ 7562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898396"/>
    <s v="Základní organizace Českého zahrádkářského svazu Valašské Meziříčí - II.osada"/>
    <s v="736"/>
    <x v="0"/>
    <x v="1"/>
    <s v="Valašské Meziříčí"/>
    <s v="Valašské Meziříčí, Máchova 609/19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56291"/>
    <s v="Základní organizace Českého zahrádkářského svazu Valašské Meziříčí- Krásno"/>
    <s v="736"/>
    <x v="0"/>
    <x v="1"/>
    <s v="Valašské Meziříčí"/>
    <s v="Valašské Meziříčí, Krásno nad Bečvou, Nádražní 636/14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732552"/>
    <s v="Základní organizace Českého zahrádkářského svazu Valašské Meziříčí Potůčky"/>
    <s v="736"/>
    <x v="0"/>
    <x v="1"/>
    <s v="Valašské Meziříčí"/>
    <s v="Valašské Meziříčí, Krásno nad Bečvou, Sklářská 186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072084"/>
    <s v="Základní organizace Českého zahrádkářského svazu Vážany"/>
    <s v="736"/>
    <x v="0"/>
    <x v="2"/>
    <s v="Vážany"/>
    <s v="Vážany 20, PSČ 6873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649561"/>
    <s v="Základní organizace Českého zahrádkářského svazu Velký Ořechov"/>
    <s v="736"/>
    <x v="0"/>
    <x v="0"/>
    <s v="Velký Ořechov"/>
    <s v="Velký Ořechov 85, PSČ 76307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20658"/>
    <s v="Základní organizace Českého zahrádkářského svazu Vesník Klečůvka"/>
    <s v="736"/>
    <x v="0"/>
    <x v="0"/>
    <s v="Zlín"/>
    <s v="Zlín, Česká 4763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057603"/>
    <s v="Základní organizace Českého zahrádkářského svazu Vinohrádky, Zlín Mladcová"/>
    <s v="736"/>
    <x v="0"/>
    <x v="0"/>
    <s v="Zlín"/>
    <s v="Zlín, Polní 4574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382970"/>
    <s v="Základní organizace Českého zahrádkářského svazu Vítonice"/>
    <s v="736"/>
    <x v="0"/>
    <x v="3"/>
    <s v="Vítonice"/>
    <s v="Vítonice 46, PSČ 768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898"/>
    <s v="Základní organizace Českého zahrádkářského svazu Vítová Fryšták"/>
    <s v="736"/>
    <x v="0"/>
    <x v="0"/>
    <s v="Zlín"/>
    <s v="Zlín, Příluky, Boněcko I 300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812"/>
    <s v="Základní organizace Českého zahrádkářského svazu Vlachovice"/>
    <s v="736"/>
    <x v="0"/>
    <x v="0"/>
    <s v="Vlachovice"/>
    <s v="Vlachovice 338, PSČ 7632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0576"/>
    <s v="Základní organizace Českého zahrádkářského svazu Vlčková"/>
    <s v="736"/>
    <x v="0"/>
    <x v="0"/>
    <s v="Vlčková"/>
    <s v="Vlčková 161, PSČ 76319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640408"/>
    <s v="Základní organizace Českého zahrádkářského svazu Vsetín - Amerika"/>
    <s v="736"/>
    <x v="0"/>
    <x v="1"/>
    <s v="Vsetín"/>
    <s v="Vsetín, Družby 1431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11713"/>
    <s v="Základní organizace Českého zahrádkářského svazu Vsetín - Hanžlov"/>
    <s v="736"/>
    <x v="0"/>
    <x v="1"/>
    <s v="Vsetín"/>
    <s v="Vsetín, Tichá 1790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888511"/>
    <s v="Základní organizace Českého zahrádkářského svazu Vsetín - Janišov"/>
    <s v="736"/>
    <x v="0"/>
    <x v="1"/>
    <s v="Vsetín"/>
    <s v="Vsetín, Na Kopečku 8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57819"/>
    <s v="Základní organizace Českého zahrádkářského svazu Vsetín - Jasenice"/>
    <s v="736"/>
    <x v="0"/>
    <x v="1"/>
    <s v="Vsetín"/>
    <s v="Vsetín, Bratří Hlaviců 121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07111"/>
    <s v="Základní organizace Českého zahrádkářského svazu Vsetín  Zbrojovka"/>
    <s v="736"/>
    <x v="0"/>
    <x v="1"/>
    <s v="Vsetín"/>
    <s v="Vsetín, Rokytnice, Okružní 455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0042192"/>
    <s v="Základní organizace Českého zahrádkářského svazu Vsetín Jasenka"/>
    <s v="736"/>
    <x v="0"/>
    <x v="1"/>
    <s v="Vsetín"/>
    <s v="Vsetín, Horní Jasenka 267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49611"/>
    <s v="Základní organizace Českého zahrádkářského svazu Vsetín Luh, osada údolí Dlůhé - Vsetín"/>
    <s v="736"/>
    <x v="0"/>
    <x v="1"/>
    <s v="Vsetín"/>
    <s v="Vsetín, Družstevní 1169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29498"/>
    <s v="Základní organizace Českého zahrádkářského svazu Vsetín MEZ"/>
    <s v="736"/>
    <x v="0"/>
    <x v="1"/>
    <s v="Vsetín"/>
    <s v="Vsetín, Zelená 1505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6060"/>
    <s v="Základní organizace Českého zahrádkářského svazu Vsetín Rybníky II"/>
    <s v="736"/>
    <x v="0"/>
    <x v="1"/>
    <s v="Vsetín"/>
    <s v="Vsetín, Družstevní 1180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48196"/>
    <s v="Základní organizace Českého zahrádkářského svazu Vsetín Tataláky"/>
    <s v="736"/>
    <x v="0"/>
    <x v="1"/>
    <s v="Vsetín"/>
    <s v="Vsetín, Štěpánská 1882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9211833"/>
    <s v="Základní organizace Českého zahrádkářského svazu Vsetín-Hluboké"/>
    <s v="736"/>
    <x v="0"/>
    <x v="1"/>
    <s v="Vsetín"/>
    <s v="Vsetín, MUDr. Fr. Sovy, p.D.Procházková 6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917981"/>
    <s v="Základní organizace Českého zahrádkářského svazu, Za Díly Vsetín"/>
    <s v="736"/>
    <x v="0"/>
    <x v="1"/>
    <s v="Vsetín"/>
    <s v="Vsetín, Bratří Hlaviců 100, PSČ 755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065290"/>
    <s v="Základní organizace Českého zahrádkářského svazu &quot;ZA DRAHOU&quot; Val. Meziříčí"/>
    <s v="736"/>
    <x v="0"/>
    <x v="1"/>
    <s v="Valašské Meziříčí"/>
    <s v="Valašské Meziříčí, Za Drahou II č. ev. 37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3979849"/>
    <s v="Základní organizace Českého zahrádkářského svazu Za kotelnou Uherské Hradiště"/>
    <s v="736"/>
    <x v="0"/>
    <x v="2"/>
    <s v="Uherské Hradiště"/>
    <s v="Uherské Hradiště, Štěpnická 1077, PSČ 6860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5102030"/>
    <s v="Základní organizace Českého zahrádkářského svazu Zádveřice - Raková"/>
    <s v="736"/>
    <x v="0"/>
    <x v="0"/>
    <s v="Zlín"/>
    <s v="Zlín, Santražiny 343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2805332"/>
    <s v="Základní organizace Českého zahrádkářského svazu Záhorovice"/>
    <s v="736"/>
    <x v="0"/>
    <x v="2"/>
    <s v="Záhorovice"/>
    <s v="Záhorovice 12, PSČ 6877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175"/>
    <s v="Základní organizace Českého zahrádkářského svazu Zborovice"/>
    <s v="736"/>
    <x v="0"/>
    <x v="3"/>
    <s v="Zborovice"/>
    <s v="Zborovice, Za Nádražím 338, PSČ 7683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14066"/>
    <s v="Základní organizace Českého zahrádkářského svazu Zdounky"/>
    <s v="736"/>
    <x v="0"/>
    <x v="3"/>
    <s v="Zborovice"/>
    <s v="Zborovice, Nerudova 142, PSČ 7683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7011446"/>
    <s v="Základní organizace Českého zahrádkářského svazu Zlechov"/>
    <s v="736"/>
    <x v="0"/>
    <x v="2"/>
    <s v="Zlechov"/>
    <s v="Zlechov 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1938053"/>
    <s v="Základní organizace Českého zahrádkářského svazu Zlín Příluky"/>
    <s v="736"/>
    <x v="0"/>
    <x v="0"/>
    <s v="Zlín"/>
    <s v="Zlín, Budovatelská 4797, PSČ 760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1216260"/>
    <s v="Základní organizace Českého zahrádkářského svazu Zubersko Rožnov pod Radhoštěm"/>
    <s v="736"/>
    <x v="0"/>
    <x v="1"/>
    <s v="Rožnov pod Radhoštěm"/>
    <s v="Rožnov pod Radhoštěm, Čs. armády 1248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469691"/>
    <s v="Základní organizace Českého zahrádkářského svazu Zubří"/>
    <s v="736"/>
    <x v="0"/>
    <x v="1"/>
    <s v="Zubří"/>
    <s v="Zubří, U Domoviny 234, PSČ 75654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3459035"/>
    <s v="Základní organizace Českého zahrádkářského svazu Žalkovice"/>
    <s v="736"/>
    <x v="0"/>
    <x v="3"/>
    <s v="Žalkovice"/>
    <s v="Žalkovice 97, PSČ 7682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1716847"/>
    <s v="Základní organizace Českého zahrádkářského svazu ŽLUTAVA"/>
    <s v="736"/>
    <x v="0"/>
    <x v="0"/>
    <s v="Žlutava"/>
    <s v="Žlutava 10, PSČ 763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0807787"/>
    <s v="Základní organizace Českého zahrádkářského svazu Žlutava Kozinec"/>
    <s v="736"/>
    <x v="0"/>
    <x v="0"/>
    <s v="Otrokovice"/>
    <s v="Otrokovice, Nádražní 1401, PSČ 7650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72563010"/>
    <s v="Základní organizace Českého zahrádkářského svazu 3.osada Valašské Meziříčí"/>
    <s v="736"/>
    <x v="0"/>
    <x v="1"/>
    <s v="Valašské Meziříčí"/>
    <s v="Valašské Meziříčí, Zdeňka Fibicha 1208, PSČ 757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5326539"/>
    <s v="Základní organizace ČSOP PANTOFLÍČEK"/>
    <s v="736"/>
    <x v="0"/>
    <x v="2"/>
    <s v="Slavkov"/>
    <s v="Slavkov 47, PSČ 68764"/>
    <s v="94995"/>
    <s v="Činnosti environmentálních a ekologických hnutí"/>
    <m/>
    <m/>
    <m/>
    <m/>
    <m/>
    <m/>
    <m/>
    <m/>
    <m/>
    <m/>
    <m/>
    <m/>
    <m/>
    <m/>
    <m/>
    <m/>
    <m/>
  </r>
  <r>
    <s v="05345502"/>
    <s v="Základní organizace ČSŽ - Spolek rožnovských žen"/>
    <s v="736"/>
    <x v="0"/>
    <x v="1"/>
    <s v="Rožnov pod Radhoštěm"/>
    <s v="Rožnov pod Radhoštěm, 1. máje 1000, PSČ 7566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4757611"/>
    <s v="Základní organizace ČSŽ Ludslavice"/>
    <s v="736"/>
    <x v="0"/>
    <x v="3"/>
    <s v="Ludslavice"/>
    <s v="Ludslavice 31, PSČ 7685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5988691"/>
    <s v="Základní organizace ČSŽ Počenice"/>
    <s v="736"/>
    <x v="0"/>
    <x v="3"/>
    <s v="Počenice-Tetětice"/>
    <s v="Počenice-Tetětice, Počenice 74, PSČ 76833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62181289"/>
    <s v="Základní organizace Občanského sdružení Romů"/>
    <s v="736"/>
    <x v="0"/>
    <x v="0"/>
    <s v="Zlín"/>
    <s v="Zlín, Obeciny 299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853708"/>
    <s v="Základní škola Sedmikráska, o.p.s."/>
    <s v="141"/>
    <x v="2"/>
    <x v="1"/>
    <s v="Rožnov pod Radhoštěm"/>
    <s v="Rožnov pod Radhoštěm, Bezručova 293, PSČ 75661"/>
    <s v="853"/>
    <s v="Sekundární vzdělávání"/>
    <s v="Ostatní vzdělávání j. n."/>
    <m/>
    <m/>
    <m/>
    <m/>
    <m/>
    <m/>
    <m/>
    <m/>
    <m/>
    <m/>
    <m/>
    <m/>
    <m/>
    <m/>
    <m/>
    <m/>
  </r>
  <r>
    <s v="29396662"/>
    <s v="Základní umělecká škola B-Art, o.p.s."/>
    <s v="141"/>
    <x v="2"/>
    <x v="1"/>
    <s v="Zašová"/>
    <s v="Zašová 43, PSČ 75651"/>
    <s v="85520"/>
    <s v="Umělecké vzdělávání"/>
    <m/>
    <m/>
    <m/>
    <m/>
    <m/>
    <m/>
    <m/>
    <m/>
    <m/>
    <m/>
    <m/>
    <m/>
    <m/>
    <m/>
    <m/>
    <m/>
    <m/>
  </r>
  <r>
    <s v="22893334"/>
    <s v="Zálesák - středisko Buchlovice, pobočný spolek"/>
    <s v="736"/>
    <x v="0"/>
    <x v="2"/>
    <s v="Buchlovice"/>
    <s v="Buchlovice, náměstí Svobody 239, PSČ 6870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947"/>
    <s v="ZÁLESÁK - středisko Zlín, pobočný spolek"/>
    <s v="736"/>
    <x v="0"/>
    <x v="0"/>
    <s v="Zlín"/>
    <s v="Zlín, Mladcová, Vinohrádek 54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020083"/>
    <s v="Zaleta, z.s."/>
    <s v="706"/>
    <x v="1"/>
    <x v="0"/>
    <s v="Zlín"/>
    <s v="Zlín, Zálešná IX 5824, PSČ 76001"/>
    <s v="94991"/>
    <s v="Činnosti organizací dětí a mládeže"/>
    <m/>
    <m/>
    <m/>
    <m/>
    <m/>
    <m/>
    <m/>
    <m/>
    <m/>
    <m/>
    <m/>
    <m/>
    <m/>
    <m/>
    <m/>
    <m/>
    <m/>
  </r>
  <r>
    <s v="02009145"/>
    <s v="Zámecký park Koryčany o.p.s."/>
    <s v="141"/>
    <x v="2"/>
    <x v="3"/>
    <s v="Koryčany"/>
    <s v="Koryčany, Zámecká 65, PSČ 76805"/>
    <s v="8130"/>
    <s v="Činnosti související s úpravou krajiny"/>
    <m/>
    <m/>
    <m/>
    <m/>
    <m/>
    <m/>
    <m/>
    <m/>
    <m/>
    <m/>
    <m/>
    <m/>
    <m/>
    <m/>
    <m/>
    <m/>
    <m/>
  </r>
  <r>
    <s v="21766894"/>
    <s v="Zámecký spolek Liptál"/>
    <s v="706"/>
    <x v="1"/>
    <x v="1"/>
    <s v="Liptál"/>
    <s v="Liptál 1, PSČ 75631"/>
    <s v="90040"/>
    <s v="Provozování kulturních zařízení"/>
    <m/>
    <m/>
    <m/>
    <m/>
    <m/>
    <m/>
    <m/>
    <m/>
    <m/>
    <m/>
    <m/>
    <m/>
    <m/>
    <m/>
    <m/>
    <m/>
    <m/>
  </r>
  <r>
    <s v="27730719"/>
    <s v="Zámek Nový Světlov, z.ú."/>
    <s v="161"/>
    <x v="3"/>
    <x v="2"/>
    <s v="Bojkovice"/>
    <s v="Bojkovice, Světlov 291, PSČ 68771"/>
    <s v="9104"/>
    <s v="Činnosti botanických a zoologických zahrad, přírodních rezervací a národních parků"/>
    <s v="Ubytování"/>
    <s v="Destilace, rektifikace a míchání lihovin"/>
    <s v="Stravování v restauracích, u stánků a v mobilních zařízeních"/>
    <s v="Podpůrné činnosti pro scénická umění"/>
    <s v="Ostatní zábavní a rekreační činnosti j. n."/>
    <m/>
    <m/>
    <m/>
    <m/>
    <m/>
    <m/>
    <m/>
    <m/>
    <m/>
    <m/>
    <m/>
    <m/>
  </r>
  <r>
    <s v="06868584"/>
    <s v="Zámek Uhřice, z.s."/>
    <s v="706"/>
    <x v="1"/>
    <x v="3"/>
    <s v="Uhřice"/>
    <s v="Uhřice 18, PSČ 7683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58695"/>
    <s v="ZAMHL z.s."/>
    <s v="706"/>
    <x v="1"/>
    <x v="0"/>
    <s v="Otrokovice"/>
    <s v="Otrokovice, Janáčkova 1837, PSČ 76502"/>
    <s v="93120"/>
    <s v="Činnosti sportovních klubů"/>
    <m/>
    <m/>
    <m/>
    <m/>
    <m/>
    <m/>
    <m/>
    <m/>
    <m/>
    <m/>
    <m/>
    <m/>
    <m/>
    <m/>
    <m/>
    <m/>
    <m/>
  </r>
  <r>
    <s v="19169221"/>
    <s v="Zapsaný ústav sportu a volného času Kroměříž"/>
    <s v="161"/>
    <x v="3"/>
    <x v="3"/>
    <s v="Kroměříž"/>
    <s v="Kroměříž, Havlíčkova 2788/135, PSČ 76701"/>
    <s v="9319"/>
    <s v="Ostatní sportovní činnosti"/>
    <s v="Výroba, obchod a služby neuvedené v přílohách 1 až 3 živnostenského zákona"/>
    <s v="Ostatní vzdělávání"/>
    <m/>
    <m/>
    <m/>
    <m/>
    <m/>
    <m/>
    <m/>
    <m/>
    <m/>
    <m/>
    <m/>
    <m/>
    <m/>
    <m/>
    <m/>
  </r>
  <r>
    <s v="22492381"/>
    <s v="Zapsaný ústav WACOA"/>
    <s v="161"/>
    <x v="3"/>
    <x v="1"/>
    <s v="Halenkov"/>
    <s v="Halenkov 173, PSČ 75603"/>
    <s v="85600"/>
    <s v="Podpůrné činnosti ve vzdělávání"/>
    <m/>
    <m/>
    <m/>
    <m/>
    <m/>
    <m/>
    <m/>
    <m/>
    <m/>
    <m/>
    <m/>
    <m/>
    <m/>
    <m/>
    <m/>
    <m/>
    <m/>
  </r>
  <r>
    <s v="19270429"/>
    <s v="ZARÁMÍ ZLÍN z.s."/>
    <s v="706"/>
    <x v="1"/>
    <x v="0"/>
    <s v="Zlín"/>
    <s v="Zlín, Zarámí 399, PSČ 76001"/>
    <s v="93190"/>
    <s v="Ostatní sportovní činnosti"/>
    <m/>
    <m/>
    <m/>
    <m/>
    <m/>
    <m/>
    <m/>
    <m/>
    <m/>
    <m/>
    <m/>
    <m/>
    <m/>
    <m/>
    <m/>
    <m/>
    <m/>
  </r>
  <r>
    <s v="05132835"/>
    <s v="Záraza, z. s."/>
    <s v="706"/>
    <x v="1"/>
    <x v="2"/>
    <s v="Podolí"/>
    <s v="Podolí 188, PSČ 686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26679"/>
    <s v="ZASTÁVKA - spolek pro kulturu a vzdělanost na Bystřičce"/>
    <s v="706"/>
    <x v="1"/>
    <x v="1"/>
    <s v="Bystřička"/>
    <s v="Bystřička 385, PSČ 756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224484"/>
    <s v="Zašovjanka, dechová hudba, z.s."/>
    <s v="706"/>
    <x v="1"/>
    <x v="1"/>
    <s v="Zašová"/>
    <s v="Zašová 569, PSČ 7565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895489"/>
    <s v="ZAŠOVŠTÍ RYBÁŘI, z.s."/>
    <s v="706"/>
    <x v="1"/>
    <x v="1"/>
    <s v="Zašová"/>
    <s v="Zašová 571, PSČ 75651"/>
    <s v="9499"/>
    <s v="Činnosti ostatních organizací sdružujících osoby za účelem prosazování společných zájmů j. n."/>
    <s v="Sladkovodní rybolov"/>
    <m/>
    <m/>
    <m/>
    <m/>
    <m/>
    <m/>
    <m/>
    <m/>
    <m/>
    <m/>
    <m/>
    <m/>
    <m/>
    <m/>
    <m/>
    <m/>
  </r>
  <r>
    <s v="05684048"/>
    <s v="Zatoulané štěstí, z. s."/>
    <s v="706"/>
    <x v="1"/>
    <x v="3"/>
    <s v="Kroměříž"/>
    <s v="Kroměříž, Kojetínská 1175/42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3328266"/>
    <s v="Zažít Valmez Jinak z. s."/>
    <s v="706"/>
    <x v="1"/>
    <x v="1"/>
    <s v="Valašské Meziříčí"/>
    <s v="Valašské Meziříčí, Kálalova 993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610130"/>
    <s v="Zdounečanka, z. s."/>
    <s v="706"/>
    <x v="1"/>
    <x v="3"/>
    <s v="Zdounky"/>
    <s v="Zdounky 27, PSČ 768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636165"/>
    <s v="Zdravá Bečva z. s."/>
    <s v="706"/>
    <x v="1"/>
    <x v="1"/>
    <s v="Vsetín"/>
    <s v="Vsetín, Sušilova 1331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71501"/>
    <s v="Zdravá iniciativa z.s. Pravčice"/>
    <s v="706"/>
    <x v="1"/>
    <x v="3"/>
    <s v="Pravčice"/>
    <s v="Pravčice 111, PSČ 76824"/>
    <s v="94995"/>
    <s v="Činnosti environmentálních a ekologických hnutí"/>
    <m/>
    <m/>
    <m/>
    <m/>
    <m/>
    <m/>
    <m/>
    <m/>
    <m/>
    <m/>
    <m/>
    <m/>
    <m/>
    <m/>
    <m/>
    <m/>
    <m/>
  </r>
  <r>
    <s v="68689403"/>
    <s v="Zdravé město"/>
    <s v="706"/>
    <x v="1"/>
    <x v="2"/>
    <s v="Uherský Brod"/>
    <s v="Uherský Brod, Zahradní 1056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7411297"/>
    <s v="Zdravé tlapky v pohybu z.s."/>
    <s v="706"/>
    <x v="1"/>
    <x v="1"/>
    <s v="Růžďka"/>
    <s v="Růžďka 119, PSČ 756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8583"/>
    <s v="Z-dravé ženy, z.s."/>
    <s v="706"/>
    <x v="1"/>
    <x v="0"/>
    <s v="Tečovice"/>
    <s v="Tečovice 339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1264"/>
    <s v="Zdravější Vsetín a Střední Morava z.s."/>
    <s v="706"/>
    <x v="1"/>
    <x v="0"/>
    <s v="Luhačovice"/>
    <s v="Luhačovice, Josefa Černíka 453, PSČ 76326"/>
    <s v="94995"/>
    <s v="Činnosti environmentálních a ekologických hnutí"/>
    <m/>
    <m/>
    <m/>
    <m/>
    <m/>
    <m/>
    <m/>
    <m/>
    <m/>
    <m/>
    <m/>
    <m/>
    <m/>
    <m/>
    <m/>
    <m/>
    <m/>
  </r>
  <r>
    <s v="02412357"/>
    <s v="Zdravotnická škola Zlín, z.s."/>
    <s v="706"/>
    <x v="1"/>
    <x v="0"/>
    <s v="Zlín"/>
    <s v="Zlín, Příluky, Broučkova 372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27846"/>
    <s v="&quot;ZDRAVÝ DOMOV - vzdělávací centrum&quot;"/>
    <s v="706"/>
    <x v="1"/>
    <x v="1"/>
    <s v="Valašské Meziříčí"/>
    <s v="Valašské Meziříčí, Kraiczova 1040, PSČ 757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68898665"/>
    <s v="Zdravý Rožnov, z.s."/>
    <s v="706"/>
    <x v="1"/>
    <x v="1"/>
    <s v="Rožnov pod Radhoštěm"/>
    <s v="Rožnov pod Radhoštěm, Habrová 2295, PSČ 75661"/>
    <s v="94"/>
    <s v="Činnosti organizací sdružujících osoby za účelem prosazování společných zájmů"/>
    <m/>
    <m/>
    <m/>
    <m/>
    <m/>
    <m/>
    <m/>
    <m/>
    <m/>
    <m/>
    <m/>
    <m/>
    <m/>
    <m/>
    <m/>
    <m/>
    <m/>
  </r>
  <r>
    <s v="05981387"/>
    <s v="Zelená dětem, z.s."/>
    <s v="706"/>
    <x v="1"/>
    <x v="3"/>
    <s v="Bezměrov"/>
    <s v="Bezměrov 20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71293"/>
    <s v="&quot;Zelená Morava, o.s.&quot;"/>
    <s v="706"/>
    <x v="1"/>
    <x v="0"/>
    <s v="Zlín"/>
    <s v="Zlín, Práce 25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315789"/>
    <s v="Zelená pro občany z.s."/>
    <s v="706"/>
    <x v="1"/>
    <x v="3"/>
    <s v="Hulín"/>
    <s v="Hulín, nám. Míru 122, PSČ 768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417717"/>
    <s v="Zelené bydlení, z.s."/>
    <s v="706"/>
    <x v="1"/>
    <x v="0"/>
    <s v="Zlín"/>
    <s v="Zlín, Chlum 41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80659"/>
    <s v="Země Pampaedie"/>
    <s v="706"/>
    <x v="1"/>
    <x v="2"/>
    <s v="Hostějov"/>
    <s v="pošta Medlovice, Hostějov 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2676206"/>
    <s v="Zemětoč, z.s."/>
    <s v="706"/>
    <x v="1"/>
    <x v="2"/>
    <s v="Uherský Brod"/>
    <s v="Uherský Brod, Komenského 11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811997"/>
    <s v="ZHorDol z. s."/>
    <s v="706"/>
    <x v="1"/>
    <x v="1"/>
    <s v="Dolní Bečva"/>
    <s v="Dolní Bečva 686, PSČ 7565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8202931"/>
    <s v="ziSki race z.s."/>
    <s v="706"/>
    <x v="1"/>
    <x v="2"/>
    <s v="Uherské Hradiště"/>
    <s v="Uherské Hradiště, Mařatice, Příčná I. 761, PSČ 68605"/>
    <s v="93190"/>
    <s v="Ostatní sportovní činnosti"/>
    <m/>
    <m/>
    <m/>
    <m/>
    <m/>
    <m/>
    <m/>
    <m/>
    <m/>
    <m/>
    <m/>
    <m/>
    <m/>
    <m/>
    <m/>
    <m/>
    <m/>
  </r>
  <r>
    <s v="22827684"/>
    <s v="ZK Development Agency, o.s."/>
    <s v="706"/>
    <x v="1"/>
    <x v="2"/>
    <s v="Uherský Brod"/>
    <s v="Uherský Brod, Na Láně 1968, PSČ 688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2335049"/>
    <s v="ZKK-centrum Růžďka, z.s."/>
    <s v="706"/>
    <x v="1"/>
    <x v="1"/>
    <s v="Růžďka"/>
    <s v="Růžďka 138, PSČ 756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081475"/>
    <s v="ZKOLA-CZ, z. s."/>
    <s v="706"/>
    <x v="1"/>
    <x v="0"/>
    <s v="Otrokovice"/>
    <s v="Otrokovice, Kvítkovice, Hlavní 1254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874366"/>
    <s v="ZL CYCLING, z. s."/>
    <s v="706"/>
    <x v="1"/>
    <x v="0"/>
    <s v="Vizovice"/>
    <s v="Vizovice, 3. května 1281, PSČ 7631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3412911"/>
    <s v="Zlámaňan, z.s."/>
    <s v="706"/>
    <x v="1"/>
    <x v="2"/>
    <s v="Zlámanec"/>
    <s v="Zlámanec 95, PSČ 68712"/>
    <s v="94992"/>
    <s v="Činnosti organizací na podporu kulturní činnosti"/>
    <m/>
    <m/>
    <m/>
    <m/>
    <m/>
    <m/>
    <m/>
    <m/>
    <m/>
    <m/>
    <m/>
    <m/>
    <m/>
    <m/>
    <m/>
    <m/>
    <m/>
  </r>
  <r>
    <s v="22721142"/>
    <s v="Zlatý standard, o.s."/>
    <s v="706"/>
    <x v="1"/>
    <x v="0"/>
    <s v="Valašské Klobouky"/>
    <s v="Valašské Klobouky, Cyrilometodějská 212, PSČ 766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6598486"/>
    <s v="Zlín letecko modelářský klub 1 p.s."/>
    <s v="736"/>
    <x v="0"/>
    <x v="0"/>
    <s v="Zlín"/>
    <s v="Zlín, Příluky, Měsíční 579, PSČ 76001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9156934"/>
    <s v="Zlín motorsport"/>
    <s v="736"/>
    <x v="0"/>
    <x v="0"/>
    <s v="Zlín"/>
    <s v="Zlín, 246"/>
    <s v="931"/>
    <s v="Sportovní činnosti"/>
    <m/>
    <m/>
    <m/>
    <m/>
    <m/>
    <m/>
    <m/>
    <m/>
    <m/>
    <m/>
    <m/>
    <m/>
    <m/>
    <m/>
    <m/>
    <m/>
    <m/>
  </r>
  <r>
    <s v="22712771"/>
    <s v="Zlin tennis academy z.s."/>
    <s v="706"/>
    <x v="1"/>
    <x v="0"/>
    <s v="Zlín"/>
    <s v="Zlín, U Trojáku 4604, PSČ 76005"/>
    <s v="93120"/>
    <s v="Činnosti sportovních klubů"/>
    <m/>
    <m/>
    <m/>
    <m/>
    <m/>
    <m/>
    <m/>
    <m/>
    <m/>
    <m/>
    <m/>
    <m/>
    <m/>
    <m/>
    <m/>
    <m/>
    <m/>
  </r>
  <r>
    <s v="01735527"/>
    <s v="Zlín.AI z.s."/>
    <s v="706"/>
    <x v="1"/>
    <x v="0"/>
    <s v="Luhačovice"/>
    <s v="Luhačovice, Hrazanská 769, PSČ 76326"/>
    <s v="9499"/>
    <s v="Činnosti ostatních organizací sdružujících osoby za účelem prosazování společných zájmů j. n."/>
    <s v="Výroba, obchod a služby neuvedené v přílohách 1 až 3 živnostenského zákona"/>
    <s v="Ostatní vzdělávání"/>
    <s v="Pronájem a správa vlastních nebo pronajatých nemovitostí"/>
    <s v="Podpůrné činnosti pro scénická umění"/>
    <m/>
    <m/>
    <m/>
    <m/>
    <m/>
    <m/>
    <m/>
    <m/>
    <m/>
    <m/>
    <m/>
    <m/>
    <m/>
  </r>
  <r>
    <s v="68081839"/>
    <s v="Zlinmed - sdružení pro zdravotníky"/>
    <s v="706"/>
    <x v="1"/>
    <x v="0"/>
    <s v="Zlín"/>
    <s v="Zlín, Havlíčkovo nábřeží 600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76475"/>
    <s v="Zlínská astronomická společnost, z.s."/>
    <s v="706"/>
    <x v="1"/>
    <x v="0"/>
    <s v="Zlín"/>
    <s v="Zlín, Lesní čtvrť III 544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81871"/>
    <s v="Zlínská krajská asociace Sport pro všechny"/>
    <s v="706"/>
    <x v="1"/>
    <x v="3"/>
    <s v="Holešov"/>
    <s v="Holešov, Národních bojovníků 1016/12, PSČ 76901"/>
    <s v="93110"/>
    <s v="Provozování sportovních zařízení"/>
    <m/>
    <m/>
    <m/>
    <m/>
    <m/>
    <m/>
    <m/>
    <m/>
    <m/>
    <m/>
    <m/>
    <m/>
    <m/>
    <m/>
    <m/>
    <m/>
    <m/>
  </r>
  <r>
    <s v="70925003"/>
    <s v="ZLÍNSKÁ KRAJSKÁ ORGANIZACE ČUS"/>
    <s v="736"/>
    <x v="0"/>
    <x v="0"/>
    <s v="Zlín"/>
    <s v="Zlín, Hradská 854, PSČ 76001"/>
    <s v="93110"/>
    <s v="Provozování sportovních zařízení"/>
    <m/>
    <m/>
    <m/>
    <m/>
    <m/>
    <m/>
    <m/>
    <m/>
    <m/>
    <m/>
    <m/>
    <m/>
    <m/>
    <m/>
    <m/>
    <m/>
    <m/>
  </r>
  <r>
    <s v="22761560"/>
    <s v="Zlínská křižovatka, z. s."/>
    <s v="706"/>
    <x v="1"/>
    <x v="0"/>
    <s v="Zlín"/>
    <s v="Zlín, Podlesí II 5609, PSČ 760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013929"/>
    <s v="Zlínská liga železných hasičů z.s."/>
    <s v="706"/>
    <x v="1"/>
    <x v="3"/>
    <s v="Kunkovice"/>
    <s v="Kunkovice 40, PSČ 76813"/>
    <s v="93190"/>
    <s v="Ostatní sportovní činnosti"/>
    <m/>
    <m/>
    <m/>
    <m/>
    <m/>
    <m/>
    <m/>
    <m/>
    <m/>
    <m/>
    <m/>
    <m/>
    <m/>
    <m/>
    <m/>
    <m/>
    <m/>
  </r>
  <r>
    <s v="07034962"/>
    <s v="Zlínská literární tržnice, z.s."/>
    <s v="706"/>
    <x v="1"/>
    <x v="0"/>
    <s v="Zlín"/>
    <s v="Zlín, Štípa, Kostelecká 256, PSČ 7631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554166"/>
    <s v="Zlínská soukromá vyšší odborná škola umění, o.p.s."/>
    <s v="141"/>
    <x v="2"/>
    <x v="0"/>
    <s v="Zlín"/>
    <s v="Zlín, Dřevnická 1788, PSČ 76001"/>
    <s v="85420"/>
    <s v="Terciární vzdělávání"/>
    <s v="Ostatní profesní, vědecké a technické činnosti"/>
    <m/>
    <m/>
    <m/>
    <m/>
    <m/>
    <m/>
    <m/>
    <m/>
    <m/>
    <m/>
    <m/>
    <m/>
    <m/>
    <m/>
    <m/>
    <m/>
  </r>
  <r>
    <s v="19196351"/>
    <s v="Zlínská sportovní akademie karate, z.s."/>
    <s v="706"/>
    <x v="1"/>
    <x v="3"/>
    <s v="Kroměříž"/>
    <s v="Kroměříž, Spáčilova 3544/56, PSČ 76701"/>
    <s v="93190"/>
    <s v="Ostatní sportovní činnosti"/>
    <m/>
    <m/>
    <m/>
    <m/>
    <m/>
    <m/>
    <m/>
    <m/>
    <m/>
    <m/>
    <m/>
    <m/>
    <m/>
    <m/>
    <m/>
    <m/>
    <m/>
  </r>
  <r>
    <s v="22731024"/>
    <s v="Zlínská šermířská společnost, z.s."/>
    <s v="706"/>
    <x v="1"/>
    <x v="0"/>
    <s v="Zlín"/>
    <s v="Zlín, Štefánikova 219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631873"/>
    <s v="Zlínské aplikované sporty z. s."/>
    <s v="706"/>
    <x v="1"/>
    <x v="0"/>
    <s v="Zlín"/>
    <s v="Zlín, M. Knesla 4056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3448932"/>
    <s v="Zlínské genetické centrum z.s."/>
    <s v="706"/>
    <x v="1"/>
    <x v="0"/>
    <s v="Zlín"/>
    <s v="Zlín, U Lomu 638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8034276"/>
    <s v="Zlínské podhoubí z.s."/>
    <s v="706"/>
    <x v="1"/>
    <x v="0"/>
    <s v="Zlín"/>
    <s v="Zlín, Na Výsluní 25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8560868"/>
    <s v="&quot;Zlínský klub pohybových aktivit, o. s.&quot;"/>
    <s v="706"/>
    <x v="1"/>
    <x v="0"/>
    <s v="Zlín"/>
    <s v="Zlín, Tyršovo nábřeží 192, PSČ 76001"/>
    <s v="93110"/>
    <s v="Provozování sportovních zařízení"/>
    <m/>
    <m/>
    <m/>
    <m/>
    <m/>
    <m/>
    <m/>
    <m/>
    <m/>
    <m/>
    <m/>
    <m/>
    <m/>
    <m/>
    <m/>
    <m/>
    <m/>
  </r>
  <r>
    <s v="70927961"/>
    <s v="Zlínský krajský atletický svaz"/>
    <s v="736"/>
    <x v="0"/>
    <x v="0"/>
    <s v="Zlín"/>
    <s v="Zlín, Hradská 854, PSČ 76001"/>
    <s v="931"/>
    <s v="Sportovní činnosti"/>
    <m/>
    <m/>
    <m/>
    <m/>
    <m/>
    <m/>
    <m/>
    <m/>
    <m/>
    <m/>
    <m/>
    <m/>
    <m/>
    <m/>
    <m/>
    <m/>
    <m/>
  </r>
  <r>
    <s v="70935882"/>
    <s v="Zlínský krajský fotbalový svaz"/>
    <s v="736"/>
    <x v="0"/>
    <x v="0"/>
    <s v="Zlín"/>
    <s v="Zlín, Hradská 854, PSČ 76001"/>
    <s v="9311"/>
    <s v="Provozování sportovních zařízení"/>
    <m/>
    <m/>
    <m/>
    <m/>
    <m/>
    <m/>
    <m/>
    <m/>
    <m/>
    <m/>
    <m/>
    <m/>
    <m/>
    <m/>
    <m/>
    <m/>
    <m/>
  </r>
  <r>
    <s v="10794760"/>
    <s v="Zlínský krajský kuželkářský svaz ČKBF"/>
    <s v="736"/>
    <x v="0"/>
    <x v="0"/>
    <s v="Zlín"/>
    <s v="Zlín, Hradská 854, PSČ 76001"/>
    <s v="93110"/>
    <s v="Provozování sportovních zařízení"/>
    <m/>
    <m/>
    <m/>
    <m/>
    <m/>
    <m/>
    <m/>
    <m/>
    <m/>
    <m/>
    <m/>
    <m/>
    <m/>
    <m/>
    <m/>
    <m/>
    <m/>
  </r>
  <r>
    <s v="21085510"/>
    <s v="Zlínský krajský svaz ČAK, z.s."/>
    <s v="736"/>
    <x v="0"/>
    <x v="1"/>
    <s v="Rožnov pod Radhoštěm"/>
    <s v="Rožnov pod Radhoštěm, Žerotínská 2652, PSČ 75661"/>
    <s v="93110"/>
    <s v="Provozování sportovních zařízení"/>
    <m/>
    <m/>
    <m/>
    <m/>
    <m/>
    <m/>
    <m/>
    <m/>
    <m/>
    <m/>
    <m/>
    <m/>
    <m/>
    <m/>
    <m/>
    <m/>
    <m/>
  </r>
  <r>
    <s v="05101271"/>
    <s v="Zlínský krajský svaz ČSOS"/>
    <s v="736"/>
    <x v="0"/>
    <x v="0"/>
    <s v="Zlín"/>
    <s v="Zlín, Hradská 854, PSČ 76001"/>
    <s v="931"/>
    <s v="Sportovní činnosti"/>
    <m/>
    <m/>
    <m/>
    <m/>
    <m/>
    <m/>
    <m/>
    <m/>
    <m/>
    <m/>
    <m/>
    <m/>
    <m/>
    <m/>
    <m/>
    <m/>
    <m/>
  </r>
  <r>
    <s v="08972958"/>
    <s v="Zlínský krajský svaz futsalu"/>
    <s v="736"/>
    <x v="0"/>
    <x v="1"/>
    <s v="Lhota u Vsetína"/>
    <s v="Lhota u Vsetína 36, PSČ 75501"/>
    <s v="931"/>
    <s v="Sportovní činnosti"/>
    <m/>
    <m/>
    <m/>
    <m/>
    <m/>
    <m/>
    <m/>
    <m/>
    <m/>
    <m/>
    <m/>
    <m/>
    <m/>
    <m/>
    <m/>
    <m/>
    <m/>
  </r>
  <r>
    <s v="06512526"/>
    <s v="Zlínský krajský svaz stolního tenisu, z.s."/>
    <s v="706"/>
    <x v="1"/>
    <x v="0"/>
    <s v="Zlín"/>
    <s v="Zlín, Hradská 854, PSČ 76001"/>
    <s v="93120"/>
    <s v="Činnosti sportovních klubů"/>
    <m/>
    <m/>
    <m/>
    <m/>
    <m/>
    <m/>
    <m/>
    <m/>
    <m/>
    <m/>
    <m/>
    <m/>
    <m/>
    <m/>
    <m/>
    <m/>
    <m/>
  </r>
  <r>
    <s v="26537583"/>
    <s v="Zlínský krajský svaz vzpírání z.s."/>
    <s v="706"/>
    <x v="1"/>
    <x v="3"/>
    <s v="Kurovice"/>
    <s v="Kurovice 86, PSČ 76852"/>
    <s v="93110"/>
    <s v="Provozování sportovních zařízení"/>
    <m/>
    <m/>
    <m/>
    <m/>
    <m/>
    <m/>
    <m/>
    <m/>
    <m/>
    <m/>
    <m/>
    <m/>
    <m/>
    <m/>
    <m/>
    <m/>
    <m/>
  </r>
  <r>
    <s v="75048515"/>
    <s v="Zlínský krajský štáb sálového fotbalu"/>
    <s v="736"/>
    <x v="0"/>
    <x v="0"/>
    <s v="Zlín"/>
    <s v="Zlín, Sokolská 3925, PSČ 76001"/>
    <s v="931"/>
    <s v="Sportovní činnosti"/>
    <m/>
    <m/>
    <m/>
    <m/>
    <m/>
    <m/>
    <m/>
    <m/>
    <m/>
    <m/>
    <m/>
    <m/>
    <m/>
    <m/>
    <m/>
    <m/>
    <m/>
  </r>
  <r>
    <s v="01365258"/>
    <s v="Zlínský kreativní klastr, z.s."/>
    <s v="706"/>
    <x v="1"/>
    <x v="0"/>
    <s v="Zlín"/>
    <s v="Zlín, Univerzitní 2431, PSČ 76001"/>
    <s v="94120"/>
    <s v="Činnosti profesních organizací"/>
    <s v="Tisk a rozmnožování nahraných nosičů"/>
    <s v="Vydavatelské činnosti"/>
    <s v="Činnosti v oblasti filmů, videozáznamů a televizních programů, pořizování zvukových nahrávek a hudební vydavatelské činnosti"/>
    <s v="Výzkum a vývoj"/>
    <s v="Činnosti v oblasti informačních technologií"/>
    <m/>
    <m/>
    <m/>
    <m/>
    <m/>
    <m/>
    <m/>
    <m/>
    <m/>
    <m/>
    <m/>
    <m/>
  </r>
  <r>
    <s v="22865047"/>
    <s v="Zlínský plavecký klub, z.s."/>
    <s v="706"/>
    <x v="1"/>
    <x v="0"/>
    <s v="Zlín"/>
    <s v="Zlín, Štípa, Zámecká 333, PSČ 76314"/>
    <s v="93120"/>
    <s v="Činnosti sportovních klubů"/>
    <m/>
    <m/>
    <m/>
    <m/>
    <m/>
    <m/>
    <m/>
    <m/>
    <m/>
    <m/>
    <m/>
    <m/>
    <m/>
    <m/>
    <m/>
    <m/>
    <m/>
  </r>
  <r>
    <s v="26602211"/>
    <s v="Zlínský rybářský spolek"/>
    <s v="706"/>
    <x v="1"/>
    <x v="0"/>
    <s v="Zlín"/>
    <s v="Zlín, Kvítková 432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1605992"/>
    <s v="„Zlínský spolek přátel dopravy, o.s.”"/>
    <s v="706"/>
    <x v="1"/>
    <x v="0"/>
    <s v="Otrokovice"/>
    <s v="Otrokovice, Prostřední 444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992574"/>
    <s v="Zlínský spolek přátel trolejbusové dopravy, o.s."/>
    <s v="706"/>
    <x v="1"/>
    <x v="0"/>
    <s v="Otrokovice"/>
    <s v="Otrokovice, Kvítkovice, Hlavní 1249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9374511"/>
    <s v="Zlínský zámek o.p.s."/>
    <s v="141"/>
    <x v="2"/>
    <x v="0"/>
    <s v="Zlín"/>
    <s v="Zlín, Soudní 1, PSČ 76001"/>
    <s v="900"/>
    <s v="Tvůrčí, umělecké a zábavní činnosti"/>
    <s v="Vydavatelské činnosti"/>
    <s v="Zprostředkování velkoobchodu a velkoobchod v zastoupení"/>
    <s v="Maloobchod v nespecializovaných prodejnách"/>
    <s v="Pronájem a správa vlastních nebo pronajatých nemovitostí"/>
    <s v="Ostatní profesní, vědecké a technické činnosti j. n."/>
    <s v="Činnosti reklamních agentur"/>
    <m/>
    <m/>
    <m/>
    <m/>
    <m/>
    <m/>
    <m/>
    <m/>
    <m/>
    <m/>
    <m/>
  </r>
  <r>
    <s v="22710051"/>
    <s v="Zlínští rozhněvaní a naštvaní občané (ZRNO), o.s."/>
    <s v="706"/>
    <x v="1"/>
    <x v="0"/>
    <s v="Zlín"/>
    <s v="Zlín, nám. T. G. Masaryka 243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92726"/>
    <s v="ZLK Zlínsport, z.s."/>
    <s v="706"/>
    <x v="1"/>
    <x v="0"/>
    <s v="Lípa"/>
    <s v="Lípa 151, PSČ 7631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967318"/>
    <s v="ZO ČSOP Buchlovice"/>
    <s v="736"/>
    <x v="0"/>
    <x v="2"/>
    <s v="Buchlovice"/>
    <s v="Buchlovice, Hradišťská 623, PSČ 68708"/>
    <s v="94995"/>
    <s v="Činnosti environmentálních a ekologických hnutí"/>
    <m/>
    <m/>
    <m/>
    <m/>
    <m/>
    <m/>
    <m/>
    <m/>
    <m/>
    <m/>
    <m/>
    <m/>
    <m/>
    <m/>
    <m/>
    <m/>
    <m/>
  </r>
  <r>
    <s v="47935758"/>
    <s v="ZO ČSOP DIVOKY"/>
    <s v="736"/>
    <x v="0"/>
    <x v="3"/>
    <s v="Zdounky"/>
    <s v="Zdounky, Divoky 45, PSČ 76802"/>
    <s v="94995"/>
    <s v="Činnosti environmentálních a ekologických hnutí"/>
    <m/>
    <m/>
    <m/>
    <m/>
    <m/>
    <m/>
    <m/>
    <m/>
    <m/>
    <m/>
    <m/>
    <m/>
    <m/>
    <m/>
    <m/>
    <m/>
    <m/>
  </r>
  <r>
    <s v="44117477"/>
    <s v="ZO ČSOP Ekocentrum Čtyřlístek"/>
    <s v="736"/>
    <x v="0"/>
    <x v="0"/>
    <s v="Zlín"/>
    <s v="Zlín, Zálešná III 1147/52, PSČ 76001"/>
    <s v="94995"/>
    <s v="Činnosti environmentálních a ekologických hnutí"/>
    <m/>
    <m/>
    <m/>
    <m/>
    <m/>
    <m/>
    <m/>
    <m/>
    <m/>
    <m/>
    <m/>
    <m/>
    <m/>
    <m/>
    <m/>
    <m/>
    <m/>
  </r>
  <r>
    <s v="75109271"/>
    <s v="ZO ČSOP Hošťálková"/>
    <s v="736"/>
    <x v="0"/>
    <x v="1"/>
    <s v="Hošťálková"/>
    <s v="Hošťálková 10, PSČ 75622"/>
    <s v="94995"/>
    <s v="Činnosti environmentálních a ekologických hnutí"/>
    <m/>
    <m/>
    <m/>
    <m/>
    <m/>
    <m/>
    <m/>
    <m/>
    <m/>
    <m/>
    <m/>
    <m/>
    <m/>
    <m/>
    <m/>
    <m/>
    <m/>
  </r>
  <r>
    <s v="60575590"/>
    <s v="ZO ČSOP Jalovec"/>
    <s v="736"/>
    <x v="0"/>
    <x v="2"/>
    <s v="Horní Němčí"/>
    <s v="Horní Němčí 316, PSČ 68764"/>
    <s v="94995"/>
    <s v="Činnosti environmentálních a ekologických hnutí"/>
    <m/>
    <m/>
    <m/>
    <m/>
    <m/>
    <m/>
    <m/>
    <m/>
    <m/>
    <m/>
    <m/>
    <m/>
    <m/>
    <m/>
    <m/>
    <m/>
    <m/>
  </r>
  <r>
    <s v="47930314"/>
    <s v="ZO ČSOP KORYČANY"/>
    <s v="736"/>
    <x v="0"/>
    <x v="3"/>
    <s v="Koryčany"/>
    <s v="Koryčany, Náměstí 29, PSČ 76805"/>
    <s v="94995"/>
    <s v="Činnosti environmentálních a ekologických hnutí"/>
    <m/>
    <m/>
    <m/>
    <m/>
    <m/>
    <m/>
    <m/>
    <m/>
    <m/>
    <m/>
    <m/>
    <m/>
    <m/>
    <m/>
    <m/>
    <m/>
    <m/>
  </r>
  <r>
    <s v="46276394"/>
    <s v="ZO ČSOP KOSENKA"/>
    <s v="736"/>
    <x v="0"/>
    <x v="0"/>
    <s v="Valašské Klobouky"/>
    <s v="Valašské Klobouky, Brumovská 11, PSČ 76601"/>
    <s v="94995"/>
    <s v="Činnosti environmentálních a ekologických hnutí"/>
    <m/>
    <m/>
    <m/>
    <m/>
    <m/>
    <m/>
    <m/>
    <m/>
    <m/>
    <m/>
    <m/>
    <m/>
    <m/>
    <m/>
    <m/>
    <m/>
    <m/>
  </r>
  <r>
    <s v="49563289"/>
    <s v="ZO ČSOP Orchidea Valašsko"/>
    <s v="736"/>
    <x v="0"/>
    <x v="1"/>
    <s v="Valašská Bystřice"/>
    <s v="Valašská Bystřice 185, PSČ 75627"/>
    <s v="94995"/>
    <s v="Činnosti environmentálních a ekologických hnutí"/>
    <m/>
    <m/>
    <m/>
    <m/>
    <m/>
    <m/>
    <m/>
    <m/>
    <m/>
    <m/>
    <m/>
    <m/>
    <m/>
    <m/>
    <m/>
    <m/>
    <m/>
  </r>
  <r>
    <s v="48471861"/>
    <s v="ZO ČSOP PORTÁŠ Jasenná"/>
    <s v="736"/>
    <x v="0"/>
    <x v="0"/>
    <s v="Jasenná"/>
    <s v="Jasenná, 24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4123804"/>
    <s v="ZO ČSOP Radhošť"/>
    <s v="736"/>
    <x v="0"/>
    <x v="1"/>
    <s v="Rožnov pod Radhoštěm"/>
    <s v="Rožnov pod Radhoštěm, Láz 2287, PSČ 75661"/>
    <s v="94995"/>
    <s v="Činnosti environmentálních a ekologických hnutí"/>
    <m/>
    <m/>
    <m/>
    <m/>
    <m/>
    <m/>
    <m/>
    <m/>
    <m/>
    <m/>
    <m/>
    <m/>
    <m/>
    <m/>
    <m/>
    <m/>
    <m/>
  </r>
  <r>
    <s v="46277366"/>
    <s v="ZO ČSOP Slavičín 57/04"/>
    <s v="736"/>
    <x v="0"/>
    <x v="0"/>
    <s v="Slavičín"/>
    <s v="Slavičín, U Zahrádek 480, PSČ 763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54668"/>
    <s v="ZO ČSOP SLOVÁCKÁ KRAJINA Hradčovice"/>
    <s v="736"/>
    <x v="0"/>
    <x v="2"/>
    <s v="Hradčovice"/>
    <s v="Hradčovice 257, PSČ 68733"/>
    <s v="94995"/>
    <s v="Činnosti environmentálních a ekologických hnutí"/>
    <m/>
    <m/>
    <m/>
    <m/>
    <m/>
    <m/>
    <m/>
    <m/>
    <m/>
    <m/>
    <m/>
    <m/>
    <m/>
    <m/>
    <m/>
    <m/>
    <m/>
  </r>
  <r>
    <s v="65341708"/>
    <s v="ZO ČSOP Uherskohradišťsko"/>
    <s v="736"/>
    <x v="0"/>
    <x v="2"/>
    <s v="Drslavice"/>
    <s v="Drslavice 18, PSČ 68733"/>
    <s v="94995"/>
    <s v="Činnosti environmentálních a ekologických hnutí"/>
    <m/>
    <m/>
    <m/>
    <m/>
    <m/>
    <m/>
    <m/>
    <m/>
    <m/>
    <m/>
    <m/>
    <m/>
    <m/>
    <m/>
    <m/>
    <m/>
    <m/>
  </r>
  <r>
    <s v="65270011"/>
    <s v="ZO ČSOP VIA Hulín"/>
    <s v="736"/>
    <x v="0"/>
    <x v="3"/>
    <s v="Hulín"/>
    <s v="Hulín, Hviezdoslavova 640, PSČ 76824"/>
    <s v="94995"/>
    <s v="Činnosti environmentálních a ekologických hnutí"/>
    <m/>
    <m/>
    <m/>
    <m/>
    <m/>
    <m/>
    <m/>
    <m/>
    <m/>
    <m/>
    <m/>
    <m/>
    <m/>
    <m/>
    <m/>
    <m/>
    <m/>
  </r>
  <r>
    <s v="46308237"/>
    <s v="ZO ČSOP Zelené údolí u Doubrav"/>
    <s v="736"/>
    <x v="0"/>
    <x v="0"/>
    <s v="Doubravy"/>
    <s v="Doubravy 41, PSČ 76345"/>
    <s v="94995"/>
    <s v="Činnosti environmentálních a ekologických hnutí"/>
    <m/>
    <m/>
    <m/>
    <m/>
    <m/>
    <m/>
    <m/>
    <m/>
    <m/>
    <m/>
    <m/>
    <m/>
    <m/>
    <m/>
    <m/>
    <m/>
    <m/>
  </r>
  <r>
    <s v="65326385"/>
    <s v="ZO ČSOP 63/01 Centaurea"/>
    <s v="736"/>
    <x v="0"/>
    <x v="2"/>
    <s v="Uherský Brod"/>
    <s v="Uherský Brod, Okružní 1542, PSČ 68801"/>
    <s v="94995"/>
    <s v="Činnosti environmentálních a ekologických hnutí"/>
    <m/>
    <m/>
    <m/>
    <m/>
    <m/>
    <m/>
    <m/>
    <m/>
    <m/>
    <m/>
    <m/>
    <m/>
    <m/>
    <m/>
    <m/>
    <m/>
    <m/>
  </r>
  <r>
    <s v="62831968"/>
    <s v="ZO ČSOP 63/08 Rochůs"/>
    <s v="736"/>
    <x v="0"/>
    <x v="2"/>
    <s v="Uherské Hradiště"/>
    <s v="Uherské Hradiště, Lechova 571, PSČ 68601"/>
    <s v="94995"/>
    <s v="Činnosti environmentálních a ekologických hnutí"/>
    <m/>
    <m/>
    <m/>
    <m/>
    <m/>
    <m/>
    <m/>
    <m/>
    <m/>
    <m/>
    <m/>
    <m/>
    <m/>
    <m/>
    <m/>
    <m/>
    <m/>
  </r>
  <r>
    <s v="72044705"/>
    <s v="ZO ČSOP 63/14 Jadernička"/>
    <s v="736"/>
    <x v="0"/>
    <x v="0"/>
    <s v="Rudimov"/>
    <s v="Rudimov 91, PSČ 76321"/>
    <s v="94995"/>
    <s v="Činnosti environmentálních a ekologických hnutí"/>
    <s v="Lesnictví a těžba dřeva"/>
    <s v="Smíšené hospodářství"/>
    <s v="Podpůrné činnosti pro zemědělství a posklizňové činnosti"/>
    <s v="Akvakultura"/>
    <m/>
    <m/>
    <m/>
    <m/>
    <m/>
    <m/>
    <m/>
    <m/>
    <m/>
    <m/>
    <m/>
    <m/>
    <m/>
  </r>
  <r>
    <s v="75146223"/>
    <s v="ZO ČSOP 76/04 JASENICE"/>
    <s v="736"/>
    <x v="0"/>
    <x v="1"/>
    <s v="Lešná"/>
    <s v="Lešná, 8E"/>
    <s v="94995"/>
    <s v="Činnosti environmentálních a ekologických hnutí"/>
    <m/>
    <m/>
    <m/>
    <m/>
    <m/>
    <m/>
    <m/>
    <m/>
    <m/>
    <m/>
    <m/>
    <m/>
    <m/>
    <m/>
    <m/>
    <m/>
    <m/>
  </r>
  <r>
    <s v="70893675"/>
    <s v="ZO ČSOP 76/17 JAVORNÍČEK"/>
    <s v="736"/>
    <x v="0"/>
    <x v="1"/>
    <s v="Valašské Meziříčí"/>
    <s v="Valašské Meziříčí, Podlesí 32, PSČ 75701"/>
    <s v="94995"/>
    <s v="Činnosti environmentálních a ekologických hnutí"/>
    <m/>
    <m/>
    <m/>
    <m/>
    <m/>
    <m/>
    <m/>
    <m/>
    <m/>
    <m/>
    <m/>
    <m/>
    <m/>
    <m/>
    <m/>
    <m/>
    <m/>
  </r>
  <r>
    <s v="72019476"/>
    <s v="ZO ČSOP 76/21 VARTOVNA LIPTÁL"/>
    <s v="736"/>
    <x v="0"/>
    <x v="1"/>
    <s v="Liptál"/>
    <s v="Liptál 398, PSČ 75631"/>
    <s v="94995"/>
    <s v="Činnosti environmentálních a ekologických hnutí"/>
    <m/>
    <m/>
    <m/>
    <m/>
    <m/>
    <m/>
    <m/>
    <m/>
    <m/>
    <m/>
    <m/>
    <m/>
    <m/>
    <m/>
    <m/>
    <m/>
    <m/>
  </r>
  <r>
    <s v="09264337"/>
    <s v="ZO ČSŽ Rudice"/>
    <s v="736"/>
    <x v="0"/>
    <x v="2"/>
    <s v="Rudice"/>
    <s v="Rudice 205, PSČ 68732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48506117"/>
    <s v="ZO Sdružení technických sportů a činností Boršice u Blatnice, z.s."/>
    <s v="706"/>
    <x v="1"/>
    <x v="2"/>
    <s v="Boršice u Blatnice"/>
    <s v="Boršice u Blatnice 383, PSČ 68763"/>
    <s v="9499"/>
    <s v="Činnosti ostatních organizací sdružujících osoby za účelem prosazování společných zájmů j. n."/>
    <s v="Ostatní vzdělávání"/>
    <m/>
    <m/>
    <m/>
    <m/>
    <m/>
    <m/>
    <m/>
    <m/>
    <m/>
    <m/>
    <m/>
    <m/>
    <m/>
    <m/>
    <m/>
    <m/>
  </r>
  <r>
    <s v="47930268"/>
    <s v="ZO 60/03 Planorbis ČSOP Kroměříž"/>
    <s v="736"/>
    <x v="0"/>
    <x v="3"/>
    <s v="Kroměříž"/>
    <s v="Kroměříž, Vrchlického 2859/15, PSČ 76701"/>
    <s v="94995"/>
    <s v="Činnosti environmentálních a ekologických hnutí"/>
    <m/>
    <m/>
    <m/>
    <m/>
    <m/>
    <m/>
    <m/>
    <m/>
    <m/>
    <m/>
    <m/>
    <m/>
    <m/>
    <m/>
    <m/>
    <m/>
    <m/>
  </r>
  <r>
    <s v="08346909"/>
    <s v="Zpívám pro dobrou věc z. s."/>
    <s v="706"/>
    <x v="1"/>
    <x v="1"/>
    <s v="Rožnov pod Radhoštěm"/>
    <s v="Rožnov pod Radhoštěm, Dolní Paseky 978, PSČ 756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6121"/>
    <s v="z.s. MORRIGAN, společnost přátel historie"/>
    <s v="706"/>
    <x v="1"/>
    <x v="2"/>
    <s v="Staré Město"/>
    <s v="Staré Město, Bratří Mrštíků 1598, PSČ 686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1912391"/>
    <s v="z.s. Motokros Strání"/>
    <s v="706"/>
    <x v="1"/>
    <x v="2"/>
    <s v="Strání"/>
    <s v="Strání, Květná, Slovenská 414, PSČ 68766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26652731"/>
    <s v="z.s. Paintball Klub Halenkovice"/>
    <s v="706"/>
    <x v="1"/>
    <x v="0"/>
    <s v="Halenkovice"/>
    <s v="Halenkovice 691, PSČ 76363"/>
    <s v="93110"/>
    <s v="Provozování sportovních zařízení"/>
    <m/>
    <m/>
    <m/>
    <m/>
    <m/>
    <m/>
    <m/>
    <m/>
    <m/>
    <m/>
    <m/>
    <m/>
    <m/>
    <m/>
    <m/>
    <m/>
    <m/>
  </r>
  <r>
    <s v="22864610"/>
    <s v="z.s. Sportovní unie policie Uherské Hradiště"/>
    <s v="706"/>
    <x v="1"/>
    <x v="2"/>
    <s v="Uherské Hradiště"/>
    <s v="Uherské Hradiště, Velehradská třída 1217, PSČ 68601"/>
    <s v="93110"/>
    <s v="Provozování sportovních zařízení"/>
    <m/>
    <m/>
    <m/>
    <m/>
    <m/>
    <m/>
    <m/>
    <m/>
    <m/>
    <m/>
    <m/>
    <m/>
    <m/>
    <m/>
    <m/>
    <m/>
    <m/>
  </r>
  <r>
    <s v="67728324"/>
    <s v="ZŠ Křižná - nadační fond"/>
    <s v="118"/>
    <x v="6"/>
    <x v="1"/>
    <s v="Valašské Meziříčí"/>
    <s v="Valašské Meziříčí, Krásno nad Bečvou, Křižná 167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5837141"/>
    <s v="ZŠ Žerotínova - nadační fond"/>
    <s v="118"/>
    <x v="6"/>
    <x v="1"/>
    <s v="Valašské Meziříčí"/>
    <s v="Valašské Meziříčí, Žerotínova 376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761367"/>
    <s v="Zubřík, z.s."/>
    <s v="706"/>
    <x v="1"/>
    <x v="0"/>
    <s v="Zlín"/>
    <s v="Zlín, Malenovice, Tyršova 323, PSČ 763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86681"/>
    <s v="Zvelebovací spolek Růžďka"/>
    <s v="706"/>
    <x v="1"/>
    <x v="1"/>
    <s v="Růžďka"/>
    <s v="Růžďka 19, PSČ 7562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9752382"/>
    <s v="ZVONIČKA V KRHOVÉ z. s."/>
    <s v="706"/>
    <x v="1"/>
    <x v="1"/>
    <s v="Krhová"/>
    <s v="Krhová, Zahájenka 129, PSČ 7566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900861"/>
    <s v="Zvonky Dobré zprávy z.s."/>
    <s v="706"/>
    <x v="1"/>
    <x v="1"/>
    <s v="Kateřinice"/>
    <s v="Kateřinice 226, PSČ 7562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270274"/>
    <s v="ŽABATOUR"/>
    <s v="706"/>
    <x v="1"/>
    <x v="3"/>
    <s v="Holešov"/>
    <s v="Holešov, nám. Dr. Beneše 2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0925091"/>
    <s v="Ženský pěvecký folklorní soubor LIPUŠE z.s."/>
    <s v="706"/>
    <x v="1"/>
    <x v="2"/>
    <s v="Jankovice"/>
    <s v="Jankovice 15, PSČ 6870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9413726"/>
    <s v="Ženský pěvecký sbor Karlovjanky, z.s."/>
    <s v="706"/>
    <x v="1"/>
    <x v="1"/>
    <s v="Velké Karlovice"/>
    <s v="Velké Karlovice 999, PSČ 75606"/>
    <s v="90010"/>
    <s v="Scénická umění"/>
    <m/>
    <m/>
    <m/>
    <m/>
    <m/>
    <m/>
    <m/>
    <m/>
    <m/>
    <m/>
    <m/>
    <m/>
    <m/>
    <m/>
    <m/>
    <m/>
    <m/>
  </r>
  <r>
    <s v="05544866"/>
    <s v="Ženský pěvecký sbor Nedakoňské srnky, z.s."/>
    <s v="706"/>
    <x v="1"/>
    <x v="2"/>
    <s v="Nedakonice"/>
    <s v="Nedakonice 450, PSČ 68738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800227"/>
    <s v="Ženský pěvecký sbor Otrokovice, z. s."/>
    <s v="706"/>
    <x v="1"/>
    <x v="0"/>
    <s v="Otrokovice"/>
    <s v="Otrokovice, Prostřední 423, PSČ 7650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497710"/>
    <s v="Ženský sbor Nedachlebjanky, spolek"/>
    <s v="706"/>
    <x v="1"/>
    <x v="2"/>
    <s v="Nedachlebice"/>
    <s v="Nedachlebice 250, PSČ 6871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7114346"/>
    <s v="Ženský sbor z Kudlovic, z.s."/>
    <s v="706"/>
    <x v="1"/>
    <x v="2"/>
    <s v="Kudlovice"/>
    <s v="Kudlovice 39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14250853"/>
    <s v="Ženy bez puntíku z.s."/>
    <s v="706"/>
    <x v="1"/>
    <x v="1"/>
    <s v="Police"/>
    <s v="Police 185, PSČ 7564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6566176"/>
    <s v="&quot;Ženy Blazice&quot;"/>
    <s v="706"/>
    <x v="1"/>
    <x v="3"/>
    <s v="Blazice"/>
    <s v="Blazice 6, p. Bystřice pod Hostýnem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607591"/>
    <s v="Ženy Ludslavice spolek"/>
    <s v="706"/>
    <x v="1"/>
    <x v="3"/>
    <s v="Ludslavice"/>
    <s v="Ludslavice 31, PSČ 76852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605271"/>
    <s v="Ženy Rajnochovice z.s."/>
    <s v="706"/>
    <x v="1"/>
    <x v="3"/>
    <s v="Rajnochovice"/>
    <s v="Rajnochovice 155, PSČ 768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44368"/>
    <s v="Žerotínova o.s."/>
    <s v="706"/>
    <x v="1"/>
    <x v="1"/>
    <s v="Valašské Meziříčí"/>
    <s v="Valašské Meziříčí, Žerotínova 212, PSČ 75701"/>
    <s v="94995"/>
    <s v="Činnosti environmentálních a ekologických hnutí"/>
    <m/>
    <m/>
    <m/>
    <m/>
    <m/>
    <m/>
    <m/>
    <m/>
    <m/>
    <m/>
    <m/>
    <m/>
    <m/>
    <m/>
    <m/>
    <m/>
    <m/>
  </r>
  <r>
    <s v="22893202"/>
    <s v="Žigulik"/>
    <s v="706"/>
    <x v="1"/>
    <x v="1"/>
    <s v="Vsetín"/>
    <s v="Vsetín, Dolní Jasenka 776, PSČ 75501"/>
    <s v="93190"/>
    <s v="Ostatní sportovní činnosti"/>
    <m/>
    <m/>
    <m/>
    <m/>
    <m/>
    <m/>
    <m/>
    <m/>
    <m/>
    <m/>
    <m/>
    <m/>
    <m/>
    <m/>
    <m/>
    <m/>
    <m/>
  </r>
  <r>
    <s v="01364014"/>
    <s v="Žij s úsměvem o.s."/>
    <s v="706"/>
    <x v="1"/>
    <x v="0"/>
    <s v="Všemina"/>
    <s v="Všemina 300, PSČ 7631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4123905"/>
    <s v="Živé Jalubí, z. s."/>
    <s v="706"/>
    <x v="1"/>
    <x v="2"/>
    <s v="Jalubí"/>
    <s v="Jalubí 626, PSČ 68705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6623662"/>
    <s v="Živé Paseky, z.s."/>
    <s v="706"/>
    <x v="1"/>
    <x v="0"/>
    <s v="Zlín"/>
    <s v="Zlín, Ovsíková 7083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6276874"/>
    <s v="Živnostenské společenstvo autoškol Zlín"/>
    <s v="706"/>
    <x v="1"/>
    <x v="0"/>
    <s v="Zlín"/>
    <s v="Zlín"/>
    <s v="94120"/>
    <s v="Činnosti profesních organizací"/>
    <m/>
    <m/>
    <m/>
    <m/>
    <m/>
    <m/>
    <m/>
    <m/>
    <m/>
    <m/>
    <m/>
    <m/>
    <m/>
    <m/>
    <m/>
    <m/>
    <m/>
  </r>
  <r>
    <s v="22747087"/>
    <s v="Život na venkově, o.s."/>
    <s v="706"/>
    <x v="1"/>
    <x v="3"/>
    <s v="Rajnochovice"/>
    <s v="Rajnochovice 275, PSČ 7687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753567"/>
    <s v="Život pro děti"/>
    <s v="706"/>
    <x v="1"/>
    <x v="2"/>
    <s v="Kunovice"/>
    <s v="Kunovice, Na Dolině 921, PSČ 68604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1195439"/>
    <s v="ŽIVOTEM ZVESELA, z.s."/>
    <s v="706"/>
    <x v="1"/>
    <x v="0"/>
    <s v="Fryšták"/>
    <s v="Fryšták, Dolní Ves, Žabárna 247, PSČ 76316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668403"/>
    <s v="Životní prostředí, z. s."/>
    <s v="706"/>
    <x v="1"/>
    <x v="0"/>
    <s v="Zlín"/>
    <s v="Zlín, Zálešná II 325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1492727"/>
    <s v="Žíznivé saně z. s."/>
    <s v="706"/>
    <x v="1"/>
    <x v="2"/>
    <s v="Uherské Hradiště"/>
    <s v="Uherské Hradiště, Tyršovo náměstí 440, PSČ 68601"/>
    <s v="93190"/>
    <s v="Ostatní sportovní činnosti"/>
    <m/>
    <m/>
    <m/>
    <m/>
    <m/>
    <m/>
    <m/>
    <m/>
    <m/>
    <m/>
    <m/>
    <m/>
    <m/>
    <m/>
    <m/>
    <m/>
    <m/>
  </r>
  <r>
    <s v="07246323"/>
    <s v="Žlutomodří z.s."/>
    <s v="706"/>
    <x v="1"/>
    <x v="0"/>
    <s v="Zlín"/>
    <s v="Zlín, nám. T. G. Masaryka 1281, PSČ 76001"/>
    <s v="93190"/>
    <s v="Ostatní sportovní činnosti"/>
    <m/>
    <m/>
    <m/>
    <m/>
    <m/>
    <m/>
    <m/>
    <m/>
    <m/>
    <m/>
    <m/>
    <m/>
    <m/>
    <m/>
    <m/>
    <m/>
    <m/>
  </r>
  <r>
    <s v="62832514"/>
    <s v="1. AC Uherský Brod, z.s."/>
    <s v="706"/>
    <x v="1"/>
    <x v="2"/>
    <s v="Uherský Brod"/>
    <s v="Uherský Brod, Za Humny 1420, PSČ 68801"/>
    <s v="93110"/>
    <s v="Provozování sportovních zařízení"/>
    <m/>
    <m/>
    <m/>
    <m/>
    <m/>
    <m/>
    <m/>
    <m/>
    <m/>
    <m/>
    <m/>
    <m/>
    <m/>
    <m/>
    <m/>
    <m/>
    <m/>
  </r>
  <r>
    <s v="26593106"/>
    <s v="1. Biglesova stíhací peruť z.s."/>
    <s v="706"/>
    <x v="1"/>
    <x v="1"/>
    <s v="Bystřička"/>
    <s v="Bystřička 176, PSČ 75624"/>
    <s v="93110"/>
    <s v="Provozování sportovních zařízení"/>
    <m/>
    <m/>
    <m/>
    <m/>
    <m/>
    <m/>
    <m/>
    <m/>
    <m/>
    <m/>
    <m/>
    <m/>
    <m/>
    <m/>
    <m/>
    <m/>
    <m/>
  </r>
  <r>
    <s v="68685653"/>
    <s v="1. DGC Bystřice pod Hostýnem, z.s."/>
    <s v="706"/>
    <x v="1"/>
    <x v="3"/>
    <s v="Bystřice pod Hostýnem"/>
    <s v="Bystřice pod Hostýnem, Obchodní 1604, PSČ 76861"/>
    <s v="931"/>
    <s v="Sportovní činnosti"/>
    <s v="Maloobchod v nespecializovaných prodejnách"/>
    <s v="Nespecializovaný velkoobchod"/>
    <m/>
    <m/>
    <m/>
    <m/>
    <m/>
    <m/>
    <m/>
    <m/>
    <m/>
    <m/>
    <m/>
    <m/>
    <m/>
    <m/>
    <m/>
  </r>
  <r>
    <s v="68731558"/>
    <s v="1. FbC BEDEA Kroměříž"/>
    <s v="706"/>
    <x v="1"/>
    <x v="3"/>
    <s v="Kroměříž"/>
    <s v="Vejvanovského 466, Kroměříž"/>
    <s v="931"/>
    <s v="Sportovní činnosti"/>
    <m/>
    <m/>
    <m/>
    <m/>
    <m/>
    <m/>
    <m/>
    <m/>
    <m/>
    <m/>
    <m/>
    <m/>
    <m/>
    <m/>
    <m/>
    <m/>
    <m/>
  </r>
  <r>
    <s v="22662723"/>
    <s v="1. FBK Rožnov pod Radhoštěm, z.s."/>
    <s v="706"/>
    <x v="1"/>
    <x v="1"/>
    <s v="Rožnov pod Radhoštěm"/>
    <s v="Rožnov pod Radhoštěm, 1. máje 1000, PSČ 75661"/>
    <s v="93120"/>
    <s v="Činnosti sportovních klubů"/>
    <m/>
    <m/>
    <m/>
    <m/>
    <m/>
    <m/>
    <m/>
    <m/>
    <m/>
    <m/>
    <m/>
    <m/>
    <m/>
    <m/>
    <m/>
    <m/>
    <m/>
  </r>
  <r>
    <s v="26625288"/>
    <s v="1. FC Kychová, z.s."/>
    <s v="706"/>
    <x v="1"/>
    <x v="1"/>
    <s v="Huslenky"/>
    <s v="Huslenky 496, PSČ 75602"/>
    <s v="93110"/>
    <s v="Provozování sportovních zařízení"/>
    <m/>
    <m/>
    <m/>
    <m/>
    <m/>
    <m/>
    <m/>
    <m/>
    <m/>
    <m/>
    <m/>
    <m/>
    <m/>
    <m/>
    <m/>
    <m/>
    <m/>
  </r>
  <r>
    <s v="48473421"/>
    <s v="1. FC NEUBUZ, z.s."/>
    <s v="706"/>
    <x v="1"/>
    <x v="0"/>
    <s v="Neubuz"/>
    <s v="Neubuz 91, PSČ 76315"/>
    <s v="93120"/>
    <s v="Činnosti sportovních klubů"/>
    <m/>
    <m/>
    <m/>
    <m/>
    <m/>
    <m/>
    <m/>
    <m/>
    <m/>
    <m/>
    <m/>
    <m/>
    <m/>
    <m/>
    <m/>
    <m/>
    <m/>
  </r>
  <r>
    <s v="60369728"/>
    <s v="1. FC POLEŠOVICE, z.s."/>
    <s v="706"/>
    <x v="1"/>
    <x v="2"/>
    <s v="Polešovice"/>
    <s v="Polešovice 32, PSČ 68737"/>
    <s v="93110"/>
    <s v="Provozování sportovních zařízení"/>
    <m/>
    <m/>
    <m/>
    <m/>
    <m/>
    <m/>
    <m/>
    <m/>
    <m/>
    <m/>
    <m/>
    <m/>
    <m/>
    <m/>
    <m/>
    <m/>
    <m/>
  </r>
  <r>
    <s v="22717145"/>
    <s v="1. hokejová akademie"/>
    <s v="706"/>
    <x v="1"/>
    <x v="1"/>
    <s v="Valašské Meziříčí"/>
    <s v="Valašské Meziříčí, Zdeňka Fibicha 1206, PSČ 75701"/>
    <s v="93110"/>
    <s v="Provozování sportovních zařízení"/>
    <m/>
    <m/>
    <m/>
    <m/>
    <m/>
    <m/>
    <m/>
    <m/>
    <m/>
    <m/>
    <m/>
    <m/>
    <m/>
    <m/>
    <m/>
    <m/>
    <m/>
  </r>
  <r>
    <s v="69648794"/>
    <s v="1. SK Metropol Podkopná Lhota, z.s."/>
    <s v="706"/>
    <x v="1"/>
    <x v="0"/>
    <s v="Podkopná Lhota"/>
    <s v="Podkopná Lhota 16, PSČ 76318"/>
    <s v="931"/>
    <s v="Sportovní činnosti"/>
    <m/>
    <m/>
    <m/>
    <m/>
    <m/>
    <m/>
    <m/>
    <m/>
    <m/>
    <m/>
    <m/>
    <m/>
    <m/>
    <m/>
    <m/>
    <m/>
    <m/>
  </r>
  <r>
    <s v="05566711"/>
    <s v="1. Sportovní Trnavský Spolek"/>
    <s v="706"/>
    <x v="1"/>
    <x v="0"/>
    <s v="Trnava"/>
    <s v="Trnava 385, PSČ 76318"/>
    <s v="93190"/>
    <s v="Ostatní sportovní činnosti"/>
    <m/>
    <m/>
    <m/>
    <m/>
    <m/>
    <m/>
    <m/>
    <m/>
    <m/>
    <m/>
    <m/>
    <m/>
    <m/>
    <m/>
    <m/>
    <m/>
    <m/>
  </r>
  <r>
    <s v="22888934"/>
    <s v="1. turistický oddíl Hrnčíře"/>
    <s v="706"/>
    <x v="1"/>
    <x v="2"/>
    <s v="Jalubí"/>
    <s v="Jalubí 365, PSČ 68705"/>
    <s v="94993"/>
    <s v="Činnosti organizací na podporu rekreační a zájmové činnosti"/>
    <m/>
    <m/>
    <m/>
    <m/>
    <m/>
    <m/>
    <m/>
    <m/>
    <m/>
    <m/>
    <m/>
    <m/>
    <m/>
    <m/>
    <m/>
    <m/>
    <m/>
  </r>
  <r>
    <s v="03919218"/>
    <s v="1. Uherskobrodská lesní mateřská školka, z.s."/>
    <s v="706"/>
    <x v="1"/>
    <x v="2"/>
    <s v="Bánov"/>
    <s v="Bánov 295, PSČ 68754"/>
    <s v="94999"/>
    <s v="Činnosti ostatních organizací j. n."/>
    <m/>
    <m/>
    <m/>
    <m/>
    <m/>
    <m/>
    <m/>
    <m/>
    <m/>
    <m/>
    <m/>
    <m/>
    <m/>
    <m/>
    <m/>
    <m/>
    <m/>
  </r>
  <r>
    <s v="64123693"/>
    <s v="1. ZO ČSOP Valašské Meziříčí"/>
    <s v="736"/>
    <x v="0"/>
    <x v="1"/>
    <s v="Valašské Meziříčí"/>
    <s v="Valašské Meziříčí, Krásno nad Bečvou, Zašovská 784, PSČ 75701"/>
    <s v="94995"/>
    <s v="Činnosti environmentálních a ekologických hnutí"/>
    <m/>
    <m/>
    <m/>
    <m/>
    <m/>
    <m/>
    <m/>
    <m/>
    <m/>
    <m/>
    <m/>
    <m/>
    <m/>
    <m/>
    <m/>
    <m/>
    <m/>
  </r>
  <r>
    <s v="06562205"/>
    <s v="1AS, z.s."/>
    <s v="706"/>
    <x v="1"/>
    <x v="2"/>
    <s v="Uherský Brod"/>
    <s v="Uherský Brod, Hradišťská 2612, PSČ 68801"/>
    <s v="94996"/>
    <s v="Činnosti organizací na ochranu a zlepšení postavení etnických, menšinových a jiných speciálních skupin"/>
    <m/>
    <m/>
    <m/>
    <m/>
    <m/>
    <m/>
    <m/>
    <m/>
    <m/>
    <m/>
    <m/>
    <m/>
    <m/>
    <m/>
    <m/>
    <m/>
    <m/>
  </r>
  <r>
    <s v="22727426"/>
    <s v="1.FC Štěpnice"/>
    <s v="706"/>
    <x v="1"/>
    <x v="2"/>
    <s v="Uherské Hradiště"/>
    <s v="Uherské Hradiště, Rybárny, Mazůrkova 163, PSČ 68601"/>
    <s v="93110"/>
    <s v="Provozování sportovních zařízení"/>
    <m/>
    <m/>
    <m/>
    <m/>
    <m/>
    <m/>
    <m/>
    <m/>
    <m/>
    <m/>
    <m/>
    <m/>
    <m/>
    <m/>
    <m/>
    <m/>
    <m/>
  </r>
  <r>
    <s v="26603047"/>
    <s v="1.FC Zlín o.s."/>
    <s v="706"/>
    <x v="1"/>
    <x v="0"/>
    <s v="Zlín"/>
    <s v="Zlín, Benešovo nábřeží 3951, PSČ 760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7058999"/>
    <s v="10nis+, občanské sdružení"/>
    <s v="706"/>
    <x v="1"/>
    <x v="2"/>
    <s v="Uherské Hradiště"/>
    <s v="Uherské Hradiště, Na Vyhlídce 1370"/>
    <s v="93110"/>
    <s v="Provozování sportovních zařízení"/>
    <m/>
    <m/>
    <m/>
    <m/>
    <m/>
    <m/>
    <m/>
    <m/>
    <m/>
    <m/>
    <m/>
    <m/>
    <m/>
    <m/>
    <m/>
    <m/>
    <m/>
  </r>
  <r>
    <s v="26676150"/>
    <s v="10th Mountain Division, Klub vojenské historie"/>
    <s v="706"/>
    <x v="1"/>
    <x v="2"/>
    <s v="Bánov"/>
    <s v="Bánov 61, PSČ 68754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7011209"/>
    <s v="13.Přední hlídka Royal Rangers v ČR"/>
    <s v="736"/>
    <x v="0"/>
    <x v="2"/>
    <s v="Nivnice"/>
    <s v="Nivnice, náměstí Míru 144, PSČ 68751"/>
    <s v="94991"/>
    <s v="Činnosti organizací dětí a mládeže"/>
    <m/>
    <m/>
    <m/>
    <m/>
    <m/>
    <m/>
    <m/>
    <m/>
    <m/>
    <m/>
    <m/>
    <m/>
    <m/>
    <m/>
    <m/>
    <m/>
    <m/>
  </r>
  <r>
    <s v="06764428"/>
    <s v="2M Life z.s."/>
    <s v="706"/>
    <x v="1"/>
    <x v="3"/>
    <s v="Kroměříž"/>
    <s v="Kroměříž, Myslbekova 2430/34, PSČ 76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0283087"/>
    <s v="23. Přední hlídka Royal Rangers v ČR"/>
    <s v="736"/>
    <x v="0"/>
    <x v="0"/>
    <s v="Zlín"/>
    <s v="Zlín, Podvesná XIV 1458, PSČ 76001"/>
    <s v="94991"/>
    <s v="Činnosti organizací dětí a mládeže"/>
    <m/>
    <m/>
    <m/>
    <m/>
    <m/>
    <m/>
    <m/>
    <m/>
    <m/>
    <m/>
    <m/>
    <m/>
    <m/>
    <m/>
    <m/>
    <m/>
    <m/>
  </r>
  <r>
    <s v="28555708"/>
    <s v="234. pěší prapor - klub vojenské historie a současnosti z. s."/>
    <s v="706"/>
    <x v="1"/>
    <x v="1"/>
    <s v="Valašské Meziříčí"/>
    <s v="Valašské Meziříčí, Sokolská 124/38, PSČ 757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8898410"/>
    <s v="3. přední hlídka Royal Rangers Valašsko"/>
    <s v="736"/>
    <x v="0"/>
    <x v="1"/>
    <s v="Vsetín"/>
    <s v="Vsetín, Generála Klapálka 620, PSČ 7550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05449499"/>
    <s v="3&amp;M.spolek"/>
    <s v="706"/>
    <x v="1"/>
    <x v="2"/>
    <s v="Huštěnovice"/>
    <s v="Huštěnovice 407, PSČ 6870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71737642"/>
    <s v="39. přední hlídka Royal Rangers v Kašavě"/>
    <s v="736"/>
    <x v="0"/>
    <x v="0"/>
    <s v="Kašava"/>
    <s v="Kašava 192, PSČ 76319"/>
    <s v="94991"/>
    <s v="Činnosti organizací dětí a mládeže"/>
    <m/>
    <m/>
    <m/>
    <m/>
    <m/>
    <m/>
    <m/>
    <m/>
    <m/>
    <m/>
    <m/>
    <m/>
    <m/>
    <m/>
    <m/>
    <m/>
    <m/>
  </r>
  <r>
    <s v="07968752"/>
    <s v="4 Uši, z. s."/>
    <s v="706"/>
    <x v="1"/>
    <x v="1"/>
    <s v="Jablůnka"/>
    <s v="Jablůnka 86, PSČ 75623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45659567"/>
    <s v="4xS (Sdružení sochařského symposia ve Slavičíně)"/>
    <s v="706"/>
    <x v="1"/>
    <x v="0"/>
    <s v="Slavičín"/>
    <s v="Slavičín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65766946"/>
    <s v="8. přední hlídka Royal Rangers Zlín"/>
    <s v="736"/>
    <x v="0"/>
    <x v="0"/>
    <s v="Žlutava"/>
    <s v="Žlutava 296, PSČ 76361"/>
    <s v="9499"/>
    <s v="Činnosti ostatních organizací sdružujících osoby za účelem prosazování společných zájmů j. n."/>
    <m/>
    <m/>
    <m/>
    <m/>
    <m/>
    <m/>
    <m/>
    <m/>
    <m/>
    <m/>
    <m/>
    <m/>
    <m/>
    <m/>
    <m/>
    <m/>
    <m/>
  </r>
  <r>
    <s v="22899006"/>
    <s v="„97 Racing”"/>
    <s v="706"/>
    <x v="1"/>
    <x v="1"/>
    <s v="Rožnov pod Radhoštěm"/>
    <s v="Rožnov pod Radhoštěm, Palackého 204, PSČ 75661"/>
    <s v="94993"/>
    <s v="Činnosti organizací na podporu rekreační a zájmové činnosti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6D6C70-A6FD-4501-8F50-620683431ED5}" name="Kontingenční tabulka1" cacheId="12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Právní forma">
  <location ref="A3:B13" firstHeaderRow="1" firstDataRow="1" firstDataCol="1"/>
  <pivotFields count="26">
    <pivotField showAll="0"/>
    <pivotField showAll="0"/>
    <pivotField showAll="0"/>
    <pivotField axis="axisRow" dataField="1" showAll="0">
      <items count="10">
        <item x="8"/>
        <item x="5"/>
        <item x="7"/>
        <item x="6"/>
        <item x="2"/>
        <item x="4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Počet " fld="3" subtotal="count" baseField="0" baseItem="0"/>
  </dataFields>
  <formats count="10">
    <format dxfId="73">
      <pivotArea type="all" dataOnly="0" outline="0" fieldPosition="0"/>
    </format>
    <format dxfId="72">
      <pivotArea outline="0" collapsedLevelsAreSubtotals="1" fieldPosition="0"/>
    </format>
    <format dxfId="71">
      <pivotArea field="3" type="button" dataOnly="0" labelOnly="1" outline="0" axis="axisRow" fieldPosition="0"/>
    </format>
    <format dxfId="70">
      <pivotArea dataOnly="0" labelOnly="1" fieldPosition="0">
        <references count="1">
          <reference field="3" count="0"/>
        </references>
      </pivotArea>
    </format>
    <format dxfId="69">
      <pivotArea dataOnly="0" labelOnly="1" grandRow="1" outline="0" fieldPosition="0"/>
    </format>
    <format dxfId="68">
      <pivotArea dataOnly="0" labelOnly="1" outline="0" axis="axisValues" fieldPosition="0"/>
    </format>
    <format dxfId="66">
      <pivotArea field="3" type="button" dataOnly="0" labelOnly="1" outline="0" axis="axisRow" fieldPosition="0"/>
    </format>
    <format dxfId="65">
      <pivotArea dataOnly="0" labelOnly="1" outline="0" axis="axisValues" fieldPosition="0"/>
    </format>
    <format dxfId="63">
      <pivotArea grandRow="1" outline="0" collapsedLevelsAreSubtotals="1" fieldPosition="0"/>
    </format>
    <format dxfId="6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7AF69B-C800-4A56-A793-ED351AA4C157}" name="Kontingenční tabulka2" cacheId="12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Okres">
  <location ref="A3:B8" firstHeaderRow="1" firstDataRow="1" firstDataCol="1"/>
  <pivotFields count="26">
    <pivotField showAll="0"/>
    <pivotField showAll="0"/>
    <pivotField showAll="0"/>
    <pivotField showAll="0"/>
    <pivotField axis="axisRow" dataField="1" showAll="0">
      <items count="5"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Počet " fld="4" subtotal="count" baseField="0" baseItem="0"/>
  </dataFields>
  <formats count="10">
    <format dxfId="61">
      <pivotArea field="4" type="button" dataOnly="0" labelOnly="1" outline="0" axis="axisRow" fieldPosition="0"/>
    </format>
    <format dxfId="60">
      <pivotArea dataOnly="0" labelOnly="1" outline="0" axis="axisValues" fieldPosition="0"/>
    </format>
    <format dxfId="58">
      <pivotArea grandRow="1" outline="0" collapsedLevelsAreSubtotals="1" fieldPosition="0"/>
    </format>
    <format dxfId="57">
      <pivotArea dataOnly="0" labelOnly="1" grandRow="1" outline="0" fieldPosition="0"/>
    </format>
    <format dxfId="56">
      <pivotArea type="all" dataOnly="0" outline="0" fieldPosition="0"/>
    </format>
    <format dxfId="55">
      <pivotArea outline="0" collapsedLevelsAreSubtotals="1" fieldPosition="0"/>
    </format>
    <format dxfId="54">
      <pivotArea field="4" type="button" dataOnly="0" labelOnly="1" outline="0" axis="axisRow" fieldPosition="0"/>
    </format>
    <format dxfId="53">
      <pivotArea dataOnly="0" labelOnly="1" fieldPosition="0">
        <references count="1">
          <reference field="4" count="0"/>
        </references>
      </pivotArea>
    </format>
    <format dxfId="52">
      <pivotArea dataOnly="0" labelOnly="1" grandRow="1" outline="0" fieldPosition="0"/>
    </format>
    <format dxfId="5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495B-26ED-4330-9C98-1D5EBA17C606}">
  <dimension ref="A1:Z6590"/>
  <sheetViews>
    <sheetView tabSelected="1" topLeftCell="A6551" workbookViewId="0">
      <selection activeCell="A6564" activeCellId="15" sqref="A5747:XFD5747 A5839:XFD5839 A5882:XFD5882 A5938:XFD5938 A5973:XFD5973 A5974:XFD5974 A6083:XFD6083 A6159:XFD6159 A6185:XFD6185 A6215:XFD6215 A6241:XFD6241 A6243:XFD6243 A6447:XFD6447 A6468:XFD6468 A6499:XFD6499 A6564:XFD6564"/>
    </sheetView>
  </sheetViews>
  <sheetFormatPr defaultRowHeight="14.4" x14ac:dyDescent="0.3"/>
  <cols>
    <col min="2" max="2" width="50.6640625" customWidth="1"/>
    <col min="3" max="3" width="7.109375" customWidth="1"/>
    <col min="4" max="4" width="25" customWidth="1"/>
    <col min="5" max="5" width="15.33203125" customWidth="1"/>
    <col min="6" max="6" width="17" customWidth="1"/>
    <col min="7" max="7" width="31.77734375" customWidth="1"/>
    <col min="8" max="8" width="8.44140625" customWidth="1"/>
    <col min="9" max="9" width="83.109375" customWidth="1"/>
    <col min="10" max="10" width="36.21875" customWidth="1"/>
    <col min="11" max="11" width="25.88671875" customWidth="1"/>
  </cols>
  <sheetData>
    <row r="1" spans="1:26" s="2" customFormat="1" x14ac:dyDescent="0.3">
      <c r="A1" s="2" t="s">
        <v>12290</v>
      </c>
    </row>
    <row r="3" spans="1:26" x14ac:dyDescent="0.3">
      <c r="A3" s="1" t="s">
        <v>0</v>
      </c>
      <c r="B3" s="1" t="s">
        <v>12286</v>
      </c>
      <c r="C3" s="1" t="s">
        <v>12287</v>
      </c>
      <c r="D3" s="1" t="s">
        <v>12287</v>
      </c>
      <c r="E3" s="1" t="s">
        <v>12288</v>
      </c>
      <c r="F3" s="1" t="s">
        <v>12289</v>
      </c>
      <c r="G3" s="1" t="s">
        <v>1</v>
      </c>
      <c r="H3" s="1" t="s">
        <v>2</v>
      </c>
      <c r="I3" s="1" t="s">
        <v>3</v>
      </c>
      <c r="J3" t="s">
        <v>4</v>
      </c>
      <c r="K3" t="s">
        <v>5</v>
      </c>
      <c r="L3" t="s">
        <v>6</v>
      </c>
      <c r="M3" t="s">
        <v>7</v>
      </c>
      <c r="N3" t="s">
        <v>8</v>
      </c>
      <c r="O3" t="s">
        <v>9</v>
      </c>
      <c r="P3" t="s">
        <v>10</v>
      </c>
      <c r="Q3" t="s">
        <v>11</v>
      </c>
      <c r="R3" t="s">
        <v>12</v>
      </c>
      <c r="S3" t="s">
        <v>13</v>
      </c>
      <c r="T3" t="s">
        <v>14</v>
      </c>
      <c r="U3" t="s">
        <v>15</v>
      </c>
      <c r="V3" t="s">
        <v>16</v>
      </c>
      <c r="W3" t="s">
        <v>17</v>
      </c>
      <c r="X3" t="s">
        <v>18</v>
      </c>
      <c r="Y3" t="s">
        <v>19</v>
      </c>
      <c r="Z3" t="s">
        <v>20</v>
      </c>
    </row>
    <row r="4" spans="1:26" x14ac:dyDescent="0.3">
      <c r="A4">
        <v>67006809</v>
      </c>
      <c r="B4" t="s">
        <v>21</v>
      </c>
      <c r="C4" t="str">
        <f>"736"</f>
        <v>736</v>
      </c>
      <c r="D4" t="s">
        <v>22</v>
      </c>
      <c r="E4" t="s">
        <v>23</v>
      </c>
      <c r="F4" t="s">
        <v>24</v>
      </c>
      <c r="G4" t="s">
        <v>25</v>
      </c>
      <c r="H4" t="str">
        <f>"931"</f>
        <v>931</v>
      </c>
      <c r="I4" t="s">
        <v>26</v>
      </c>
    </row>
    <row r="5" spans="1:26" x14ac:dyDescent="0.3">
      <c r="A5" t="str">
        <f>"26545977"</f>
        <v>26545977</v>
      </c>
      <c r="B5" t="s">
        <v>27</v>
      </c>
      <c r="C5" t="str">
        <f t="shared" ref="C5:C33" si="0">"706"</f>
        <v>706</v>
      </c>
      <c r="D5" t="s">
        <v>28</v>
      </c>
      <c r="E5" t="s">
        <v>29</v>
      </c>
      <c r="F5" t="s">
        <v>29</v>
      </c>
      <c r="G5" t="s">
        <v>30</v>
      </c>
      <c r="H5" t="str">
        <f>"9499"</f>
        <v>9499</v>
      </c>
      <c r="I5" t="s">
        <v>31</v>
      </c>
    </row>
    <row r="6" spans="1:26" x14ac:dyDescent="0.3">
      <c r="A6" t="str">
        <f>"22817298"</f>
        <v>22817298</v>
      </c>
      <c r="B6" t="s">
        <v>32</v>
      </c>
      <c r="C6" t="str">
        <f t="shared" si="0"/>
        <v>706</v>
      </c>
      <c r="D6" t="s">
        <v>28</v>
      </c>
      <c r="E6" t="s">
        <v>23</v>
      </c>
      <c r="F6" t="s">
        <v>23</v>
      </c>
      <c r="G6" t="s">
        <v>33</v>
      </c>
      <c r="H6" t="str">
        <f>"9499"</f>
        <v>9499</v>
      </c>
      <c r="I6" t="s">
        <v>31</v>
      </c>
    </row>
    <row r="7" spans="1:26" x14ac:dyDescent="0.3">
      <c r="A7" t="str">
        <f>"09222707"</f>
        <v>09222707</v>
      </c>
      <c r="B7" t="s">
        <v>34</v>
      </c>
      <c r="C7" t="str">
        <f t="shared" si="0"/>
        <v>706</v>
      </c>
      <c r="D7" t="s">
        <v>28</v>
      </c>
      <c r="E7" t="s">
        <v>23</v>
      </c>
      <c r="F7" t="s">
        <v>35</v>
      </c>
      <c r="G7" t="s">
        <v>36</v>
      </c>
      <c r="H7" t="str">
        <f>"9499"</f>
        <v>9499</v>
      </c>
      <c r="I7" t="s">
        <v>31</v>
      </c>
    </row>
    <row r="8" spans="1:26" x14ac:dyDescent="0.3">
      <c r="A8" t="str">
        <f>"06531059"</f>
        <v>06531059</v>
      </c>
      <c r="B8" t="s">
        <v>37</v>
      </c>
      <c r="C8" t="str">
        <f t="shared" si="0"/>
        <v>706</v>
      </c>
      <c r="D8" t="s">
        <v>28</v>
      </c>
      <c r="E8" t="s">
        <v>29</v>
      </c>
      <c r="F8" t="s">
        <v>38</v>
      </c>
      <c r="G8" t="s">
        <v>39</v>
      </c>
      <c r="H8" t="str">
        <f>"8899"</f>
        <v>8899</v>
      </c>
      <c r="I8" t="s">
        <v>40</v>
      </c>
    </row>
    <row r="9" spans="1:26" x14ac:dyDescent="0.3">
      <c r="A9" t="str">
        <f>"22666303"</f>
        <v>22666303</v>
      </c>
      <c r="B9" t="s">
        <v>41</v>
      </c>
      <c r="C9" t="str">
        <f t="shared" si="0"/>
        <v>706</v>
      </c>
      <c r="D9" t="s">
        <v>28</v>
      </c>
      <c r="E9" t="s">
        <v>23</v>
      </c>
      <c r="F9" t="s">
        <v>23</v>
      </c>
      <c r="G9" t="s">
        <v>42</v>
      </c>
      <c r="H9" t="str">
        <f>"94120"</f>
        <v>94120</v>
      </c>
      <c r="I9" t="s">
        <v>43</v>
      </c>
    </row>
    <row r="10" spans="1:26" x14ac:dyDescent="0.3">
      <c r="A10" t="str">
        <f>"10769871"</f>
        <v>10769871</v>
      </c>
      <c r="B10" t="s">
        <v>44</v>
      </c>
      <c r="C10" t="str">
        <f t="shared" si="0"/>
        <v>706</v>
      </c>
      <c r="D10" t="s">
        <v>28</v>
      </c>
      <c r="E10" t="s">
        <v>29</v>
      </c>
      <c r="F10" t="s">
        <v>45</v>
      </c>
      <c r="G10" t="s">
        <v>46</v>
      </c>
      <c r="H10" t="str">
        <f>"94996"</f>
        <v>94996</v>
      </c>
      <c r="I10" t="s">
        <v>47</v>
      </c>
    </row>
    <row r="11" spans="1:26" x14ac:dyDescent="0.3">
      <c r="A11" t="str">
        <f>"26994861"</f>
        <v>26994861</v>
      </c>
      <c r="B11" t="s">
        <v>48</v>
      </c>
      <c r="C11" t="str">
        <f t="shared" si="0"/>
        <v>706</v>
      </c>
      <c r="D11" t="s">
        <v>28</v>
      </c>
      <c r="E11" t="s">
        <v>23</v>
      </c>
      <c r="F11" t="s">
        <v>23</v>
      </c>
      <c r="G11" t="s">
        <v>49</v>
      </c>
      <c r="H11" t="str">
        <f>"94993"</f>
        <v>94993</v>
      </c>
      <c r="I11" t="s">
        <v>50</v>
      </c>
    </row>
    <row r="12" spans="1:26" x14ac:dyDescent="0.3">
      <c r="A12" t="str">
        <f>"08458723"</f>
        <v>08458723</v>
      </c>
      <c r="B12" t="s">
        <v>51</v>
      </c>
      <c r="C12" t="str">
        <f t="shared" si="0"/>
        <v>706</v>
      </c>
      <c r="D12" t="s">
        <v>28</v>
      </c>
      <c r="E12" t="s">
        <v>52</v>
      </c>
      <c r="F12" t="s">
        <v>52</v>
      </c>
      <c r="G12" t="s">
        <v>53</v>
      </c>
      <c r="H12" t="str">
        <f>"93120"</f>
        <v>93120</v>
      </c>
      <c r="I12" t="s">
        <v>54</v>
      </c>
    </row>
    <row r="13" spans="1:26" x14ac:dyDescent="0.3">
      <c r="A13" t="str">
        <f>"07457987"</f>
        <v>07457987</v>
      </c>
      <c r="B13" t="s">
        <v>55</v>
      </c>
      <c r="C13" t="str">
        <f t="shared" si="0"/>
        <v>706</v>
      </c>
      <c r="D13" t="s">
        <v>28</v>
      </c>
      <c r="E13" t="s">
        <v>29</v>
      </c>
      <c r="F13" t="s">
        <v>38</v>
      </c>
      <c r="G13" t="s">
        <v>56</v>
      </c>
      <c r="H13" t="str">
        <f>"9499"</f>
        <v>9499</v>
      </c>
      <c r="I13" t="s">
        <v>31</v>
      </c>
    </row>
    <row r="14" spans="1:26" x14ac:dyDescent="0.3">
      <c r="A14" t="str">
        <f>"03679705"</f>
        <v>03679705</v>
      </c>
      <c r="B14" t="s">
        <v>57</v>
      </c>
      <c r="C14" t="str">
        <f t="shared" si="0"/>
        <v>706</v>
      </c>
      <c r="D14" t="s">
        <v>28</v>
      </c>
      <c r="E14" t="s">
        <v>23</v>
      </c>
      <c r="F14" t="s">
        <v>23</v>
      </c>
      <c r="G14" t="s">
        <v>58</v>
      </c>
      <c r="H14" t="str">
        <f>"93190"</f>
        <v>93190</v>
      </c>
      <c r="I14" t="s">
        <v>59</v>
      </c>
    </row>
    <row r="15" spans="1:26" x14ac:dyDescent="0.3">
      <c r="A15" t="str">
        <f>"19409338"</f>
        <v>19409338</v>
      </c>
      <c r="B15" t="s">
        <v>60</v>
      </c>
      <c r="C15" t="str">
        <f t="shared" si="0"/>
        <v>706</v>
      </c>
      <c r="D15" t="s">
        <v>28</v>
      </c>
      <c r="E15" t="s">
        <v>23</v>
      </c>
      <c r="F15" t="s">
        <v>23</v>
      </c>
      <c r="G15" t="s">
        <v>61</v>
      </c>
      <c r="H15" t="str">
        <f>"9499"</f>
        <v>9499</v>
      </c>
      <c r="I15" t="s">
        <v>31</v>
      </c>
    </row>
    <row r="16" spans="1:26" x14ac:dyDescent="0.3">
      <c r="A16" t="str">
        <f>"64439798"</f>
        <v>64439798</v>
      </c>
      <c r="B16" t="s">
        <v>62</v>
      </c>
      <c r="C16" t="str">
        <f t="shared" si="0"/>
        <v>706</v>
      </c>
      <c r="D16" t="s">
        <v>28</v>
      </c>
      <c r="E16" t="s">
        <v>52</v>
      </c>
      <c r="F16" t="s">
        <v>52</v>
      </c>
      <c r="G16" t="s">
        <v>63</v>
      </c>
      <c r="H16" t="str">
        <f>"9499"</f>
        <v>9499</v>
      </c>
      <c r="I16" t="s">
        <v>31</v>
      </c>
    </row>
    <row r="17" spans="1:9" x14ac:dyDescent="0.3">
      <c r="A17" t="str">
        <f>"03541568"</f>
        <v>03541568</v>
      </c>
      <c r="B17" t="s">
        <v>64</v>
      </c>
      <c r="C17" t="str">
        <f t="shared" si="0"/>
        <v>706</v>
      </c>
      <c r="D17" t="s">
        <v>28</v>
      </c>
      <c r="E17" t="s">
        <v>52</v>
      </c>
      <c r="F17" t="s">
        <v>65</v>
      </c>
      <c r="G17" t="s">
        <v>66</v>
      </c>
      <c r="H17" t="str">
        <f>"9499"</f>
        <v>9499</v>
      </c>
      <c r="I17" t="s">
        <v>31</v>
      </c>
    </row>
    <row r="18" spans="1:9" x14ac:dyDescent="0.3">
      <c r="A18" t="str">
        <f>"08930970"</f>
        <v>08930970</v>
      </c>
      <c r="B18" t="s">
        <v>67</v>
      </c>
      <c r="C18" t="str">
        <f t="shared" si="0"/>
        <v>706</v>
      </c>
      <c r="D18" t="s">
        <v>28</v>
      </c>
      <c r="E18" t="s">
        <v>23</v>
      </c>
      <c r="F18" t="s">
        <v>68</v>
      </c>
      <c r="G18" t="s">
        <v>69</v>
      </c>
      <c r="H18" t="str">
        <f>"9499"</f>
        <v>9499</v>
      </c>
      <c r="I18" t="s">
        <v>31</v>
      </c>
    </row>
    <row r="19" spans="1:9" x14ac:dyDescent="0.3">
      <c r="A19" t="str">
        <f>"22756566"</f>
        <v>22756566</v>
      </c>
      <c r="B19" t="s">
        <v>70</v>
      </c>
      <c r="C19" t="str">
        <f t="shared" si="0"/>
        <v>706</v>
      </c>
      <c r="D19" t="s">
        <v>28</v>
      </c>
      <c r="E19" t="s">
        <v>23</v>
      </c>
      <c r="F19" t="s">
        <v>24</v>
      </c>
      <c r="G19" t="s">
        <v>71</v>
      </c>
      <c r="H19" t="str">
        <f>"94996"</f>
        <v>94996</v>
      </c>
      <c r="I19" t="s">
        <v>47</v>
      </c>
    </row>
    <row r="20" spans="1:9" x14ac:dyDescent="0.3">
      <c r="A20" t="str">
        <f>"22907343"</f>
        <v>22907343</v>
      </c>
      <c r="B20" t="s">
        <v>72</v>
      </c>
      <c r="C20" t="str">
        <f t="shared" si="0"/>
        <v>706</v>
      </c>
      <c r="D20" t="s">
        <v>28</v>
      </c>
      <c r="E20" t="s">
        <v>52</v>
      </c>
      <c r="F20" t="s">
        <v>73</v>
      </c>
      <c r="G20" t="s">
        <v>74</v>
      </c>
      <c r="H20" t="str">
        <f>"9499"</f>
        <v>9499</v>
      </c>
      <c r="I20" t="s">
        <v>31</v>
      </c>
    </row>
    <row r="21" spans="1:9" x14ac:dyDescent="0.3">
      <c r="A21" t="str">
        <f>"26631539"</f>
        <v>26631539</v>
      </c>
      <c r="B21" t="s">
        <v>75</v>
      </c>
      <c r="C21" t="str">
        <f t="shared" si="0"/>
        <v>706</v>
      </c>
      <c r="D21" t="s">
        <v>28</v>
      </c>
      <c r="E21" t="s">
        <v>29</v>
      </c>
      <c r="F21" t="s">
        <v>29</v>
      </c>
      <c r="G21" t="s">
        <v>76</v>
      </c>
      <c r="H21" t="str">
        <f>"9499"</f>
        <v>9499</v>
      </c>
      <c r="I21" t="s">
        <v>31</v>
      </c>
    </row>
    <row r="22" spans="1:9" x14ac:dyDescent="0.3">
      <c r="A22" t="str">
        <f>"07297483"</f>
        <v>07297483</v>
      </c>
      <c r="B22" t="s">
        <v>77</v>
      </c>
      <c r="C22" t="str">
        <f t="shared" si="0"/>
        <v>706</v>
      </c>
      <c r="D22" t="s">
        <v>28</v>
      </c>
      <c r="E22" t="s">
        <v>52</v>
      </c>
      <c r="F22" t="s">
        <v>52</v>
      </c>
      <c r="G22" t="s">
        <v>78</v>
      </c>
      <c r="H22" t="str">
        <f>"9499"</f>
        <v>9499</v>
      </c>
      <c r="I22" t="s">
        <v>31</v>
      </c>
    </row>
    <row r="23" spans="1:9" x14ac:dyDescent="0.3">
      <c r="A23" t="str">
        <f>"23115475"</f>
        <v>23115475</v>
      </c>
      <c r="B23" t="s">
        <v>79</v>
      </c>
      <c r="C23" t="str">
        <f t="shared" si="0"/>
        <v>706</v>
      </c>
      <c r="D23" t="s">
        <v>28</v>
      </c>
      <c r="E23" t="s">
        <v>52</v>
      </c>
      <c r="F23" t="s">
        <v>80</v>
      </c>
      <c r="G23" t="s">
        <v>81</v>
      </c>
      <c r="H23" t="str">
        <f>"94993"</f>
        <v>94993</v>
      </c>
      <c r="I23" t="s">
        <v>50</v>
      </c>
    </row>
    <row r="24" spans="1:9" x14ac:dyDescent="0.3">
      <c r="A24" t="str">
        <f>"26664763"</f>
        <v>26664763</v>
      </c>
      <c r="B24" t="s">
        <v>82</v>
      </c>
      <c r="C24" t="str">
        <f t="shared" si="0"/>
        <v>706</v>
      </c>
      <c r="D24" t="s">
        <v>28</v>
      </c>
      <c r="E24" t="s">
        <v>83</v>
      </c>
      <c r="F24" t="s">
        <v>84</v>
      </c>
      <c r="G24" t="s">
        <v>85</v>
      </c>
      <c r="H24" t="str">
        <f>"9499"</f>
        <v>9499</v>
      </c>
      <c r="I24" t="s">
        <v>31</v>
      </c>
    </row>
    <row r="25" spans="1:9" x14ac:dyDescent="0.3">
      <c r="A25" t="str">
        <f>"22311661"</f>
        <v>22311661</v>
      </c>
      <c r="B25" t="s">
        <v>86</v>
      </c>
      <c r="C25" t="str">
        <f t="shared" si="0"/>
        <v>706</v>
      </c>
      <c r="D25" t="s">
        <v>28</v>
      </c>
      <c r="E25" t="s">
        <v>23</v>
      </c>
      <c r="F25" t="s">
        <v>87</v>
      </c>
      <c r="G25" t="s">
        <v>88</v>
      </c>
      <c r="H25" t="str">
        <f>"93190"</f>
        <v>93190</v>
      </c>
      <c r="I25" t="s">
        <v>59</v>
      </c>
    </row>
    <row r="26" spans="1:9" x14ac:dyDescent="0.3">
      <c r="A26" t="str">
        <f>"06930476"</f>
        <v>06930476</v>
      </c>
      <c r="B26" t="s">
        <v>89</v>
      </c>
      <c r="C26" t="str">
        <f t="shared" si="0"/>
        <v>706</v>
      </c>
      <c r="D26" t="s">
        <v>28</v>
      </c>
      <c r="E26" t="s">
        <v>23</v>
      </c>
      <c r="F26" t="s">
        <v>23</v>
      </c>
      <c r="G26" t="s">
        <v>90</v>
      </c>
      <c r="H26" t="str">
        <f>"93190"</f>
        <v>93190</v>
      </c>
      <c r="I26" t="s">
        <v>59</v>
      </c>
    </row>
    <row r="27" spans="1:9" x14ac:dyDescent="0.3">
      <c r="A27" t="str">
        <f>"17698448"</f>
        <v>17698448</v>
      </c>
      <c r="B27" t="s">
        <v>93</v>
      </c>
      <c r="C27" t="str">
        <f t="shared" si="0"/>
        <v>706</v>
      </c>
      <c r="D27" t="s">
        <v>28</v>
      </c>
      <c r="E27" t="s">
        <v>52</v>
      </c>
      <c r="F27" t="s">
        <v>94</v>
      </c>
      <c r="G27" t="s">
        <v>95</v>
      </c>
      <c r="H27" t="str">
        <f>"93190"</f>
        <v>93190</v>
      </c>
      <c r="I27" t="s">
        <v>59</v>
      </c>
    </row>
    <row r="28" spans="1:9" x14ac:dyDescent="0.3">
      <c r="A28" t="str">
        <f>"18190235"</f>
        <v>18190235</v>
      </c>
      <c r="B28" t="s">
        <v>96</v>
      </c>
      <c r="C28" t="str">
        <f t="shared" si="0"/>
        <v>706</v>
      </c>
      <c r="D28" t="s">
        <v>28</v>
      </c>
      <c r="E28" t="s">
        <v>83</v>
      </c>
      <c r="F28" t="s">
        <v>83</v>
      </c>
      <c r="G28" t="s">
        <v>97</v>
      </c>
      <c r="H28" t="str">
        <f>"93110"</f>
        <v>93110</v>
      </c>
      <c r="I28" t="s">
        <v>92</v>
      </c>
    </row>
    <row r="29" spans="1:9" x14ac:dyDescent="0.3">
      <c r="A29" t="str">
        <f>"18189008"</f>
        <v>18189008</v>
      </c>
      <c r="B29" t="s">
        <v>98</v>
      </c>
      <c r="C29" t="str">
        <f t="shared" si="0"/>
        <v>706</v>
      </c>
      <c r="D29" t="s">
        <v>28</v>
      </c>
      <c r="E29" t="s">
        <v>23</v>
      </c>
      <c r="F29" t="s">
        <v>99</v>
      </c>
      <c r="G29" t="s">
        <v>100</v>
      </c>
      <c r="H29" t="str">
        <f>"94993"</f>
        <v>94993</v>
      </c>
      <c r="I29" t="s">
        <v>50</v>
      </c>
    </row>
    <row r="30" spans="1:9" x14ac:dyDescent="0.3">
      <c r="A30" t="str">
        <f>"27025403"</f>
        <v>27025403</v>
      </c>
      <c r="B30" t="s">
        <v>101</v>
      </c>
      <c r="C30" t="str">
        <f t="shared" si="0"/>
        <v>706</v>
      </c>
      <c r="D30" t="s">
        <v>28</v>
      </c>
      <c r="E30" t="s">
        <v>23</v>
      </c>
      <c r="F30" t="s">
        <v>102</v>
      </c>
      <c r="G30" t="s">
        <v>103</v>
      </c>
      <c r="H30" t="str">
        <f>"93110"</f>
        <v>93110</v>
      </c>
      <c r="I30" t="s">
        <v>92</v>
      </c>
    </row>
    <row r="31" spans="1:9" x14ac:dyDescent="0.3">
      <c r="A31" t="str">
        <f>"01547402"</f>
        <v>01547402</v>
      </c>
      <c r="B31" t="s">
        <v>104</v>
      </c>
      <c r="C31" t="str">
        <f t="shared" si="0"/>
        <v>706</v>
      </c>
      <c r="D31" t="s">
        <v>28</v>
      </c>
      <c r="E31" t="s">
        <v>23</v>
      </c>
      <c r="F31" t="s">
        <v>23</v>
      </c>
      <c r="G31" t="s">
        <v>105</v>
      </c>
      <c r="H31" t="str">
        <f>"9499"</f>
        <v>9499</v>
      </c>
      <c r="I31" t="s">
        <v>31</v>
      </c>
    </row>
    <row r="32" spans="1:9" x14ac:dyDescent="0.3">
      <c r="A32" t="str">
        <f>"26643502"</f>
        <v>26643502</v>
      </c>
      <c r="B32" t="s">
        <v>106</v>
      </c>
      <c r="C32" t="str">
        <f t="shared" si="0"/>
        <v>706</v>
      </c>
      <c r="D32" t="s">
        <v>28</v>
      </c>
      <c r="E32" t="s">
        <v>23</v>
      </c>
      <c r="F32" t="s">
        <v>107</v>
      </c>
      <c r="G32" t="s">
        <v>108</v>
      </c>
      <c r="H32" t="str">
        <f>"9499"</f>
        <v>9499</v>
      </c>
      <c r="I32" t="s">
        <v>31</v>
      </c>
    </row>
    <row r="33" spans="1:20" x14ac:dyDescent="0.3">
      <c r="A33" t="str">
        <f>"27002438"</f>
        <v>27002438</v>
      </c>
      <c r="B33" t="s">
        <v>109</v>
      </c>
      <c r="C33" t="str">
        <f t="shared" si="0"/>
        <v>706</v>
      </c>
      <c r="D33" t="s">
        <v>28</v>
      </c>
      <c r="E33" t="s">
        <v>29</v>
      </c>
      <c r="F33" t="s">
        <v>29</v>
      </c>
      <c r="G33" t="s">
        <v>110</v>
      </c>
      <c r="H33" t="str">
        <f>"8899"</f>
        <v>8899</v>
      </c>
      <c r="I33" t="s">
        <v>40</v>
      </c>
    </row>
    <row r="34" spans="1:20" x14ac:dyDescent="0.3">
      <c r="A34" t="str">
        <f>"27713911"</f>
        <v>27713911</v>
      </c>
      <c r="B34" t="s">
        <v>111</v>
      </c>
      <c r="C34" t="str">
        <f>"141"</f>
        <v>141</v>
      </c>
      <c r="D34" t="s">
        <v>112</v>
      </c>
      <c r="E34" t="s">
        <v>52</v>
      </c>
      <c r="F34" t="s">
        <v>113</v>
      </c>
      <c r="G34" t="s">
        <v>114</v>
      </c>
      <c r="H34" t="str">
        <f>"8559"</f>
        <v>8559</v>
      </c>
      <c r="I34" t="s">
        <v>115</v>
      </c>
      <c r="J34" t="s">
        <v>116</v>
      </c>
    </row>
    <row r="35" spans="1:20" x14ac:dyDescent="0.3">
      <c r="A35" t="str">
        <f>"27003493"</f>
        <v>27003493</v>
      </c>
      <c r="B35" t="s">
        <v>118</v>
      </c>
      <c r="C35" t="str">
        <f t="shared" ref="C35:C44" si="1">"706"</f>
        <v>706</v>
      </c>
      <c r="D35" t="s">
        <v>28</v>
      </c>
      <c r="E35" t="s">
        <v>23</v>
      </c>
      <c r="F35" t="s">
        <v>23</v>
      </c>
      <c r="G35" t="s">
        <v>119</v>
      </c>
      <c r="H35" t="str">
        <f>"9499"</f>
        <v>9499</v>
      </c>
      <c r="I35" t="s">
        <v>31</v>
      </c>
    </row>
    <row r="36" spans="1:20" x14ac:dyDescent="0.3">
      <c r="A36" t="str">
        <f>"28560574"</f>
        <v>28560574</v>
      </c>
      <c r="B36" t="s">
        <v>120</v>
      </c>
      <c r="C36" t="str">
        <f t="shared" si="1"/>
        <v>706</v>
      </c>
      <c r="D36" t="s">
        <v>28</v>
      </c>
      <c r="E36" t="s">
        <v>29</v>
      </c>
      <c r="F36" t="s">
        <v>38</v>
      </c>
      <c r="G36" t="s">
        <v>121</v>
      </c>
      <c r="H36" t="str">
        <f>"9499"</f>
        <v>9499</v>
      </c>
      <c r="I36" t="s">
        <v>31</v>
      </c>
    </row>
    <row r="37" spans="1:20" x14ac:dyDescent="0.3">
      <c r="A37" t="str">
        <f>"22869425"</f>
        <v>22869425</v>
      </c>
      <c r="B37" t="s">
        <v>122</v>
      </c>
      <c r="C37" t="str">
        <f t="shared" si="1"/>
        <v>706</v>
      </c>
      <c r="D37" t="s">
        <v>28</v>
      </c>
      <c r="E37" t="s">
        <v>23</v>
      </c>
      <c r="F37" t="s">
        <v>23</v>
      </c>
      <c r="G37" t="s">
        <v>123</v>
      </c>
      <c r="H37" t="str">
        <f>"94993"</f>
        <v>94993</v>
      </c>
      <c r="I37" t="s">
        <v>50</v>
      </c>
    </row>
    <row r="38" spans="1:20" x14ac:dyDescent="0.3">
      <c r="A38" t="str">
        <f>"60609192"</f>
        <v>60609192</v>
      </c>
      <c r="B38" t="s">
        <v>124</v>
      </c>
      <c r="C38" t="str">
        <f t="shared" si="1"/>
        <v>706</v>
      </c>
      <c r="D38" t="s">
        <v>28</v>
      </c>
      <c r="E38" t="s">
        <v>29</v>
      </c>
      <c r="F38" t="s">
        <v>45</v>
      </c>
      <c r="G38" t="s">
        <v>125</v>
      </c>
      <c r="H38" t="str">
        <f>"93290"</f>
        <v>93290</v>
      </c>
      <c r="I38" t="s">
        <v>126</v>
      </c>
    </row>
    <row r="39" spans="1:20" x14ac:dyDescent="0.3">
      <c r="A39" t="str">
        <f>"27059197"</f>
        <v>27059197</v>
      </c>
      <c r="B39" t="s">
        <v>127</v>
      </c>
      <c r="C39" t="str">
        <f t="shared" si="1"/>
        <v>706</v>
      </c>
      <c r="D39" t="s">
        <v>28</v>
      </c>
      <c r="E39" t="s">
        <v>83</v>
      </c>
      <c r="F39" t="s">
        <v>83</v>
      </c>
      <c r="G39" t="s">
        <v>128</v>
      </c>
      <c r="H39" t="str">
        <f>"9499"</f>
        <v>9499</v>
      </c>
      <c r="I39" t="s">
        <v>31</v>
      </c>
    </row>
    <row r="40" spans="1:20" x14ac:dyDescent="0.3">
      <c r="A40" t="str">
        <f>"22744037"</f>
        <v>22744037</v>
      </c>
      <c r="B40" t="s">
        <v>129</v>
      </c>
      <c r="C40" t="str">
        <f t="shared" si="1"/>
        <v>706</v>
      </c>
      <c r="D40" t="s">
        <v>28</v>
      </c>
      <c r="E40" t="s">
        <v>83</v>
      </c>
      <c r="F40" t="s">
        <v>130</v>
      </c>
      <c r="G40" t="s">
        <v>131</v>
      </c>
      <c r="H40" t="str">
        <f>"94993"</f>
        <v>94993</v>
      </c>
      <c r="I40" t="s">
        <v>50</v>
      </c>
    </row>
    <row r="41" spans="1:20" x14ac:dyDescent="0.3">
      <c r="A41" t="str">
        <f>"22904875"</f>
        <v>22904875</v>
      </c>
      <c r="B41" t="s">
        <v>132</v>
      </c>
      <c r="C41" t="str">
        <f t="shared" si="1"/>
        <v>706</v>
      </c>
      <c r="D41" t="s">
        <v>28</v>
      </c>
      <c r="E41" t="s">
        <v>52</v>
      </c>
      <c r="F41" t="s">
        <v>113</v>
      </c>
      <c r="G41" t="s">
        <v>133</v>
      </c>
      <c r="H41" t="str">
        <f>"94993"</f>
        <v>94993</v>
      </c>
      <c r="I41" t="s">
        <v>50</v>
      </c>
    </row>
    <row r="42" spans="1:20" x14ac:dyDescent="0.3">
      <c r="A42" t="str">
        <f>"27049604"</f>
        <v>27049604</v>
      </c>
      <c r="B42" t="s">
        <v>134</v>
      </c>
      <c r="C42" t="str">
        <f t="shared" si="1"/>
        <v>706</v>
      </c>
      <c r="D42" t="s">
        <v>28</v>
      </c>
      <c r="E42" t="s">
        <v>29</v>
      </c>
      <c r="F42" t="s">
        <v>135</v>
      </c>
      <c r="G42" t="s">
        <v>136</v>
      </c>
      <c r="H42" t="str">
        <f>"9499"</f>
        <v>9499</v>
      </c>
      <c r="I42" t="s">
        <v>31</v>
      </c>
    </row>
    <row r="43" spans="1:20" x14ac:dyDescent="0.3">
      <c r="A43" t="str">
        <f>"03697606"</f>
        <v>03697606</v>
      </c>
      <c r="B43" t="s">
        <v>137</v>
      </c>
      <c r="C43" t="str">
        <f t="shared" si="1"/>
        <v>706</v>
      </c>
      <c r="D43" t="s">
        <v>28</v>
      </c>
      <c r="E43" t="s">
        <v>29</v>
      </c>
      <c r="F43" t="s">
        <v>138</v>
      </c>
      <c r="G43" t="s">
        <v>139</v>
      </c>
      <c r="H43" t="str">
        <f>"9499"</f>
        <v>9499</v>
      </c>
      <c r="I43" t="s">
        <v>31</v>
      </c>
    </row>
    <row r="44" spans="1:20" x14ac:dyDescent="0.3">
      <c r="A44" t="str">
        <f>"26568896"</f>
        <v>26568896</v>
      </c>
      <c r="B44" t="s">
        <v>140</v>
      </c>
      <c r="C44" t="str">
        <f t="shared" si="1"/>
        <v>706</v>
      </c>
      <c r="D44" t="s">
        <v>28</v>
      </c>
      <c r="E44" t="s">
        <v>23</v>
      </c>
      <c r="F44" t="s">
        <v>141</v>
      </c>
      <c r="G44" t="s">
        <v>142</v>
      </c>
      <c r="H44" t="str">
        <f>"9499"</f>
        <v>9499</v>
      </c>
      <c r="I44" t="s">
        <v>31</v>
      </c>
    </row>
    <row r="45" spans="1:20" x14ac:dyDescent="0.3">
      <c r="A45" t="str">
        <f>"02406055"</f>
        <v>02406055</v>
      </c>
      <c r="B45" t="s">
        <v>143</v>
      </c>
      <c r="C45" t="str">
        <f>"141"</f>
        <v>141</v>
      </c>
      <c r="D45" t="s">
        <v>112</v>
      </c>
      <c r="E45" t="s">
        <v>52</v>
      </c>
      <c r="F45" t="s">
        <v>144</v>
      </c>
      <c r="G45" t="s">
        <v>145</v>
      </c>
      <c r="H45" t="str">
        <f>"855"</f>
        <v>855</v>
      </c>
      <c r="I45" t="s">
        <v>146</v>
      </c>
      <c r="J45" t="s">
        <v>147</v>
      </c>
      <c r="K45" t="s">
        <v>148</v>
      </c>
    </row>
    <row r="46" spans="1:20" x14ac:dyDescent="0.3">
      <c r="A46" t="str">
        <f>"22868470"</f>
        <v>22868470</v>
      </c>
      <c r="B46" t="s">
        <v>149</v>
      </c>
      <c r="C46" t="str">
        <f>"706"</f>
        <v>706</v>
      </c>
      <c r="D46" t="s">
        <v>28</v>
      </c>
      <c r="E46" t="s">
        <v>83</v>
      </c>
      <c r="F46" t="s">
        <v>83</v>
      </c>
      <c r="G46" t="s">
        <v>150</v>
      </c>
      <c r="H46" t="str">
        <f>"93190"</f>
        <v>93190</v>
      </c>
      <c r="I46" t="s">
        <v>59</v>
      </c>
    </row>
    <row r="47" spans="1:20" x14ac:dyDescent="0.3">
      <c r="A47" t="str">
        <f>"27664333"</f>
        <v>27664333</v>
      </c>
      <c r="B47" t="s">
        <v>151</v>
      </c>
      <c r="C47" t="str">
        <f>"161"</f>
        <v>161</v>
      </c>
      <c r="D47" t="s">
        <v>152</v>
      </c>
      <c r="E47" t="s">
        <v>23</v>
      </c>
      <c r="F47" t="s">
        <v>68</v>
      </c>
      <c r="G47" t="s">
        <v>153</v>
      </c>
      <c r="H47" t="str">
        <f>"88"</f>
        <v>88</v>
      </c>
      <c r="I47" t="s">
        <v>154</v>
      </c>
      <c r="J47" t="s">
        <v>155</v>
      </c>
      <c r="K47" t="s">
        <v>156</v>
      </c>
      <c r="L47" t="s">
        <v>157</v>
      </c>
      <c r="M47" t="s">
        <v>158</v>
      </c>
      <c r="N47" t="s">
        <v>159</v>
      </c>
      <c r="O47" t="s">
        <v>160</v>
      </c>
      <c r="P47" t="s">
        <v>161</v>
      </c>
      <c r="Q47" t="s">
        <v>162</v>
      </c>
      <c r="R47" t="s">
        <v>163</v>
      </c>
      <c r="S47" t="s">
        <v>164</v>
      </c>
      <c r="T47" t="s">
        <v>165</v>
      </c>
    </row>
    <row r="48" spans="1:20" x14ac:dyDescent="0.3">
      <c r="A48" t="str">
        <f>"09542426"</f>
        <v>09542426</v>
      </c>
      <c r="B48" t="s">
        <v>166</v>
      </c>
      <c r="C48" t="str">
        <f>"706"</f>
        <v>706</v>
      </c>
      <c r="D48" t="s">
        <v>28</v>
      </c>
      <c r="E48" t="s">
        <v>52</v>
      </c>
      <c r="F48" t="s">
        <v>52</v>
      </c>
      <c r="G48" t="s">
        <v>167</v>
      </c>
      <c r="H48" t="str">
        <f>"93110"</f>
        <v>93110</v>
      </c>
      <c r="I48" t="s">
        <v>92</v>
      </c>
    </row>
    <row r="49" spans="1:13" x14ac:dyDescent="0.3">
      <c r="A49" t="str">
        <f>"22364536"</f>
        <v>22364536</v>
      </c>
      <c r="B49" t="s">
        <v>168</v>
      </c>
      <c r="C49" t="str">
        <f>"706"</f>
        <v>706</v>
      </c>
      <c r="D49" t="s">
        <v>28</v>
      </c>
      <c r="E49" t="s">
        <v>29</v>
      </c>
      <c r="F49" t="s">
        <v>135</v>
      </c>
      <c r="G49" t="s">
        <v>169</v>
      </c>
      <c r="H49" t="str">
        <f>"94993"</f>
        <v>94993</v>
      </c>
      <c r="I49" t="s">
        <v>50</v>
      </c>
    </row>
    <row r="50" spans="1:13" x14ac:dyDescent="0.3">
      <c r="A50" t="str">
        <f>"62181483"</f>
        <v>62181483</v>
      </c>
      <c r="B50" t="s">
        <v>170</v>
      </c>
      <c r="C50" t="str">
        <f>"922"</f>
        <v>922</v>
      </c>
      <c r="D50" t="s">
        <v>171</v>
      </c>
      <c r="E50" t="s">
        <v>23</v>
      </c>
      <c r="F50" t="s">
        <v>23</v>
      </c>
      <c r="G50" t="s">
        <v>172</v>
      </c>
      <c r="H50" t="str">
        <f>"85600"</f>
        <v>85600</v>
      </c>
      <c r="I50" t="s">
        <v>173</v>
      </c>
    </row>
    <row r="51" spans="1:13" x14ac:dyDescent="0.3">
      <c r="A51" t="str">
        <f>"22850431"</f>
        <v>22850431</v>
      </c>
      <c r="B51" t="s">
        <v>174</v>
      </c>
      <c r="C51" t="str">
        <f>"706"</f>
        <v>706</v>
      </c>
      <c r="D51" t="s">
        <v>28</v>
      </c>
      <c r="E51" t="s">
        <v>83</v>
      </c>
      <c r="F51" t="s">
        <v>175</v>
      </c>
      <c r="G51" t="s">
        <v>176</v>
      </c>
      <c r="H51" t="str">
        <f>"93190"</f>
        <v>93190</v>
      </c>
      <c r="I51" t="s">
        <v>59</v>
      </c>
    </row>
    <row r="52" spans="1:13" x14ac:dyDescent="0.3">
      <c r="A52" t="str">
        <f>"67010792"</f>
        <v>67010792</v>
      </c>
      <c r="B52" t="s">
        <v>177</v>
      </c>
      <c r="C52" t="str">
        <f>"706"</f>
        <v>706</v>
      </c>
      <c r="D52" t="s">
        <v>28</v>
      </c>
      <c r="E52" t="s">
        <v>52</v>
      </c>
      <c r="F52" t="s">
        <v>178</v>
      </c>
      <c r="G52" t="s">
        <v>179</v>
      </c>
      <c r="H52" t="str">
        <f>"93120"</f>
        <v>93120</v>
      </c>
      <c r="I52" t="s">
        <v>54</v>
      </c>
    </row>
    <row r="53" spans="1:13" x14ac:dyDescent="0.3">
      <c r="A53" t="str">
        <f>"47933828"</f>
        <v>47933828</v>
      </c>
      <c r="B53" t="s">
        <v>180</v>
      </c>
      <c r="C53" t="str">
        <f>"706"</f>
        <v>706</v>
      </c>
      <c r="D53" t="s">
        <v>28</v>
      </c>
      <c r="E53" t="s">
        <v>83</v>
      </c>
      <c r="F53" t="s">
        <v>83</v>
      </c>
      <c r="G53" t="s">
        <v>181</v>
      </c>
      <c r="H53" t="str">
        <f>"9499"</f>
        <v>9499</v>
      </c>
      <c r="I53" t="s">
        <v>31</v>
      </c>
    </row>
    <row r="54" spans="1:13" x14ac:dyDescent="0.3">
      <c r="A54" t="str">
        <f>"28552211"</f>
        <v>28552211</v>
      </c>
      <c r="B54" t="s">
        <v>182</v>
      </c>
      <c r="C54" t="str">
        <f>"706"</f>
        <v>706</v>
      </c>
      <c r="D54" t="s">
        <v>28</v>
      </c>
      <c r="E54" t="s">
        <v>83</v>
      </c>
      <c r="F54" t="s">
        <v>183</v>
      </c>
      <c r="G54" t="s">
        <v>184</v>
      </c>
      <c r="H54" t="str">
        <f>"94993"</f>
        <v>94993</v>
      </c>
      <c r="I54" t="s">
        <v>50</v>
      </c>
    </row>
    <row r="55" spans="1:13" x14ac:dyDescent="0.3">
      <c r="A55" t="str">
        <f>"22749632"</f>
        <v>22749632</v>
      </c>
      <c r="B55" t="s">
        <v>185</v>
      </c>
      <c r="C55" t="str">
        <f>"736"</f>
        <v>736</v>
      </c>
      <c r="D55" t="s">
        <v>22</v>
      </c>
      <c r="E55" t="s">
        <v>52</v>
      </c>
      <c r="F55" t="s">
        <v>113</v>
      </c>
      <c r="G55" t="s">
        <v>186</v>
      </c>
      <c r="H55" t="str">
        <f>"9499"</f>
        <v>9499</v>
      </c>
      <c r="I55" t="s">
        <v>31</v>
      </c>
    </row>
    <row r="56" spans="1:13" x14ac:dyDescent="0.3">
      <c r="A56" t="str">
        <f>"22840982"</f>
        <v>22840982</v>
      </c>
      <c r="B56" t="s">
        <v>187</v>
      </c>
      <c r="C56" t="str">
        <f>"706"</f>
        <v>706</v>
      </c>
      <c r="D56" t="s">
        <v>28</v>
      </c>
      <c r="E56" t="s">
        <v>83</v>
      </c>
      <c r="F56" t="s">
        <v>83</v>
      </c>
      <c r="G56" t="s">
        <v>188</v>
      </c>
      <c r="H56" t="str">
        <f>"94993"</f>
        <v>94993</v>
      </c>
      <c r="I56" t="s">
        <v>50</v>
      </c>
    </row>
    <row r="57" spans="1:13" x14ac:dyDescent="0.3">
      <c r="A57" t="str">
        <f>"48472221"</f>
        <v>48472221</v>
      </c>
      <c r="B57" t="s">
        <v>189</v>
      </c>
      <c r="C57" t="str">
        <f>"736"</f>
        <v>736</v>
      </c>
      <c r="D57" t="s">
        <v>22</v>
      </c>
      <c r="E57" t="s">
        <v>23</v>
      </c>
      <c r="F57" t="s">
        <v>190</v>
      </c>
      <c r="G57" t="s">
        <v>191</v>
      </c>
      <c r="H57" t="str">
        <f>"9499"</f>
        <v>9499</v>
      </c>
      <c r="I57" t="s">
        <v>31</v>
      </c>
    </row>
    <row r="58" spans="1:13" x14ac:dyDescent="0.3">
      <c r="A58" t="str">
        <f>"70837368"</f>
        <v>70837368</v>
      </c>
      <c r="B58" t="s">
        <v>192</v>
      </c>
      <c r="C58" t="str">
        <f>"736"</f>
        <v>736</v>
      </c>
      <c r="D58" t="s">
        <v>22</v>
      </c>
      <c r="E58" t="s">
        <v>23</v>
      </c>
      <c r="F58" t="s">
        <v>23</v>
      </c>
      <c r="G58" t="s">
        <v>193</v>
      </c>
      <c r="H58" t="str">
        <f>"931"</f>
        <v>931</v>
      </c>
      <c r="I58" t="s">
        <v>26</v>
      </c>
    </row>
    <row r="59" spans="1:13" x14ac:dyDescent="0.3">
      <c r="A59" t="str">
        <f>"26523108"</f>
        <v>26523108</v>
      </c>
      <c r="B59" t="s">
        <v>194</v>
      </c>
      <c r="C59" t="str">
        <f t="shared" ref="C59:C68" si="2">"706"</f>
        <v>706</v>
      </c>
      <c r="D59" t="s">
        <v>28</v>
      </c>
      <c r="E59" t="s">
        <v>29</v>
      </c>
      <c r="F59" t="s">
        <v>195</v>
      </c>
      <c r="G59" t="s">
        <v>196</v>
      </c>
      <c r="H59" t="str">
        <f>"9499"</f>
        <v>9499</v>
      </c>
      <c r="I59" t="s">
        <v>31</v>
      </c>
    </row>
    <row r="60" spans="1:13" x14ac:dyDescent="0.3">
      <c r="A60" t="str">
        <f>"01344323"</f>
        <v>01344323</v>
      </c>
      <c r="B60" t="s">
        <v>197</v>
      </c>
      <c r="C60" t="str">
        <f t="shared" si="2"/>
        <v>706</v>
      </c>
      <c r="D60" t="s">
        <v>28</v>
      </c>
      <c r="E60" t="s">
        <v>23</v>
      </c>
      <c r="F60" t="s">
        <v>23</v>
      </c>
      <c r="G60" t="s">
        <v>198</v>
      </c>
      <c r="H60" t="str">
        <f>"93120"</f>
        <v>93120</v>
      </c>
      <c r="I60" t="s">
        <v>54</v>
      </c>
    </row>
    <row r="61" spans="1:13" x14ac:dyDescent="0.3">
      <c r="A61" t="str">
        <f>"22852506"</f>
        <v>22852506</v>
      </c>
      <c r="B61" t="s">
        <v>199</v>
      </c>
      <c r="C61" t="str">
        <f t="shared" si="2"/>
        <v>706</v>
      </c>
      <c r="D61" t="s">
        <v>28</v>
      </c>
      <c r="E61" t="s">
        <v>83</v>
      </c>
      <c r="F61" t="s">
        <v>200</v>
      </c>
      <c r="G61" t="s">
        <v>201</v>
      </c>
      <c r="H61" t="str">
        <f>"94999"</f>
        <v>94999</v>
      </c>
      <c r="I61" t="s">
        <v>202</v>
      </c>
    </row>
    <row r="62" spans="1:13" x14ac:dyDescent="0.3">
      <c r="A62" t="str">
        <f>"21067040"</f>
        <v>21067040</v>
      </c>
      <c r="B62" t="s">
        <v>203</v>
      </c>
      <c r="C62" t="str">
        <f t="shared" si="2"/>
        <v>706</v>
      </c>
      <c r="D62" t="s">
        <v>28</v>
      </c>
      <c r="E62" t="s">
        <v>23</v>
      </c>
      <c r="F62" t="s">
        <v>23</v>
      </c>
      <c r="G62" t="s">
        <v>204</v>
      </c>
      <c r="H62" t="str">
        <f>"93120"</f>
        <v>93120</v>
      </c>
      <c r="I62" t="s">
        <v>54</v>
      </c>
    </row>
    <row r="63" spans="1:13" x14ac:dyDescent="0.3">
      <c r="A63" t="str">
        <f>"06351778"</f>
        <v>06351778</v>
      </c>
      <c r="B63" t="s">
        <v>205</v>
      </c>
      <c r="C63" t="str">
        <f t="shared" si="2"/>
        <v>706</v>
      </c>
      <c r="D63" t="s">
        <v>28</v>
      </c>
      <c r="E63" t="s">
        <v>23</v>
      </c>
      <c r="F63" t="s">
        <v>107</v>
      </c>
      <c r="G63" t="s">
        <v>206</v>
      </c>
      <c r="H63" t="str">
        <f>"93120"</f>
        <v>93120</v>
      </c>
      <c r="I63" t="s">
        <v>54</v>
      </c>
    </row>
    <row r="64" spans="1:13" x14ac:dyDescent="0.3">
      <c r="A64" t="str">
        <f>"07688521"</f>
        <v>07688521</v>
      </c>
      <c r="B64" t="s">
        <v>207</v>
      </c>
      <c r="C64" t="str">
        <f t="shared" si="2"/>
        <v>706</v>
      </c>
      <c r="D64" t="s">
        <v>28</v>
      </c>
      <c r="E64" t="s">
        <v>83</v>
      </c>
      <c r="F64" t="s">
        <v>183</v>
      </c>
      <c r="G64" t="s">
        <v>208</v>
      </c>
      <c r="H64" t="str">
        <f>"9499"</f>
        <v>9499</v>
      </c>
      <c r="I64" t="s">
        <v>31</v>
      </c>
      <c r="J64" t="s">
        <v>161</v>
      </c>
      <c r="K64" t="s">
        <v>163</v>
      </c>
      <c r="L64" t="s">
        <v>59</v>
      </c>
      <c r="M64" t="s">
        <v>209</v>
      </c>
    </row>
    <row r="65" spans="1:15" x14ac:dyDescent="0.3">
      <c r="A65" t="str">
        <f>"21927812"</f>
        <v>21927812</v>
      </c>
      <c r="B65" t="s">
        <v>210</v>
      </c>
      <c r="C65" t="str">
        <f t="shared" si="2"/>
        <v>706</v>
      </c>
      <c r="D65" t="s">
        <v>28</v>
      </c>
      <c r="E65" t="s">
        <v>83</v>
      </c>
      <c r="F65" t="s">
        <v>183</v>
      </c>
      <c r="G65" t="s">
        <v>211</v>
      </c>
      <c r="H65" t="str">
        <f>"9499"</f>
        <v>9499</v>
      </c>
      <c r="I65" t="s">
        <v>31</v>
      </c>
    </row>
    <row r="66" spans="1:15" x14ac:dyDescent="0.3">
      <c r="A66" t="str">
        <f>"28552709"</f>
        <v>28552709</v>
      </c>
      <c r="B66" t="s">
        <v>212</v>
      </c>
      <c r="C66" t="str">
        <f t="shared" si="2"/>
        <v>706</v>
      </c>
      <c r="D66" t="s">
        <v>28</v>
      </c>
      <c r="E66" t="s">
        <v>52</v>
      </c>
      <c r="F66" t="s">
        <v>52</v>
      </c>
      <c r="G66" t="s">
        <v>213</v>
      </c>
      <c r="H66" t="str">
        <f>"9499"</f>
        <v>9499</v>
      </c>
      <c r="I66" t="s">
        <v>31</v>
      </c>
    </row>
    <row r="67" spans="1:15" x14ac:dyDescent="0.3">
      <c r="A67" t="str">
        <f>"22853731"</f>
        <v>22853731</v>
      </c>
      <c r="B67" t="s">
        <v>214</v>
      </c>
      <c r="C67" t="str">
        <f t="shared" si="2"/>
        <v>706</v>
      </c>
      <c r="D67" t="s">
        <v>28</v>
      </c>
      <c r="E67" t="s">
        <v>23</v>
      </c>
      <c r="F67" t="s">
        <v>24</v>
      </c>
      <c r="G67" t="s">
        <v>215</v>
      </c>
      <c r="H67" t="str">
        <f>"94999"</f>
        <v>94999</v>
      </c>
      <c r="I67" t="s">
        <v>202</v>
      </c>
    </row>
    <row r="68" spans="1:15" x14ac:dyDescent="0.3">
      <c r="A68" t="str">
        <f>"19916736"</f>
        <v>19916736</v>
      </c>
      <c r="B68" t="s">
        <v>216</v>
      </c>
      <c r="C68" t="str">
        <f t="shared" si="2"/>
        <v>706</v>
      </c>
      <c r="D68" t="s">
        <v>28</v>
      </c>
      <c r="E68" t="s">
        <v>83</v>
      </c>
      <c r="F68" t="s">
        <v>217</v>
      </c>
      <c r="G68" t="s">
        <v>218</v>
      </c>
      <c r="H68" t="str">
        <f>"93190"</f>
        <v>93190</v>
      </c>
      <c r="I68" t="s">
        <v>59</v>
      </c>
    </row>
    <row r="69" spans="1:15" x14ac:dyDescent="0.3">
      <c r="A69" t="str">
        <f>"29285020"</f>
        <v>29285020</v>
      </c>
      <c r="B69" t="s">
        <v>219</v>
      </c>
      <c r="C69" t="str">
        <f>"141"</f>
        <v>141</v>
      </c>
      <c r="D69" t="s">
        <v>112</v>
      </c>
      <c r="E69" t="s">
        <v>23</v>
      </c>
      <c r="F69" t="s">
        <v>23</v>
      </c>
      <c r="G69" t="s">
        <v>220</v>
      </c>
      <c r="H69" t="str">
        <f>"9499"</f>
        <v>9499</v>
      </c>
      <c r="I69" t="s">
        <v>31</v>
      </c>
      <c r="J69" t="s">
        <v>116</v>
      </c>
      <c r="K69" t="s">
        <v>115</v>
      </c>
      <c r="L69" t="s">
        <v>221</v>
      </c>
      <c r="M69" t="s">
        <v>163</v>
      </c>
      <c r="N69" t="s">
        <v>222</v>
      </c>
      <c r="O69" t="s">
        <v>92</v>
      </c>
    </row>
    <row r="70" spans="1:15" x14ac:dyDescent="0.3">
      <c r="A70" t="str">
        <f>"02671816"</f>
        <v>02671816</v>
      </c>
      <c r="B70" t="s">
        <v>223</v>
      </c>
      <c r="C70" t="str">
        <f>"706"</f>
        <v>706</v>
      </c>
      <c r="D70" t="s">
        <v>28</v>
      </c>
      <c r="E70" t="s">
        <v>83</v>
      </c>
      <c r="F70" t="s">
        <v>224</v>
      </c>
      <c r="G70" t="s">
        <v>225</v>
      </c>
      <c r="H70" t="str">
        <f>"9499"</f>
        <v>9499</v>
      </c>
      <c r="I70" t="s">
        <v>31</v>
      </c>
    </row>
    <row r="71" spans="1:15" x14ac:dyDescent="0.3">
      <c r="A71" t="str">
        <f>"27054411"</f>
        <v>27054411</v>
      </c>
      <c r="B71" t="s">
        <v>226</v>
      </c>
      <c r="C71" t="str">
        <f>"706"</f>
        <v>706</v>
      </c>
      <c r="D71" t="s">
        <v>28</v>
      </c>
      <c r="E71" t="s">
        <v>83</v>
      </c>
      <c r="F71" t="s">
        <v>227</v>
      </c>
      <c r="G71" t="s">
        <v>228</v>
      </c>
      <c r="H71" t="str">
        <f>"93110"</f>
        <v>93110</v>
      </c>
      <c r="I71" t="s">
        <v>92</v>
      </c>
    </row>
    <row r="72" spans="1:15" x14ac:dyDescent="0.3">
      <c r="A72" t="str">
        <f>"04818032"</f>
        <v>04818032</v>
      </c>
      <c r="B72" t="s">
        <v>229</v>
      </c>
      <c r="C72" t="str">
        <f>"706"</f>
        <v>706</v>
      </c>
      <c r="D72" t="s">
        <v>28</v>
      </c>
      <c r="E72" t="s">
        <v>83</v>
      </c>
      <c r="F72" t="s">
        <v>230</v>
      </c>
      <c r="G72" t="s">
        <v>231</v>
      </c>
      <c r="H72" t="str">
        <f>"94995"</f>
        <v>94995</v>
      </c>
      <c r="I72" t="s">
        <v>232</v>
      </c>
    </row>
    <row r="73" spans="1:15" x14ac:dyDescent="0.3">
      <c r="A73" t="str">
        <f>"22607927"</f>
        <v>22607927</v>
      </c>
      <c r="B73" t="s">
        <v>233</v>
      </c>
      <c r="C73" t="str">
        <f>"706"</f>
        <v>706</v>
      </c>
      <c r="D73" t="s">
        <v>28</v>
      </c>
      <c r="E73" t="s">
        <v>52</v>
      </c>
      <c r="F73" t="s">
        <v>234</v>
      </c>
      <c r="G73" t="s">
        <v>235</v>
      </c>
      <c r="H73" t="str">
        <f>"9499"</f>
        <v>9499</v>
      </c>
      <c r="I73" t="s">
        <v>31</v>
      </c>
      <c r="J73" t="s">
        <v>236</v>
      </c>
      <c r="K73" t="s">
        <v>237</v>
      </c>
      <c r="L73" t="s">
        <v>157</v>
      </c>
      <c r="M73" t="s">
        <v>238</v>
      </c>
      <c r="N73" t="s">
        <v>160</v>
      </c>
      <c r="O73" t="s">
        <v>239</v>
      </c>
    </row>
    <row r="74" spans="1:15" x14ac:dyDescent="0.3">
      <c r="A74" t="str">
        <f>"01464329"</f>
        <v>01464329</v>
      </c>
      <c r="B74" t="s">
        <v>240</v>
      </c>
      <c r="C74" t="str">
        <f>"141"</f>
        <v>141</v>
      </c>
      <c r="D74" t="s">
        <v>112</v>
      </c>
      <c r="E74" t="s">
        <v>23</v>
      </c>
      <c r="F74" t="s">
        <v>23</v>
      </c>
      <c r="G74" t="s">
        <v>220</v>
      </c>
      <c r="H74" t="str">
        <f>"8559"</f>
        <v>8559</v>
      </c>
      <c r="I74" t="s">
        <v>115</v>
      </c>
      <c r="J74" t="s">
        <v>158</v>
      </c>
      <c r="K74" t="s">
        <v>241</v>
      </c>
      <c r="L74" t="s">
        <v>50</v>
      </c>
    </row>
    <row r="75" spans="1:15" x14ac:dyDescent="0.3">
      <c r="A75" t="str">
        <f>"22664301"</f>
        <v>22664301</v>
      </c>
      <c r="B75" t="s">
        <v>242</v>
      </c>
      <c r="C75" t="str">
        <f t="shared" ref="C75:C88" si="3">"706"</f>
        <v>706</v>
      </c>
      <c r="D75" t="s">
        <v>28</v>
      </c>
      <c r="E75" t="s">
        <v>29</v>
      </c>
      <c r="F75" t="s">
        <v>38</v>
      </c>
      <c r="G75" t="s">
        <v>243</v>
      </c>
      <c r="H75" t="str">
        <f>"93110"</f>
        <v>93110</v>
      </c>
      <c r="I75" t="s">
        <v>92</v>
      </c>
    </row>
    <row r="76" spans="1:15" x14ac:dyDescent="0.3">
      <c r="A76" t="str">
        <f>"09760903"</f>
        <v>09760903</v>
      </c>
      <c r="B76" t="s">
        <v>244</v>
      </c>
      <c r="C76" t="str">
        <f t="shared" si="3"/>
        <v>706</v>
      </c>
      <c r="D76" t="s">
        <v>28</v>
      </c>
      <c r="E76" t="s">
        <v>23</v>
      </c>
      <c r="F76" t="s">
        <v>245</v>
      </c>
      <c r="G76" t="s">
        <v>246</v>
      </c>
      <c r="H76" t="str">
        <f>"9499"</f>
        <v>9499</v>
      </c>
      <c r="I76" t="s">
        <v>31</v>
      </c>
    </row>
    <row r="77" spans="1:15" x14ac:dyDescent="0.3">
      <c r="A77" t="str">
        <f>"22829971"</f>
        <v>22829971</v>
      </c>
      <c r="B77" t="s">
        <v>247</v>
      </c>
      <c r="C77" t="str">
        <f t="shared" si="3"/>
        <v>706</v>
      </c>
      <c r="D77" t="s">
        <v>28</v>
      </c>
      <c r="E77" t="s">
        <v>83</v>
      </c>
      <c r="F77" t="s">
        <v>183</v>
      </c>
      <c r="G77" t="s">
        <v>248</v>
      </c>
      <c r="H77" t="str">
        <f>"9499"</f>
        <v>9499</v>
      </c>
      <c r="I77" t="s">
        <v>31</v>
      </c>
    </row>
    <row r="78" spans="1:15" x14ac:dyDescent="0.3">
      <c r="A78" t="str">
        <f>"27014665"</f>
        <v>27014665</v>
      </c>
      <c r="B78" t="s">
        <v>249</v>
      </c>
      <c r="C78" t="str">
        <f t="shared" si="3"/>
        <v>706</v>
      </c>
      <c r="D78" t="s">
        <v>28</v>
      </c>
      <c r="E78" t="s">
        <v>29</v>
      </c>
      <c r="F78" t="s">
        <v>250</v>
      </c>
      <c r="G78" t="s">
        <v>251</v>
      </c>
      <c r="H78" t="str">
        <f>"93110"</f>
        <v>93110</v>
      </c>
      <c r="I78" t="s">
        <v>92</v>
      </c>
    </row>
    <row r="79" spans="1:15" x14ac:dyDescent="0.3">
      <c r="A79" t="str">
        <f>"08832706"</f>
        <v>08832706</v>
      </c>
      <c r="B79" t="s">
        <v>252</v>
      </c>
      <c r="C79" t="str">
        <f t="shared" si="3"/>
        <v>706</v>
      </c>
      <c r="D79" t="s">
        <v>28</v>
      </c>
      <c r="E79" t="s">
        <v>23</v>
      </c>
      <c r="F79" t="s">
        <v>23</v>
      </c>
      <c r="G79" t="s">
        <v>253</v>
      </c>
      <c r="H79" t="str">
        <f>"94996"</f>
        <v>94996</v>
      </c>
      <c r="I79" t="s">
        <v>47</v>
      </c>
    </row>
    <row r="80" spans="1:15" x14ac:dyDescent="0.3">
      <c r="A80" t="str">
        <f>"70871566"</f>
        <v>70871566</v>
      </c>
      <c r="B80" t="s">
        <v>254</v>
      </c>
      <c r="C80" t="str">
        <f t="shared" si="3"/>
        <v>706</v>
      </c>
      <c r="D80" t="s">
        <v>28</v>
      </c>
      <c r="E80" t="s">
        <v>23</v>
      </c>
      <c r="F80" t="s">
        <v>23</v>
      </c>
      <c r="G80" t="s">
        <v>255</v>
      </c>
      <c r="H80" t="str">
        <f>"9499"</f>
        <v>9499</v>
      </c>
      <c r="I80" t="s">
        <v>31</v>
      </c>
    </row>
    <row r="81" spans="1:22" x14ac:dyDescent="0.3">
      <c r="A81" t="str">
        <f>"03700216"</f>
        <v>03700216</v>
      </c>
      <c r="B81" t="s">
        <v>256</v>
      </c>
      <c r="C81" t="str">
        <f t="shared" si="3"/>
        <v>706</v>
      </c>
      <c r="D81" t="s">
        <v>28</v>
      </c>
      <c r="E81" t="s">
        <v>52</v>
      </c>
      <c r="F81" t="s">
        <v>52</v>
      </c>
      <c r="G81" t="s">
        <v>257</v>
      </c>
      <c r="H81" t="str">
        <f>"9499"</f>
        <v>9499</v>
      </c>
      <c r="I81" t="s">
        <v>31</v>
      </c>
      <c r="J81" t="s">
        <v>258</v>
      </c>
      <c r="K81" t="s">
        <v>236</v>
      </c>
      <c r="L81" t="s">
        <v>259</v>
      </c>
      <c r="M81" t="s">
        <v>147</v>
      </c>
      <c r="N81" t="s">
        <v>238</v>
      </c>
      <c r="O81" t="s">
        <v>260</v>
      </c>
      <c r="P81" t="s">
        <v>261</v>
      </c>
      <c r="Q81" t="s">
        <v>159</v>
      </c>
      <c r="R81" t="s">
        <v>146</v>
      </c>
      <c r="S81" t="s">
        <v>160</v>
      </c>
      <c r="T81" t="s">
        <v>262</v>
      </c>
      <c r="U81" t="s">
        <v>263</v>
      </c>
      <c r="V81" t="s">
        <v>163</v>
      </c>
    </row>
    <row r="82" spans="1:22" x14ac:dyDescent="0.3">
      <c r="A82" t="str">
        <f>"09224939"</f>
        <v>09224939</v>
      </c>
      <c r="B82" t="s">
        <v>264</v>
      </c>
      <c r="C82" t="str">
        <f t="shared" si="3"/>
        <v>706</v>
      </c>
      <c r="D82" t="s">
        <v>28</v>
      </c>
      <c r="E82" t="s">
        <v>23</v>
      </c>
      <c r="F82" t="s">
        <v>24</v>
      </c>
      <c r="G82" t="s">
        <v>265</v>
      </c>
      <c r="H82" t="str">
        <f>"94993"</f>
        <v>94993</v>
      </c>
      <c r="I82" t="s">
        <v>50</v>
      </c>
    </row>
    <row r="83" spans="1:22" x14ac:dyDescent="0.3">
      <c r="A83" t="str">
        <f>"13693654"</f>
        <v>13693654</v>
      </c>
      <c r="B83" t="s">
        <v>266</v>
      </c>
      <c r="C83" t="str">
        <f t="shared" si="3"/>
        <v>706</v>
      </c>
      <c r="D83" t="s">
        <v>28</v>
      </c>
      <c r="E83" t="s">
        <v>23</v>
      </c>
      <c r="F83" t="s">
        <v>23</v>
      </c>
      <c r="G83" t="s">
        <v>267</v>
      </c>
      <c r="H83" t="str">
        <f>"9499"</f>
        <v>9499</v>
      </c>
      <c r="I83" t="s">
        <v>31</v>
      </c>
    </row>
    <row r="84" spans="1:22" x14ac:dyDescent="0.3">
      <c r="A84" t="str">
        <f>"09463879"</f>
        <v>09463879</v>
      </c>
      <c r="B84" t="s">
        <v>268</v>
      </c>
      <c r="C84" t="str">
        <f t="shared" si="3"/>
        <v>706</v>
      </c>
      <c r="D84" t="s">
        <v>28</v>
      </c>
      <c r="E84" t="s">
        <v>52</v>
      </c>
      <c r="F84" t="s">
        <v>52</v>
      </c>
      <c r="G84" t="s">
        <v>269</v>
      </c>
      <c r="H84" t="str">
        <f>"9499"</f>
        <v>9499</v>
      </c>
      <c r="I84" t="s">
        <v>31</v>
      </c>
    </row>
    <row r="85" spans="1:22" x14ac:dyDescent="0.3">
      <c r="A85" t="str">
        <f>"06419232"</f>
        <v>06419232</v>
      </c>
      <c r="B85" t="s">
        <v>270</v>
      </c>
      <c r="C85" t="str">
        <f t="shared" si="3"/>
        <v>706</v>
      </c>
      <c r="D85" t="s">
        <v>28</v>
      </c>
      <c r="E85" t="s">
        <v>29</v>
      </c>
      <c r="F85" t="s">
        <v>271</v>
      </c>
      <c r="G85" t="s">
        <v>272</v>
      </c>
      <c r="H85" t="str">
        <f>"9499"</f>
        <v>9499</v>
      </c>
      <c r="I85" t="s">
        <v>31</v>
      </c>
    </row>
    <row r="86" spans="1:22" x14ac:dyDescent="0.3">
      <c r="A86" t="str">
        <f>"04484274"</f>
        <v>04484274</v>
      </c>
      <c r="B86" t="s">
        <v>273</v>
      </c>
      <c r="C86" t="str">
        <f t="shared" si="3"/>
        <v>706</v>
      </c>
      <c r="D86" t="s">
        <v>28</v>
      </c>
      <c r="E86" t="s">
        <v>52</v>
      </c>
      <c r="F86" t="s">
        <v>274</v>
      </c>
      <c r="G86" t="s">
        <v>275</v>
      </c>
      <c r="H86" t="str">
        <f>"9499"</f>
        <v>9499</v>
      </c>
      <c r="I86" t="s">
        <v>31</v>
      </c>
    </row>
    <row r="87" spans="1:22" x14ac:dyDescent="0.3">
      <c r="A87" t="str">
        <f>"01250248"</f>
        <v>01250248</v>
      </c>
      <c r="B87" t="s">
        <v>276</v>
      </c>
      <c r="C87" t="str">
        <f t="shared" si="3"/>
        <v>706</v>
      </c>
      <c r="D87" t="s">
        <v>28</v>
      </c>
      <c r="E87" t="s">
        <v>23</v>
      </c>
      <c r="F87" t="s">
        <v>23</v>
      </c>
      <c r="G87" t="s">
        <v>277</v>
      </c>
      <c r="H87" t="str">
        <f>"94993"</f>
        <v>94993</v>
      </c>
      <c r="I87" t="s">
        <v>50</v>
      </c>
    </row>
    <row r="88" spans="1:22" x14ac:dyDescent="0.3">
      <c r="A88" t="str">
        <f>"05850061"</f>
        <v>05850061</v>
      </c>
      <c r="B88" t="s">
        <v>278</v>
      </c>
      <c r="C88" t="str">
        <f t="shared" si="3"/>
        <v>706</v>
      </c>
      <c r="D88" t="s">
        <v>28</v>
      </c>
      <c r="E88" t="s">
        <v>23</v>
      </c>
      <c r="F88" t="s">
        <v>23</v>
      </c>
      <c r="G88" t="s">
        <v>279</v>
      </c>
      <c r="H88" t="str">
        <f>"9499"</f>
        <v>9499</v>
      </c>
      <c r="I88" t="s">
        <v>31</v>
      </c>
    </row>
    <row r="89" spans="1:22" x14ac:dyDescent="0.3">
      <c r="A89" t="str">
        <f>"62182994"</f>
        <v>62182994</v>
      </c>
      <c r="B89" t="s">
        <v>281</v>
      </c>
      <c r="C89" t="str">
        <f>"706"</f>
        <v>706</v>
      </c>
      <c r="D89" t="s">
        <v>28</v>
      </c>
      <c r="E89" t="s">
        <v>23</v>
      </c>
      <c r="F89" t="s">
        <v>282</v>
      </c>
      <c r="G89" t="s">
        <v>283</v>
      </c>
      <c r="H89" t="str">
        <f>"9499"</f>
        <v>9499</v>
      </c>
      <c r="I89" t="s">
        <v>31</v>
      </c>
    </row>
    <row r="90" spans="1:22" x14ac:dyDescent="0.3">
      <c r="A90" t="str">
        <f>"04970110"</f>
        <v>04970110</v>
      </c>
      <c r="B90" t="s">
        <v>284</v>
      </c>
      <c r="C90" t="str">
        <f>"161"</f>
        <v>161</v>
      </c>
      <c r="D90" t="s">
        <v>152</v>
      </c>
      <c r="E90" t="s">
        <v>83</v>
      </c>
      <c r="F90" t="s">
        <v>285</v>
      </c>
      <c r="G90" t="s">
        <v>286</v>
      </c>
      <c r="H90" t="str">
        <f>"9499"</f>
        <v>9499</v>
      </c>
      <c r="I90" t="s">
        <v>31</v>
      </c>
    </row>
    <row r="91" spans="1:22" x14ac:dyDescent="0.3">
      <c r="A91" t="str">
        <f>"66934702"</f>
        <v>66934702</v>
      </c>
      <c r="B91" t="s">
        <v>287</v>
      </c>
      <c r="C91" t="str">
        <f t="shared" ref="C91:C97" si="4">"706"</f>
        <v>706</v>
      </c>
      <c r="D91" t="s">
        <v>28</v>
      </c>
      <c r="E91" t="s">
        <v>29</v>
      </c>
      <c r="F91" t="s">
        <v>271</v>
      </c>
      <c r="G91" t="s">
        <v>288</v>
      </c>
      <c r="H91" t="str">
        <f>"9499"</f>
        <v>9499</v>
      </c>
      <c r="I91" t="s">
        <v>31</v>
      </c>
    </row>
    <row r="92" spans="1:22" x14ac:dyDescent="0.3">
      <c r="A92" t="str">
        <f>"03544508"</f>
        <v>03544508</v>
      </c>
      <c r="B92" t="s">
        <v>289</v>
      </c>
      <c r="C92" t="str">
        <f t="shared" si="4"/>
        <v>706</v>
      </c>
      <c r="D92" t="s">
        <v>28</v>
      </c>
      <c r="E92" t="s">
        <v>29</v>
      </c>
      <c r="F92" t="s">
        <v>38</v>
      </c>
      <c r="G92" t="s">
        <v>290</v>
      </c>
      <c r="H92" t="str">
        <f>"94996"</f>
        <v>94996</v>
      </c>
      <c r="I92" t="s">
        <v>47</v>
      </c>
    </row>
    <row r="93" spans="1:22" x14ac:dyDescent="0.3">
      <c r="A93" t="str">
        <f>"22683810"</f>
        <v>22683810</v>
      </c>
      <c r="B93" t="s">
        <v>291</v>
      </c>
      <c r="C93" t="str">
        <f t="shared" si="4"/>
        <v>706</v>
      </c>
      <c r="D93" t="s">
        <v>28</v>
      </c>
      <c r="E93" t="s">
        <v>29</v>
      </c>
      <c r="F93" t="s">
        <v>195</v>
      </c>
      <c r="G93" t="s">
        <v>292</v>
      </c>
      <c r="H93" t="str">
        <f>"9499"</f>
        <v>9499</v>
      </c>
      <c r="I93" t="s">
        <v>31</v>
      </c>
    </row>
    <row r="94" spans="1:22" x14ac:dyDescent="0.3">
      <c r="A94" t="str">
        <f>"21611238"</f>
        <v>21611238</v>
      </c>
      <c r="B94" t="s">
        <v>293</v>
      </c>
      <c r="C94" t="str">
        <f t="shared" si="4"/>
        <v>706</v>
      </c>
      <c r="D94" t="s">
        <v>28</v>
      </c>
      <c r="E94" t="s">
        <v>29</v>
      </c>
      <c r="F94" t="s">
        <v>38</v>
      </c>
      <c r="G94" t="s">
        <v>294</v>
      </c>
      <c r="H94" t="str">
        <f>"855"</f>
        <v>855</v>
      </c>
      <c r="I94" t="s">
        <v>146</v>
      </c>
      <c r="J94" t="s">
        <v>31</v>
      </c>
      <c r="K94" t="s">
        <v>163</v>
      </c>
      <c r="L94" t="s">
        <v>59</v>
      </c>
    </row>
    <row r="95" spans="1:22" x14ac:dyDescent="0.3">
      <c r="A95" t="str">
        <f>"22760784"</f>
        <v>22760784</v>
      </c>
      <c r="B95" t="s">
        <v>295</v>
      </c>
      <c r="C95" t="str">
        <f t="shared" si="4"/>
        <v>706</v>
      </c>
      <c r="D95" t="s">
        <v>28</v>
      </c>
      <c r="E95" t="s">
        <v>23</v>
      </c>
      <c r="F95" t="s">
        <v>296</v>
      </c>
      <c r="G95" t="s">
        <v>297</v>
      </c>
      <c r="H95" t="str">
        <f>"9499"</f>
        <v>9499</v>
      </c>
      <c r="I95" t="s">
        <v>31</v>
      </c>
    </row>
    <row r="96" spans="1:22" x14ac:dyDescent="0.3">
      <c r="A96" t="str">
        <f>"05597366"</f>
        <v>05597366</v>
      </c>
      <c r="B96" t="s">
        <v>298</v>
      </c>
      <c r="C96" t="str">
        <f t="shared" si="4"/>
        <v>706</v>
      </c>
      <c r="D96" t="s">
        <v>28</v>
      </c>
      <c r="E96" t="s">
        <v>23</v>
      </c>
      <c r="F96" t="s">
        <v>23</v>
      </c>
      <c r="G96" t="s">
        <v>299</v>
      </c>
      <c r="H96" t="str">
        <f>"9499"</f>
        <v>9499</v>
      </c>
      <c r="I96" t="s">
        <v>31</v>
      </c>
    </row>
    <row r="97" spans="1:14" x14ac:dyDescent="0.3">
      <c r="A97" t="str">
        <f>"22819118"</f>
        <v>22819118</v>
      </c>
      <c r="B97" t="s">
        <v>300</v>
      </c>
      <c r="C97" t="str">
        <f t="shared" si="4"/>
        <v>706</v>
      </c>
      <c r="D97" t="s">
        <v>28</v>
      </c>
      <c r="E97" t="s">
        <v>29</v>
      </c>
      <c r="F97" t="s">
        <v>195</v>
      </c>
      <c r="G97" t="s">
        <v>301</v>
      </c>
      <c r="H97" t="str">
        <f>"9499"</f>
        <v>9499</v>
      </c>
      <c r="I97" t="s">
        <v>31</v>
      </c>
    </row>
    <row r="98" spans="1:14" x14ac:dyDescent="0.3">
      <c r="A98" t="str">
        <f>"75143283"</f>
        <v>75143283</v>
      </c>
      <c r="B98" t="s">
        <v>302</v>
      </c>
      <c r="C98" t="str">
        <f>"736"</f>
        <v>736</v>
      </c>
      <c r="D98" t="s">
        <v>22</v>
      </c>
      <c r="E98" t="s">
        <v>23</v>
      </c>
      <c r="F98" t="s">
        <v>303</v>
      </c>
      <c r="G98" t="s">
        <v>304</v>
      </c>
      <c r="H98" t="str">
        <f>"93120"</f>
        <v>93120</v>
      </c>
      <c r="I98" t="s">
        <v>54</v>
      </c>
    </row>
    <row r="99" spans="1:14" x14ac:dyDescent="0.3">
      <c r="A99" t="str">
        <f>"68687516"</f>
        <v>68687516</v>
      </c>
      <c r="B99" t="s">
        <v>305</v>
      </c>
      <c r="C99" t="str">
        <f>"736"</f>
        <v>736</v>
      </c>
      <c r="D99" t="s">
        <v>22</v>
      </c>
      <c r="E99" t="s">
        <v>23</v>
      </c>
      <c r="F99" t="s">
        <v>306</v>
      </c>
      <c r="G99" t="s">
        <v>307</v>
      </c>
      <c r="H99" t="str">
        <f>"9499"</f>
        <v>9499</v>
      </c>
      <c r="I99" t="s">
        <v>31</v>
      </c>
    </row>
    <row r="100" spans="1:14" x14ac:dyDescent="0.3">
      <c r="A100" t="str">
        <f>"08331472"</f>
        <v>08331472</v>
      </c>
      <c r="B100" t="s">
        <v>308</v>
      </c>
      <c r="C100" t="str">
        <f>"706"</f>
        <v>706</v>
      </c>
      <c r="D100" t="s">
        <v>28</v>
      </c>
      <c r="E100" t="s">
        <v>23</v>
      </c>
      <c r="F100" t="s">
        <v>99</v>
      </c>
      <c r="G100" t="s">
        <v>309</v>
      </c>
      <c r="H100" t="str">
        <f>"8891"</f>
        <v>8891</v>
      </c>
      <c r="I100" t="s">
        <v>221</v>
      </c>
    </row>
    <row r="101" spans="1:14" x14ac:dyDescent="0.3">
      <c r="A101" t="str">
        <f>"04571908"</f>
        <v>04571908</v>
      </c>
      <c r="B101" t="s">
        <v>310</v>
      </c>
      <c r="C101" t="str">
        <f>"161"</f>
        <v>161</v>
      </c>
      <c r="D101" t="s">
        <v>152</v>
      </c>
      <c r="E101" t="s">
        <v>29</v>
      </c>
      <c r="F101" t="s">
        <v>29</v>
      </c>
      <c r="G101" t="s">
        <v>311</v>
      </c>
      <c r="H101" t="str">
        <f>"72"</f>
        <v>72</v>
      </c>
      <c r="I101" t="s">
        <v>312</v>
      </c>
      <c r="J101" t="s">
        <v>159</v>
      </c>
      <c r="K101" t="s">
        <v>146</v>
      </c>
      <c r="L101" t="s">
        <v>160</v>
      </c>
      <c r="M101" t="s">
        <v>163</v>
      </c>
      <c r="N101" t="s">
        <v>313</v>
      </c>
    </row>
    <row r="102" spans="1:14" x14ac:dyDescent="0.3">
      <c r="A102" t="str">
        <f>"06723331"</f>
        <v>06723331</v>
      </c>
      <c r="B102" t="s">
        <v>314</v>
      </c>
      <c r="C102" t="str">
        <f t="shared" ref="C102:C109" si="5">"722"</f>
        <v>722</v>
      </c>
      <c r="D102" t="s">
        <v>315</v>
      </c>
      <c r="E102" t="s">
        <v>83</v>
      </c>
      <c r="F102" t="s">
        <v>175</v>
      </c>
      <c r="G102" t="s">
        <v>176</v>
      </c>
      <c r="H102" t="str">
        <f t="shared" ref="H102:H109" si="6">"94910"</f>
        <v>94910</v>
      </c>
      <c r="I102" t="s">
        <v>316</v>
      </c>
    </row>
    <row r="103" spans="1:14" x14ac:dyDescent="0.3">
      <c r="A103" t="str">
        <f>"73633658"</f>
        <v>73633658</v>
      </c>
      <c r="B103" t="s">
        <v>317</v>
      </c>
      <c r="C103" t="str">
        <f t="shared" si="5"/>
        <v>722</v>
      </c>
      <c r="D103" t="s">
        <v>315</v>
      </c>
      <c r="E103" t="s">
        <v>83</v>
      </c>
      <c r="F103" t="s">
        <v>83</v>
      </c>
      <c r="G103" t="s">
        <v>318</v>
      </c>
      <c r="H103" t="str">
        <f t="shared" si="6"/>
        <v>94910</v>
      </c>
      <c r="I103" t="s">
        <v>316</v>
      </c>
    </row>
    <row r="104" spans="1:14" x14ac:dyDescent="0.3">
      <c r="A104" t="str">
        <f>"03353168"</f>
        <v>03353168</v>
      </c>
      <c r="B104" t="s">
        <v>319</v>
      </c>
      <c r="C104" t="str">
        <f t="shared" si="5"/>
        <v>722</v>
      </c>
      <c r="D104" t="s">
        <v>315</v>
      </c>
      <c r="E104" t="s">
        <v>29</v>
      </c>
      <c r="F104" t="s">
        <v>38</v>
      </c>
      <c r="G104" t="s">
        <v>320</v>
      </c>
      <c r="H104" t="str">
        <f t="shared" si="6"/>
        <v>94910</v>
      </c>
      <c r="I104" t="s">
        <v>316</v>
      </c>
    </row>
    <row r="105" spans="1:14" x14ac:dyDescent="0.3">
      <c r="A105" t="str">
        <f>"05066271"</f>
        <v>05066271</v>
      </c>
      <c r="B105" t="s">
        <v>321</v>
      </c>
      <c r="C105" t="str">
        <f t="shared" si="5"/>
        <v>722</v>
      </c>
      <c r="D105" t="s">
        <v>315</v>
      </c>
      <c r="E105" t="s">
        <v>52</v>
      </c>
      <c r="F105" t="s">
        <v>113</v>
      </c>
      <c r="G105" t="s">
        <v>322</v>
      </c>
      <c r="H105" t="str">
        <f t="shared" si="6"/>
        <v>94910</v>
      </c>
      <c r="I105" t="s">
        <v>316</v>
      </c>
    </row>
    <row r="106" spans="1:14" x14ac:dyDescent="0.3">
      <c r="A106" t="str">
        <f>"65325770"</f>
        <v>65325770</v>
      </c>
      <c r="B106" t="s">
        <v>323</v>
      </c>
      <c r="C106" t="str">
        <f t="shared" si="5"/>
        <v>722</v>
      </c>
      <c r="D106" t="s">
        <v>315</v>
      </c>
      <c r="E106" t="s">
        <v>52</v>
      </c>
      <c r="F106" t="s">
        <v>113</v>
      </c>
      <c r="G106" t="s">
        <v>324</v>
      </c>
      <c r="H106" t="str">
        <f t="shared" si="6"/>
        <v>94910</v>
      </c>
      <c r="I106" t="s">
        <v>316</v>
      </c>
    </row>
    <row r="107" spans="1:14" x14ac:dyDescent="0.3">
      <c r="A107" t="str">
        <f>"67728359"</f>
        <v>67728359</v>
      </c>
      <c r="B107" t="s">
        <v>325</v>
      </c>
      <c r="C107" t="str">
        <f t="shared" si="5"/>
        <v>722</v>
      </c>
      <c r="D107" t="s">
        <v>315</v>
      </c>
      <c r="E107" t="s">
        <v>29</v>
      </c>
      <c r="F107" t="s">
        <v>195</v>
      </c>
      <c r="G107" t="s">
        <v>326</v>
      </c>
      <c r="H107" t="str">
        <f t="shared" si="6"/>
        <v>94910</v>
      </c>
      <c r="I107" t="s">
        <v>316</v>
      </c>
    </row>
    <row r="108" spans="1:14" x14ac:dyDescent="0.3">
      <c r="A108" t="str">
        <f>"03303306"</f>
        <v>03303306</v>
      </c>
      <c r="B108" t="s">
        <v>327</v>
      </c>
      <c r="C108" t="str">
        <f t="shared" si="5"/>
        <v>722</v>
      </c>
      <c r="D108" t="s">
        <v>315</v>
      </c>
      <c r="E108" t="s">
        <v>29</v>
      </c>
      <c r="F108" t="s">
        <v>29</v>
      </c>
      <c r="G108" t="s">
        <v>328</v>
      </c>
      <c r="H108" t="str">
        <f t="shared" si="6"/>
        <v>94910</v>
      </c>
      <c r="I108" t="s">
        <v>316</v>
      </c>
    </row>
    <row r="109" spans="1:14" x14ac:dyDescent="0.3">
      <c r="A109" t="str">
        <f>"65822439"</f>
        <v>65822439</v>
      </c>
      <c r="B109" t="s">
        <v>329</v>
      </c>
      <c r="C109" t="str">
        <f t="shared" si="5"/>
        <v>722</v>
      </c>
      <c r="D109" t="s">
        <v>315</v>
      </c>
      <c r="E109" t="s">
        <v>23</v>
      </c>
      <c r="F109" t="s">
        <v>23</v>
      </c>
      <c r="G109" t="s">
        <v>330</v>
      </c>
      <c r="H109" t="str">
        <f t="shared" si="6"/>
        <v>94910</v>
      </c>
      <c r="I109" t="s">
        <v>316</v>
      </c>
    </row>
    <row r="110" spans="1:14" x14ac:dyDescent="0.3">
      <c r="A110" t="str">
        <f>"01758390"</f>
        <v>01758390</v>
      </c>
      <c r="B110" t="s">
        <v>331</v>
      </c>
      <c r="C110" t="str">
        <f>"706"</f>
        <v>706</v>
      </c>
      <c r="D110" t="s">
        <v>28</v>
      </c>
      <c r="E110" t="s">
        <v>83</v>
      </c>
      <c r="F110" t="s">
        <v>83</v>
      </c>
      <c r="G110" t="s">
        <v>332</v>
      </c>
      <c r="H110" t="str">
        <f t="shared" ref="H110:H115" si="7">"9499"</f>
        <v>9499</v>
      </c>
      <c r="I110" t="s">
        <v>31</v>
      </c>
    </row>
    <row r="111" spans="1:14" x14ac:dyDescent="0.3">
      <c r="A111" t="str">
        <f>"01578502"</f>
        <v>01578502</v>
      </c>
      <c r="B111" t="s">
        <v>333</v>
      </c>
      <c r="C111" t="str">
        <f>"706"</f>
        <v>706</v>
      </c>
      <c r="D111" t="s">
        <v>28</v>
      </c>
      <c r="E111" t="s">
        <v>52</v>
      </c>
      <c r="F111" t="s">
        <v>334</v>
      </c>
      <c r="G111" t="s">
        <v>335</v>
      </c>
      <c r="H111" t="str">
        <f t="shared" si="7"/>
        <v>9499</v>
      </c>
      <c r="I111" t="s">
        <v>31</v>
      </c>
    </row>
    <row r="112" spans="1:14" x14ac:dyDescent="0.3">
      <c r="A112" t="str">
        <f>"65270207"</f>
        <v>65270207</v>
      </c>
      <c r="B112" t="s">
        <v>336</v>
      </c>
      <c r="C112" t="str">
        <f>"118"</f>
        <v>118</v>
      </c>
      <c r="D112" t="s">
        <v>337</v>
      </c>
      <c r="E112" t="s">
        <v>83</v>
      </c>
      <c r="F112" t="s">
        <v>183</v>
      </c>
      <c r="G112" t="s">
        <v>338</v>
      </c>
      <c r="H112" t="str">
        <f t="shared" si="7"/>
        <v>9499</v>
      </c>
      <c r="I112" t="s">
        <v>31</v>
      </c>
    </row>
    <row r="113" spans="1:11" x14ac:dyDescent="0.3">
      <c r="A113" t="str">
        <f>"22813403"</f>
        <v>22813403</v>
      </c>
      <c r="B113" t="s">
        <v>339</v>
      </c>
      <c r="C113" t="str">
        <f>"706"</f>
        <v>706</v>
      </c>
      <c r="D113" t="s">
        <v>28</v>
      </c>
      <c r="E113" t="s">
        <v>23</v>
      </c>
      <c r="F113" t="s">
        <v>24</v>
      </c>
      <c r="G113" t="s">
        <v>340</v>
      </c>
      <c r="H113" t="str">
        <f t="shared" si="7"/>
        <v>9499</v>
      </c>
      <c r="I113" t="s">
        <v>31</v>
      </c>
    </row>
    <row r="114" spans="1:11" x14ac:dyDescent="0.3">
      <c r="A114" t="str">
        <f>"22738452"</f>
        <v>22738452</v>
      </c>
      <c r="B114" t="s">
        <v>341</v>
      </c>
      <c r="C114" t="str">
        <f>"706"</f>
        <v>706</v>
      </c>
      <c r="D114" t="s">
        <v>28</v>
      </c>
      <c r="E114" t="s">
        <v>52</v>
      </c>
      <c r="F114" t="s">
        <v>52</v>
      </c>
      <c r="G114" t="s">
        <v>342</v>
      </c>
      <c r="H114" t="str">
        <f t="shared" si="7"/>
        <v>9499</v>
      </c>
      <c r="I114" t="s">
        <v>31</v>
      </c>
    </row>
    <row r="115" spans="1:11" x14ac:dyDescent="0.3">
      <c r="A115" t="str">
        <f>"22829857"</f>
        <v>22829857</v>
      </c>
      <c r="B115" t="s">
        <v>343</v>
      </c>
      <c r="C115" t="str">
        <f>"706"</f>
        <v>706</v>
      </c>
      <c r="D115" t="s">
        <v>28</v>
      </c>
      <c r="E115" t="s">
        <v>52</v>
      </c>
      <c r="F115" t="s">
        <v>344</v>
      </c>
      <c r="G115" t="s">
        <v>345</v>
      </c>
      <c r="H115" t="str">
        <f t="shared" si="7"/>
        <v>9499</v>
      </c>
      <c r="I115" t="s">
        <v>31</v>
      </c>
    </row>
    <row r="116" spans="1:11" x14ac:dyDescent="0.3">
      <c r="A116" t="str">
        <f>"22905537"</f>
        <v>22905537</v>
      </c>
      <c r="B116" t="s">
        <v>347</v>
      </c>
      <c r="C116" t="str">
        <f t="shared" ref="C116:C126" si="8">"706"</f>
        <v>706</v>
      </c>
      <c r="D116" t="s">
        <v>28</v>
      </c>
      <c r="E116" t="s">
        <v>23</v>
      </c>
      <c r="F116" t="s">
        <v>23</v>
      </c>
      <c r="G116" t="s">
        <v>348</v>
      </c>
      <c r="H116" t="str">
        <f>"93120"</f>
        <v>93120</v>
      </c>
      <c r="I116" t="s">
        <v>54</v>
      </c>
    </row>
    <row r="117" spans="1:11" x14ac:dyDescent="0.3">
      <c r="A117" t="str">
        <f>"02009960"</f>
        <v>02009960</v>
      </c>
      <c r="B117" t="s">
        <v>349</v>
      </c>
      <c r="C117" t="str">
        <f t="shared" si="8"/>
        <v>706</v>
      </c>
      <c r="D117" t="s">
        <v>28</v>
      </c>
      <c r="E117" t="s">
        <v>23</v>
      </c>
      <c r="F117" t="s">
        <v>350</v>
      </c>
      <c r="G117" t="s">
        <v>351</v>
      </c>
      <c r="H117" t="str">
        <f>"9499"</f>
        <v>9499</v>
      </c>
      <c r="I117" t="s">
        <v>31</v>
      </c>
    </row>
    <row r="118" spans="1:11" x14ac:dyDescent="0.3">
      <c r="A118" t="str">
        <f>"00568813"</f>
        <v>00568813</v>
      </c>
      <c r="B118" t="s">
        <v>352</v>
      </c>
      <c r="C118" t="str">
        <f t="shared" si="8"/>
        <v>706</v>
      </c>
      <c r="D118" t="s">
        <v>28</v>
      </c>
      <c r="E118" t="s">
        <v>23</v>
      </c>
      <c r="F118" t="s">
        <v>23</v>
      </c>
      <c r="G118" t="s">
        <v>353</v>
      </c>
      <c r="H118" t="str">
        <f>"88999"</f>
        <v>88999</v>
      </c>
      <c r="I118" t="s">
        <v>354</v>
      </c>
      <c r="J118" t="s">
        <v>47</v>
      </c>
    </row>
    <row r="119" spans="1:11" x14ac:dyDescent="0.3">
      <c r="A119" t="str">
        <f>"28552113"</f>
        <v>28552113</v>
      </c>
      <c r="B119" t="s">
        <v>355</v>
      </c>
      <c r="C119" t="str">
        <f t="shared" si="8"/>
        <v>706</v>
      </c>
      <c r="D119" t="s">
        <v>28</v>
      </c>
      <c r="E119" t="s">
        <v>52</v>
      </c>
      <c r="F119" t="s">
        <v>65</v>
      </c>
      <c r="G119" t="s">
        <v>356</v>
      </c>
      <c r="H119" t="str">
        <f>"93110"</f>
        <v>93110</v>
      </c>
      <c r="I119" t="s">
        <v>92</v>
      </c>
    </row>
    <row r="120" spans="1:11" x14ac:dyDescent="0.3">
      <c r="A120" t="str">
        <f>"22879099"</f>
        <v>22879099</v>
      </c>
      <c r="B120" t="s">
        <v>357</v>
      </c>
      <c r="C120" t="str">
        <f t="shared" si="8"/>
        <v>706</v>
      </c>
      <c r="D120" t="s">
        <v>28</v>
      </c>
      <c r="E120" t="s">
        <v>23</v>
      </c>
      <c r="F120" t="s">
        <v>350</v>
      </c>
      <c r="G120" t="s">
        <v>358</v>
      </c>
      <c r="H120" t="str">
        <f>"9499"</f>
        <v>9499</v>
      </c>
      <c r="I120" t="s">
        <v>31</v>
      </c>
    </row>
    <row r="121" spans="1:11" x14ac:dyDescent="0.3">
      <c r="A121" t="str">
        <f>"26569965"</f>
        <v>26569965</v>
      </c>
      <c r="B121" t="s">
        <v>359</v>
      </c>
      <c r="C121" t="str">
        <f t="shared" si="8"/>
        <v>706</v>
      </c>
      <c r="D121" t="s">
        <v>28</v>
      </c>
      <c r="E121" t="s">
        <v>52</v>
      </c>
      <c r="F121" t="s">
        <v>52</v>
      </c>
      <c r="G121" t="s">
        <v>360</v>
      </c>
      <c r="H121" t="str">
        <f>"93120"</f>
        <v>93120</v>
      </c>
      <c r="I121" t="s">
        <v>54</v>
      </c>
    </row>
    <row r="122" spans="1:11" x14ac:dyDescent="0.3">
      <c r="A122" t="str">
        <f>"26569124"</f>
        <v>26569124</v>
      </c>
      <c r="B122" t="s">
        <v>361</v>
      </c>
      <c r="C122" t="str">
        <f t="shared" si="8"/>
        <v>706</v>
      </c>
      <c r="D122" t="s">
        <v>28</v>
      </c>
      <c r="E122" t="s">
        <v>52</v>
      </c>
      <c r="F122" t="s">
        <v>362</v>
      </c>
      <c r="G122" t="s">
        <v>363</v>
      </c>
      <c r="H122" t="str">
        <f t="shared" ref="H122:H133" si="9">"9499"</f>
        <v>9499</v>
      </c>
      <c r="I122" t="s">
        <v>31</v>
      </c>
    </row>
    <row r="123" spans="1:11" x14ac:dyDescent="0.3">
      <c r="A123" t="str">
        <f>"21248991"</f>
        <v>21248991</v>
      </c>
      <c r="B123" t="s">
        <v>364</v>
      </c>
      <c r="C123" t="str">
        <f t="shared" si="8"/>
        <v>706</v>
      </c>
      <c r="D123" t="s">
        <v>28</v>
      </c>
      <c r="E123" t="s">
        <v>83</v>
      </c>
      <c r="F123" t="s">
        <v>83</v>
      </c>
      <c r="G123" t="s">
        <v>365</v>
      </c>
      <c r="H123" t="str">
        <f t="shared" si="9"/>
        <v>9499</v>
      </c>
      <c r="I123" t="s">
        <v>31</v>
      </c>
      <c r="J123" t="s">
        <v>258</v>
      </c>
    </row>
    <row r="124" spans="1:11" x14ac:dyDescent="0.3">
      <c r="A124" t="str">
        <f>"26630257"</f>
        <v>26630257</v>
      </c>
      <c r="B124" t="s">
        <v>366</v>
      </c>
      <c r="C124" t="str">
        <f t="shared" si="8"/>
        <v>706</v>
      </c>
      <c r="D124" t="s">
        <v>28</v>
      </c>
      <c r="E124" t="s">
        <v>29</v>
      </c>
      <c r="F124" t="s">
        <v>38</v>
      </c>
      <c r="G124" t="s">
        <v>367</v>
      </c>
      <c r="H124" t="str">
        <f t="shared" si="9"/>
        <v>9499</v>
      </c>
      <c r="I124" t="s">
        <v>31</v>
      </c>
    </row>
    <row r="125" spans="1:11" x14ac:dyDescent="0.3">
      <c r="A125" t="str">
        <f>"26582236"</f>
        <v>26582236</v>
      </c>
      <c r="B125" t="s">
        <v>368</v>
      </c>
      <c r="C125" t="str">
        <f t="shared" si="8"/>
        <v>706</v>
      </c>
      <c r="D125" t="s">
        <v>28</v>
      </c>
      <c r="E125" t="s">
        <v>83</v>
      </c>
      <c r="F125" t="s">
        <v>83</v>
      </c>
      <c r="G125" t="s">
        <v>369</v>
      </c>
      <c r="H125" t="str">
        <f t="shared" si="9"/>
        <v>9499</v>
      </c>
      <c r="I125" t="s">
        <v>31</v>
      </c>
    </row>
    <row r="126" spans="1:11" x14ac:dyDescent="0.3">
      <c r="A126" t="str">
        <f>"27007651"</f>
        <v>27007651</v>
      </c>
      <c r="B126" t="s">
        <v>370</v>
      </c>
      <c r="C126" t="str">
        <f t="shared" si="8"/>
        <v>706</v>
      </c>
      <c r="D126" t="s">
        <v>28</v>
      </c>
      <c r="E126" t="s">
        <v>23</v>
      </c>
      <c r="F126" t="s">
        <v>23</v>
      </c>
      <c r="G126" t="s">
        <v>371</v>
      </c>
      <c r="H126" t="str">
        <f t="shared" si="9"/>
        <v>9499</v>
      </c>
      <c r="I126" t="s">
        <v>31</v>
      </c>
    </row>
    <row r="127" spans="1:11" x14ac:dyDescent="0.3">
      <c r="A127" t="str">
        <f>"22029991"</f>
        <v>22029991</v>
      </c>
      <c r="B127" t="s">
        <v>372</v>
      </c>
      <c r="C127" t="str">
        <f>"161"</f>
        <v>161</v>
      </c>
      <c r="D127" t="s">
        <v>152</v>
      </c>
      <c r="E127" t="s">
        <v>83</v>
      </c>
      <c r="F127" t="s">
        <v>83</v>
      </c>
      <c r="G127" t="s">
        <v>373</v>
      </c>
      <c r="H127" t="str">
        <f t="shared" si="9"/>
        <v>9499</v>
      </c>
      <c r="I127" t="s">
        <v>31</v>
      </c>
      <c r="J127" t="s">
        <v>146</v>
      </c>
      <c r="K127" t="s">
        <v>262</v>
      </c>
    </row>
    <row r="128" spans="1:11" x14ac:dyDescent="0.3">
      <c r="A128" t="str">
        <f>"04245521"</f>
        <v>04245521</v>
      </c>
      <c r="B128" t="s">
        <v>374</v>
      </c>
      <c r="C128" t="str">
        <f t="shared" ref="C128:C143" si="10">"706"</f>
        <v>706</v>
      </c>
      <c r="D128" t="s">
        <v>28</v>
      </c>
      <c r="E128" t="s">
        <v>29</v>
      </c>
      <c r="F128" t="s">
        <v>29</v>
      </c>
      <c r="G128" t="s">
        <v>375</v>
      </c>
      <c r="H128" t="str">
        <f t="shared" si="9"/>
        <v>9499</v>
      </c>
      <c r="I128" t="s">
        <v>31</v>
      </c>
    </row>
    <row r="129" spans="1:9" x14ac:dyDescent="0.3">
      <c r="A129" t="str">
        <f>"26590042"</f>
        <v>26590042</v>
      </c>
      <c r="B129" t="s">
        <v>376</v>
      </c>
      <c r="C129" t="str">
        <f t="shared" si="10"/>
        <v>706</v>
      </c>
      <c r="D129" t="s">
        <v>28</v>
      </c>
      <c r="E129" t="s">
        <v>23</v>
      </c>
      <c r="F129" t="s">
        <v>23</v>
      </c>
      <c r="G129" t="s">
        <v>377</v>
      </c>
      <c r="H129" t="str">
        <f t="shared" si="9"/>
        <v>9499</v>
      </c>
      <c r="I129" t="s">
        <v>31</v>
      </c>
    </row>
    <row r="130" spans="1:9" x14ac:dyDescent="0.3">
      <c r="A130" t="str">
        <f>"06306268"</f>
        <v>06306268</v>
      </c>
      <c r="B130" t="s">
        <v>378</v>
      </c>
      <c r="C130" t="str">
        <f t="shared" si="10"/>
        <v>706</v>
      </c>
      <c r="D130" t="s">
        <v>28</v>
      </c>
      <c r="E130" t="s">
        <v>52</v>
      </c>
      <c r="F130" t="s">
        <v>379</v>
      </c>
      <c r="G130" t="s">
        <v>380</v>
      </c>
      <c r="H130" t="str">
        <f t="shared" si="9"/>
        <v>9499</v>
      </c>
      <c r="I130" t="s">
        <v>31</v>
      </c>
    </row>
    <row r="131" spans="1:9" x14ac:dyDescent="0.3">
      <c r="A131" t="str">
        <f>"09404058"</f>
        <v>09404058</v>
      </c>
      <c r="B131" t="s">
        <v>381</v>
      </c>
      <c r="C131" t="str">
        <f t="shared" si="10"/>
        <v>706</v>
      </c>
      <c r="D131" t="s">
        <v>28</v>
      </c>
      <c r="E131" t="s">
        <v>52</v>
      </c>
      <c r="F131" t="s">
        <v>52</v>
      </c>
      <c r="G131" t="s">
        <v>382</v>
      </c>
      <c r="H131" t="str">
        <f t="shared" si="9"/>
        <v>9499</v>
      </c>
      <c r="I131" t="s">
        <v>31</v>
      </c>
    </row>
    <row r="132" spans="1:9" x14ac:dyDescent="0.3">
      <c r="A132" t="str">
        <f>"22883819"</f>
        <v>22883819</v>
      </c>
      <c r="B132" t="s">
        <v>383</v>
      </c>
      <c r="C132" t="str">
        <f t="shared" si="10"/>
        <v>706</v>
      </c>
      <c r="D132" t="s">
        <v>28</v>
      </c>
      <c r="E132" t="s">
        <v>29</v>
      </c>
      <c r="F132" t="s">
        <v>38</v>
      </c>
      <c r="G132" t="s">
        <v>384</v>
      </c>
      <c r="H132" t="str">
        <f t="shared" si="9"/>
        <v>9499</v>
      </c>
      <c r="I132" t="s">
        <v>31</v>
      </c>
    </row>
    <row r="133" spans="1:9" x14ac:dyDescent="0.3">
      <c r="A133" t="str">
        <f>"22726306"</f>
        <v>22726306</v>
      </c>
      <c r="B133" t="s">
        <v>385</v>
      </c>
      <c r="C133" t="str">
        <f t="shared" si="10"/>
        <v>706</v>
      </c>
      <c r="D133" t="s">
        <v>28</v>
      </c>
      <c r="E133" t="s">
        <v>23</v>
      </c>
      <c r="F133" t="s">
        <v>23</v>
      </c>
      <c r="G133" t="s">
        <v>386</v>
      </c>
      <c r="H133" t="str">
        <f t="shared" si="9"/>
        <v>9499</v>
      </c>
      <c r="I133" t="s">
        <v>31</v>
      </c>
    </row>
    <row r="134" spans="1:9" x14ac:dyDescent="0.3">
      <c r="A134" t="str">
        <f>"22817352"</f>
        <v>22817352</v>
      </c>
      <c r="B134" t="s">
        <v>387</v>
      </c>
      <c r="C134" t="str">
        <f t="shared" si="10"/>
        <v>706</v>
      </c>
      <c r="D134" t="s">
        <v>28</v>
      </c>
      <c r="E134" t="s">
        <v>52</v>
      </c>
      <c r="F134" t="s">
        <v>52</v>
      </c>
      <c r="G134" t="s">
        <v>388</v>
      </c>
      <c r="H134" t="str">
        <f>"93120"</f>
        <v>93120</v>
      </c>
      <c r="I134" t="s">
        <v>54</v>
      </c>
    </row>
    <row r="135" spans="1:9" x14ac:dyDescent="0.3">
      <c r="A135" t="str">
        <f>"05838681"</f>
        <v>05838681</v>
      </c>
      <c r="B135" t="s">
        <v>389</v>
      </c>
      <c r="C135" t="str">
        <f t="shared" si="10"/>
        <v>706</v>
      </c>
      <c r="D135" t="s">
        <v>28</v>
      </c>
      <c r="E135" t="s">
        <v>29</v>
      </c>
      <c r="F135" t="s">
        <v>390</v>
      </c>
      <c r="G135" t="s">
        <v>391</v>
      </c>
      <c r="H135" t="str">
        <f>"9499"</f>
        <v>9499</v>
      </c>
      <c r="I135" t="s">
        <v>31</v>
      </c>
    </row>
    <row r="136" spans="1:9" x14ac:dyDescent="0.3">
      <c r="A136" t="str">
        <f>"26663660"</f>
        <v>26663660</v>
      </c>
      <c r="B136" t="s">
        <v>392</v>
      </c>
      <c r="C136" t="str">
        <f t="shared" si="10"/>
        <v>706</v>
      </c>
      <c r="D136" t="s">
        <v>28</v>
      </c>
      <c r="E136" t="s">
        <v>29</v>
      </c>
      <c r="F136" t="s">
        <v>38</v>
      </c>
      <c r="G136" t="s">
        <v>393</v>
      </c>
      <c r="H136" t="str">
        <f>"93110"</f>
        <v>93110</v>
      </c>
      <c r="I136" t="s">
        <v>92</v>
      </c>
    </row>
    <row r="137" spans="1:9" x14ac:dyDescent="0.3">
      <c r="A137" t="str">
        <f>"22857737"</f>
        <v>22857737</v>
      </c>
      <c r="B137" t="s">
        <v>394</v>
      </c>
      <c r="C137" t="str">
        <f t="shared" si="10"/>
        <v>706</v>
      </c>
      <c r="D137" t="s">
        <v>28</v>
      </c>
      <c r="E137" t="s">
        <v>23</v>
      </c>
      <c r="F137" t="s">
        <v>23</v>
      </c>
      <c r="G137" t="s">
        <v>395</v>
      </c>
      <c r="H137" t="str">
        <f>"931"</f>
        <v>931</v>
      </c>
      <c r="I137" t="s">
        <v>26</v>
      </c>
    </row>
    <row r="138" spans="1:9" x14ac:dyDescent="0.3">
      <c r="A138" t="str">
        <f>"01284894"</f>
        <v>01284894</v>
      </c>
      <c r="B138" t="s">
        <v>396</v>
      </c>
      <c r="C138" t="str">
        <f t="shared" si="10"/>
        <v>706</v>
      </c>
      <c r="D138" t="s">
        <v>28</v>
      </c>
      <c r="E138" t="s">
        <v>83</v>
      </c>
      <c r="F138" t="s">
        <v>183</v>
      </c>
      <c r="G138" t="s">
        <v>397</v>
      </c>
      <c r="H138" t="str">
        <f>"94120"</f>
        <v>94120</v>
      </c>
      <c r="I138" t="s">
        <v>43</v>
      </c>
    </row>
    <row r="139" spans="1:9" x14ac:dyDescent="0.3">
      <c r="A139" t="str">
        <f>"07805641"</f>
        <v>07805641</v>
      </c>
      <c r="B139" t="s">
        <v>398</v>
      </c>
      <c r="C139" t="str">
        <f t="shared" si="10"/>
        <v>706</v>
      </c>
      <c r="D139" t="s">
        <v>28</v>
      </c>
      <c r="E139" t="s">
        <v>23</v>
      </c>
      <c r="F139" t="s">
        <v>23</v>
      </c>
      <c r="G139" t="s">
        <v>399</v>
      </c>
      <c r="H139" t="str">
        <f>"93110"</f>
        <v>93110</v>
      </c>
      <c r="I139" t="s">
        <v>92</v>
      </c>
    </row>
    <row r="140" spans="1:9" x14ac:dyDescent="0.3">
      <c r="A140" t="str">
        <f>"61387550"</f>
        <v>61387550</v>
      </c>
      <c r="B140" t="s">
        <v>400</v>
      </c>
      <c r="C140" t="str">
        <f t="shared" si="10"/>
        <v>706</v>
      </c>
      <c r="D140" t="s">
        <v>28</v>
      </c>
      <c r="E140" t="s">
        <v>52</v>
      </c>
      <c r="F140" t="s">
        <v>52</v>
      </c>
      <c r="G140" t="s">
        <v>53</v>
      </c>
      <c r="H140" t="str">
        <f>"9499"</f>
        <v>9499</v>
      </c>
      <c r="I140" t="s">
        <v>31</v>
      </c>
    </row>
    <row r="141" spans="1:9" x14ac:dyDescent="0.3">
      <c r="A141" t="str">
        <f>"04248350"</f>
        <v>04248350</v>
      </c>
      <c r="B141" t="s">
        <v>401</v>
      </c>
      <c r="C141" t="str">
        <f t="shared" si="10"/>
        <v>706</v>
      </c>
      <c r="D141" t="s">
        <v>28</v>
      </c>
      <c r="E141" t="s">
        <v>52</v>
      </c>
      <c r="F141" t="s">
        <v>52</v>
      </c>
      <c r="G141" t="s">
        <v>402</v>
      </c>
      <c r="H141" t="str">
        <f>"9499"</f>
        <v>9499</v>
      </c>
      <c r="I141" t="s">
        <v>31</v>
      </c>
    </row>
    <row r="142" spans="1:9" x14ac:dyDescent="0.3">
      <c r="A142" t="str">
        <f>"03647781"</f>
        <v>03647781</v>
      </c>
      <c r="B142" t="s">
        <v>403</v>
      </c>
      <c r="C142" t="str">
        <f t="shared" si="10"/>
        <v>706</v>
      </c>
      <c r="D142" t="s">
        <v>28</v>
      </c>
      <c r="E142" t="s">
        <v>23</v>
      </c>
      <c r="F142" t="s">
        <v>24</v>
      </c>
      <c r="G142" t="s">
        <v>404</v>
      </c>
      <c r="H142" t="str">
        <f>"9499"</f>
        <v>9499</v>
      </c>
      <c r="I142" t="s">
        <v>31</v>
      </c>
    </row>
    <row r="143" spans="1:9" x14ac:dyDescent="0.3">
      <c r="A143" t="str">
        <f>"22896732"</f>
        <v>22896732</v>
      </c>
      <c r="B143" t="s">
        <v>405</v>
      </c>
      <c r="C143" t="str">
        <f t="shared" si="10"/>
        <v>706</v>
      </c>
      <c r="D143" t="s">
        <v>28</v>
      </c>
      <c r="E143" t="s">
        <v>52</v>
      </c>
      <c r="F143" t="s">
        <v>406</v>
      </c>
      <c r="G143" t="s">
        <v>407</v>
      </c>
      <c r="H143" t="str">
        <f>"9499"</f>
        <v>9499</v>
      </c>
      <c r="I143" t="s">
        <v>31</v>
      </c>
    </row>
    <row r="144" spans="1:9" x14ac:dyDescent="0.3">
      <c r="A144" t="str">
        <f>"03902994"</f>
        <v>03902994</v>
      </c>
      <c r="B144" t="s">
        <v>408</v>
      </c>
      <c r="C144" t="str">
        <f>"706"</f>
        <v>706</v>
      </c>
      <c r="D144" t="s">
        <v>28</v>
      </c>
      <c r="E144" t="s">
        <v>83</v>
      </c>
      <c r="F144" t="s">
        <v>409</v>
      </c>
      <c r="G144" t="s">
        <v>410</v>
      </c>
      <c r="H144" t="str">
        <f>"9311"</f>
        <v>9311</v>
      </c>
      <c r="I144" t="s">
        <v>92</v>
      </c>
    </row>
    <row r="145" spans="1:11" x14ac:dyDescent="0.3">
      <c r="A145" t="str">
        <f>"70971501"</f>
        <v>70971501</v>
      </c>
      <c r="B145" t="s">
        <v>411</v>
      </c>
      <c r="C145" t="str">
        <f>"736"</f>
        <v>736</v>
      </c>
      <c r="D145" t="s">
        <v>22</v>
      </c>
      <c r="E145" t="s">
        <v>23</v>
      </c>
      <c r="F145" t="s">
        <v>23</v>
      </c>
      <c r="G145" t="s">
        <v>412</v>
      </c>
      <c r="H145" t="str">
        <f>"9499"</f>
        <v>9499</v>
      </c>
      <c r="I145" t="s">
        <v>31</v>
      </c>
    </row>
    <row r="146" spans="1:11" x14ac:dyDescent="0.3">
      <c r="A146" t="str">
        <f>"22883045"</f>
        <v>22883045</v>
      </c>
      <c r="B146" t="s">
        <v>413</v>
      </c>
      <c r="C146" t="str">
        <f t="shared" ref="C146:C160" si="11">"706"</f>
        <v>706</v>
      </c>
      <c r="D146" t="s">
        <v>28</v>
      </c>
      <c r="E146" t="s">
        <v>83</v>
      </c>
      <c r="F146" t="s">
        <v>175</v>
      </c>
      <c r="G146" t="s">
        <v>414</v>
      </c>
      <c r="H146" t="str">
        <f>"9499"</f>
        <v>9499</v>
      </c>
      <c r="I146" t="s">
        <v>31</v>
      </c>
    </row>
    <row r="147" spans="1:11" x14ac:dyDescent="0.3">
      <c r="A147" t="str">
        <f>"03609987"</f>
        <v>03609987</v>
      </c>
      <c r="B147" t="s">
        <v>415</v>
      </c>
      <c r="C147" t="str">
        <f t="shared" si="11"/>
        <v>706</v>
      </c>
      <c r="D147" t="s">
        <v>28</v>
      </c>
      <c r="E147" t="s">
        <v>23</v>
      </c>
      <c r="F147" t="s">
        <v>23</v>
      </c>
      <c r="G147" t="s">
        <v>416</v>
      </c>
      <c r="H147" t="str">
        <f>"94120"</f>
        <v>94120</v>
      </c>
      <c r="I147" t="s">
        <v>43</v>
      </c>
    </row>
    <row r="148" spans="1:11" x14ac:dyDescent="0.3">
      <c r="A148" t="str">
        <f>"75144778"</f>
        <v>75144778</v>
      </c>
      <c r="B148" t="s">
        <v>417</v>
      </c>
      <c r="C148" t="str">
        <f t="shared" si="11"/>
        <v>706</v>
      </c>
      <c r="D148" t="s">
        <v>28</v>
      </c>
      <c r="E148" t="s">
        <v>23</v>
      </c>
      <c r="F148" t="s">
        <v>23</v>
      </c>
      <c r="G148" t="s">
        <v>418</v>
      </c>
      <c r="H148" t="str">
        <f>"9499"</f>
        <v>9499</v>
      </c>
      <c r="I148" t="s">
        <v>31</v>
      </c>
    </row>
    <row r="149" spans="1:11" x14ac:dyDescent="0.3">
      <c r="A149" t="str">
        <f>"09905511"</f>
        <v>09905511</v>
      </c>
      <c r="B149" t="s">
        <v>419</v>
      </c>
      <c r="C149" t="str">
        <f t="shared" si="11"/>
        <v>706</v>
      </c>
      <c r="D149" t="s">
        <v>28</v>
      </c>
      <c r="E149" t="s">
        <v>83</v>
      </c>
      <c r="F149" t="s">
        <v>83</v>
      </c>
      <c r="G149" t="s">
        <v>420</v>
      </c>
      <c r="H149" t="str">
        <f>"9499"</f>
        <v>9499</v>
      </c>
      <c r="I149" t="s">
        <v>31</v>
      </c>
    </row>
    <row r="150" spans="1:11" x14ac:dyDescent="0.3">
      <c r="A150" t="str">
        <f>"47656115"</f>
        <v>47656115</v>
      </c>
      <c r="B150" t="s">
        <v>421</v>
      </c>
      <c r="C150" t="str">
        <f t="shared" si="11"/>
        <v>706</v>
      </c>
      <c r="D150" t="s">
        <v>28</v>
      </c>
      <c r="E150" t="s">
        <v>29</v>
      </c>
      <c r="F150" t="s">
        <v>195</v>
      </c>
      <c r="G150" t="s">
        <v>422</v>
      </c>
      <c r="H150" t="str">
        <f>"94120"</f>
        <v>94120</v>
      </c>
      <c r="I150" t="s">
        <v>43</v>
      </c>
      <c r="J150" t="s">
        <v>423</v>
      </c>
      <c r="K150" t="s">
        <v>424</v>
      </c>
    </row>
    <row r="151" spans="1:11" x14ac:dyDescent="0.3">
      <c r="A151" t="str">
        <f>"22870121"</f>
        <v>22870121</v>
      </c>
      <c r="B151" t="s">
        <v>425</v>
      </c>
      <c r="C151" t="str">
        <f t="shared" si="11"/>
        <v>706</v>
      </c>
      <c r="D151" t="s">
        <v>28</v>
      </c>
      <c r="E151" t="s">
        <v>83</v>
      </c>
      <c r="F151" t="s">
        <v>83</v>
      </c>
      <c r="G151" t="s">
        <v>426</v>
      </c>
      <c r="H151" t="str">
        <f>"9499"</f>
        <v>9499</v>
      </c>
      <c r="I151" t="s">
        <v>31</v>
      </c>
    </row>
    <row r="152" spans="1:11" x14ac:dyDescent="0.3">
      <c r="A152" t="str">
        <f>"06918905"</f>
        <v>06918905</v>
      </c>
      <c r="B152" t="s">
        <v>427</v>
      </c>
      <c r="C152" t="str">
        <f t="shared" si="11"/>
        <v>706</v>
      </c>
      <c r="D152" t="s">
        <v>28</v>
      </c>
      <c r="E152" t="s">
        <v>83</v>
      </c>
      <c r="F152" t="s">
        <v>83</v>
      </c>
      <c r="G152" t="s">
        <v>428</v>
      </c>
      <c r="H152" t="str">
        <f>"94996"</f>
        <v>94996</v>
      </c>
      <c r="I152" t="s">
        <v>47</v>
      </c>
    </row>
    <row r="153" spans="1:11" x14ac:dyDescent="0.3">
      <c r="A153" t="str">
        <f>"01372432"</f>
        <v>01372432</v>
      </c>
      <c r="B153" t="s">
        <v>429</v>
      </c>
      <c r="C153" t="str">
        <f t="shared" si="11"/>
        <v>706</v>
      </c>
      <c r="D153" t="s">
        <v>28</v>
      </c>
      <c r="E153" t="s">
        <v>52</v>
      </c>
      <c r="F153" t="s">
        <v>52</v>
      </c>
      <c r="G153" t="s">
        <v>430</v>
      </c>
      <c r="H153" t="str">
        <f>"9499"</f>
        <v>9499</v>
      </c>
      <c r="I153" t="s">
        <v>31</v>
      </c>
    </row>
    <row r="154" spans="1:11" x14ac:dyDescent="0.3">
      <c r="A154" t="str">
        <f>"26568012"</f>
        <v>26568012</v>
      </c>
      <c r="B154" t="s">
        <v>431</v>
      </c>
      <c r="C154" t="str">
        <f t="shared" si="11"/>
        <v>706</v>
      </c>
      <c r="D154" t="s">
        <v>28</v>
      </c>
      <c r="E154" t="s">
        <v>23</v>
      </c>
      <c r="F154" t="s">
        <v>24</v>
      </c>
      <c r="G154" t="s">
        <v>432</v>
      </c>
      <c r="H154" t="str">
        <f>"94991"</f>
        <v>94991</v>
      </c>
      <c r="I154" t="s">
        <v>433</v>
      </c>
    </row>
    <row r="155" spans="1:11" x14ac:dyDescent="0.3">
      <c r="A155" t="str">
        <f>"26990563"</f>
        <v>26990563</v>
      </c>
      <c r="B155" t="s">
        <v>434</v>
      </c>
      <c r="C155" t="str">
        <f t="shared" si="11"/>
        <v>706</v>
      </c>
      <c r="D155" t="s">
        <v>28</v>
      </c>
      <c r="E155" t="s">
        <v>83</v>
      </c>
      <c r="F155" t="s">
        <v>175</v>
      </c>
      <c r="G155" t="s">
        <v>435</v>
      </c>
      <c r="H155" t="str">
        <f>"9499"</f>
        <v>9499</v>
      </c>
      <c r="I155" t="s">
        <v>31</v>
      </c>
    </row>
    <row r="156" spans="1:11" x14ac:dyDescent="0.3">
      <c r="A156" t="str">
        <f>"14075164"</f>
        <v>14075164</v>
      </c>
      <c r="B156" t="s">
        <v>436</v>
      </c>
      <c r="C156" t="str">
        <f t="shared" si="11"/>
        <v>706</v>
      </c>
      <c r="D156" t="s">
        <v>28</v>
      </c>
      <c r="E156" t="s">
        <v>23</v>
      </c>
      <c r="F156" t="s">
        <v>350</v>
      </c>
      <c r="G156" t="s">
        <v>437</v>
      </c>
      <c r="H156" t="str">
        <f>"94999"</f>
        <v>94999</v>
      </c>
      <c r="I156" t="s">
        <v>202</v>
      </c>
    </row>
    <row r="157" spans="1:11" x14ac:dyDescent="0.3">
      <c r="A157" t="str">
        <f>"22743642"</f>
        <v>22743642</v>
      </c>
      <c r="B157" t="s">
        <v>438</v>
      </c>
      <c r="C157" t="str">
        <f t="shared" si="11"/>
        <v>706</v>
      </c>
      <c r="D157" t="s">
        <v>28</v>
      </c>
      <c r="E157" t="s">
        <v>52</v>
      </c>
      <c r="F157" t="s">
        <v>52</v>
      </c>
      <c r="G157" t="s">
        <v>439</v>
      </c>
      <c r="H157" t="str">
        <f>"9499"</f>
        <v>9499</v>
      </c>
      <c r="I157" t="s">
        <v>31</v>
      </c>
    </row>
    <row r="158" spans="1:11" x14ac:dyDescent="0.3">
      <c r="A158" t="str">
        <f>"26588749"</f>
        <v>26588749</v>
      </c>
      <c r="B158" t="s">
        <v>440</v>
      </c>
      <c r="C158" t="str">
        <f t="shared" si="11"/>
        <v>706</v>
      </c>
      <c r="D158" t="s">
        <v>28</v>
      </c>
      <c r="E158" t="s">
        <v>23</v>
      </c>
      <c r="F158" t="s">
        <v>350</v>
      </c>
      <c r="G158" t="s">
        <v>441</v>
      </c>
      <c r="H158" t="str">
        <f>"9499"</f>
        <v>9499</v>
      </c>
      <c r="I158" t="s">
        <v>31</v>
      </c>
    </row>
    <row r="159" spans="1:11" x14ac:dyDescent="0.3">
      <c r="A159" t="str">
        <f>"26535939"</f>
        <v>26535939</v>
      </c>
      <c r="B159" t="s">
        <v>442</v>
      </c>
      <c r="C159" t="str">
        <f t="shared" si="11"/>
        <v>706</v>
      </c>
      <c r="D159" t="s">
        <v>28</v>
      </c>
      <c r="E159" t="s">
        <v>23</v>
      </c>
      <c r="F159" t="s">
        <v>24</v>
      </c>
      <c r="G159" t="s">
        <v>443</v>
      </c>
      <c r="H159" t="str">
        <f>"9499"</f>
        <v>9499</v>
      </c>
      <c r="I159" t="s">
        <v>31</v>
      </c>
    </row>
    <row r="160" spans="1:11" x14ac:dyDescent="0.3">
      <c r="A160" t="str">
        <f>"68685688"</f>
        <v>68685688</v>
      </c>
      <c r="B160" t="s">
        <v>444</v>
      </c>
      <c r="C160" t="str">
        <f t="shared" si="11"/>
        <v>706</v>
      </c>
      <c r="D160" t="s">
        <v>28</v>
      </c>
      <c r="E160" t="s">
        <v>23</v>
      </c>
      <c r="F160" t="s">
        <v>350</v>
      </c>
      <c r="G160" t="s">
        <v>445</v>
      </c>
      <c r="H160" t="str">
        <f>"9499"</f>
        <v>9499</v>
      </c>
      <c r="I160" t="s">
        <v>31</v>
      </c>
    </row>
    <row r="161" spans="1:14" x14ac:dyDescent="0.3">
      <c r="A161" t="str">
        <f>"18190154"</f>
        <v>18190154</v>
      </c>
      <c r="B161" t="s">
        <v>446</v>
      </c>
      <c r="C161" t="str">
        <f>"736"</f>
        <v>736</v>
      </c>
      <c r="D161" t="s">
        <v>22</v>
      </c>
      <c r="E161" t="s">
        <v>83</v>
      </c>
      <c r="F161" t="s">
        <v>175</v>
      </c>
      <c r="G161" t="s">
        <v>447</v>
      </c>
      <c r="H161" t="str">
        <f>"94996"</f>
        <v>94996</v>
      </c>
      <c r="I161" t="s">
        <v>47</v>
      </c>
    </row>
    <row r="162" spans="1:14" x14ac:dyDescent="0.3">
      <c r="A162" t="str">
        <f>"44018827"</f>
        <v>44018827</v>
      </c>
      <c r="B162" t="s">
        <v>448</v>
      </c>
      <c r="C162" t="str">
        <f>"736"</f>
        <v>736</v>
      </c>
      <c r="D162" t="s">
        <v>22</v>
      </c>
      <c r="E162" t="s">
        <v>52</v>
      </c>
      <c r="F162" t="s">
        <v>234</v>
      </c>
      <c r="G162" t="s">
        <v>449</v>
      </c>
      <c r="H162" t="str">
        <f>"94996"</f>
        <v>94996</v>
      </c>
      <c r="I162" t="s">
        <v>47</v>
      </c>
    </row>
    <row r="163" spans="1:14" x14ac:dyDescent="0.3">
      <c r="A163" t="str">
        <f>"70857733"</f>
        <v>70857733</v>
      </c>
      <c r="B163" t="s">
        <v>450</v>
      </c>
      <c r="C163" t="str">
        <f>"706"</f>
        <v>706</v>
      </c>
      <c r="D163" t="s">
        <v>28</v>
      </c>
      <c r="E163" t="s">
        <v>23</v>
      </c>
      <c r="F163" t="s">
        <v>23</v>
      </c>
      <c r="G163" t="s">
        <v>451</v>
      </c>
      <c r="H163" t="str">
        <f>"9499"</f>
        <v>9499</v>
      </c>
      <c r="I163" t="s">
        <v>31</v>
      </c>
    </row>
    <row r="164" spans="1:14" x14ac:dyDescent="0.3">
      <c r="A164" t="str">
        <f>"68728018"</f>
        <v>68728018</v>
      </c>
      <c r="B164" t="s">
        <v>452</v>
      </c>
      <c r="C164" t="str">
        <f>"706"</f>
        <v>706</v>
      </c>
      <c r="D164" t="s">
        <v>28</v>
      </c>
      <c r="E164" t="s">
        <v>83</v>
      </c>
      <c r="F164" t="s">
        <v>453</v>
      </c>
      <c r="G164" t="s">
        <v>454</v>
      </c>
      <c r="H164" t="str">
        <f>"9499"</f>
        <v>9499</v>
      </c>
      <c r="I164" t="s">
        <v>31</v>
      </c>
      <c r="J164" t="s">
        <v>259</v>
      </c>
      <c r="K164" t="s">
        <v>147</v>
      </c>
      <c r="L164" t="s">
        <v>161</v>
      </c>
      <c r="M164" t="s">
        <v>263</v>
      </c>
      <c r="N164" t="s">
        <v>209</v>
      </c>
    </row>
    <row r="165" spans="1:14" x14ac:dyDescent="0.3">
      <c r="A165" t="str">
        <f>"22823760"</f>
        <v>22823760</v>
      </c>
      <c r="B165" t="s">
        <v>455</v>
      </c>
      <c r="C165" t="str">
        <f>"706"</f>
        <v>706</v>
      </c>
      <c r="D165" t="s">
        <v>28</v>
      </c>
      <c r="E165" t="s">
        <v>29</v>
      </c>
      <c r="F165" t="s">
        <v>138</v>
      </c>
      <c r="G165" t="s">
        <v>456</v>
      </c>
      <c r="H165" t="str">
        <f>"94120"</f>
        <v>94120</v>
      </c>
      <c r="I165" t="s">
        <v>43</v>
      </c>
    </row>
    <row r="166" spans="1:14" x14ac:dyDescent="0.3">
      <c r="A166" t="str">
        <f>"68686722"</f>
        <v>68686722</v>
      </c>
      <c r="B166" t="s">
        <v>458</v>
      </c>
      <c r="C166" t="str">
        <f>"706"</f>
        <v>706</v>
      </c>
      <c r="D166" t="s">
        <v>28</v>
      </c>
      <c r="E166" t="s">
        <v>23</v>
      </c>
      <c r="F166" t="s">
        <v>459</v>
      </c>
      <c r="G166" t="s">
        <v>460</v>
      </c>
      <c r="H166" t="str">
        <f>"931"</f>
        <v>931</v>
      </c>
      <c r="I166" t="s">
        <v>26</v>
      </c>
    </row>
    <row r="167" spans="1:14" x14ac:dyDescent="0.3">
      <c r="A167" t="str">
        <f>"22756124"</f>
        <v>22756124</v>
      </c>
      <c r="B167" t="s">
        <v>461</v>
      </c>
      <c r="C167" t="str">
        <f>"706"</f>
        <v>706</v>
      </c>
      <c r="D167" t="s">
        <v>28</v>
      </c>
      <c r="E167" t="s">
        <v>23</v>
      </c>
      <c r="F167" t="s">
        <v>23</v>
      </c>
      <c r="G167" t="s">
        <v>462</v>
      </c>
      <c r="H167" t="str">
        <f>"9499"</f>
        <v>9499</v>
      </c>
      <c r="I167" t="s">
        <v>31</v>
      </c>
    </row>
    <row r="168" spans="1:14" x14ac:dyDescent="0.3">
      <c r="A168" t="str">
        <f>"26517779"</f>
        <v>26517779</v>
      </c>
      <c r="B168" t="s">
        <v>463</v>
      </c>
      <c r="C168" t="str">
        <f>"706"</f>
        <v>706</v>
      </c>
      <c r="D168" t="s">
        <v>28</v>
      </c>
      <c r="E168" t="s">
        <v>23</v>
      </c>
      <c r="F168" t="s">
        <v>23</v>
      </c>
      <c r="G168" t="s">
        <v>464</v>
      </c>
      <c r="H168" t="str">
        <f>"9499"</f>
        <v>9499</v>
      </c>
      <c r="I168" t="s">
        <v>31</v>
      </c>
    </row>
    <row r="169" spans="1:14" x14ac:dyDescent="0.3">
      <c r="A169" t="str">
        <f>"02331837"</f>
        <v>02331837</v>
      </c>
      <c r="B169" t="s">
        <v>465</v>
      </c>
      <c r="C169" t="str">
        <f t="shared" ref="C169:C191" si="12">"736"</f>
        <v>736</v>
      </c>
      <c r="D169" t="s">
        <v>22</v>
      </c>
      <c r="E169" t="s">
        <v>23</v>
      </c>
      <c r="F169" t="s">
        <v>23</v>
      </c>
      <c r="G169" t="s">
        <v>466</v>
      </c>
      <c r="H169" t="str">
        <f>"94991"</f>
        <v>94991</v>
      </c>
      <c r="I169" t="s">
        <v>433</v>
      </c>
    </row>
    <row r="170" spans="1:14" x14ac:dyDescent="0.3">
      <c r="A170" t="str">
        <f>"70854904"</f>
        <v>70854904</v>
      </c>
      <c r="B170" t="s">
        <v>467</v>
      </c>
      <c r="C170" t="str">
        <f t="shared" si="12"/>
        <v>736</v>
      </c>
      <c r="D170" t="s">
        <v>22</v>
      </c>
      <c r="E170" t="s">
        <v>23</v>
      </c>
      <c r="F170" t="s">
        <v>141</v>
      </c>
      <c r="G170" t="s">
        <v>468</v>
      </c>
      <c r="H170" t="str">
        <f>"94991"</f>
        <v>94991</v>
      </c>
      <c r="I170" t="s">
        <v>433</v>
      </c>
    </row>
    <row r="171" spans="1:14" x14ac:dyDescent="0.3">
      <c r="A171" t="str">
        <f>"02332272"</f>
        <v>02332272</v>
      </c>
      <c r="B171" t="s">
        <v>469</v>
      </c>
      <c r="C171" t="str">
        <f t="shared" si="12"/>
        <v>736</v>
      </c>
      <c r="D171" t="s">
        <v>22</v>
      </c>
      <c r="E171" t="s">
        <v>23</v>
      </c>
      <c r="F171" t="s">
        <v>23</v>
      </c>
      <c r="G171" t="s">
        <v>466</v>
      </c>
      <c r="H171" t="str">
        <f>"94993"</f>
        <v>94993</v>
      </c>
      <c r="I171" t="s">
        <v>50</v>
      </c>
    </row>
    <row r="172" spans="1:14" x14ac:dyDescent="0.3">
      <c r="A172" t="str">
        <f>"64439313"</f>
        <v>64439313</v>
      </c>
      <c r="B172" t="s">
        <v>470</v>
      </c>
      <c r="C172" t="str">
        <f t="shared" si="12"/>
        <v>736</v>
      </c>
      <c r="D172" t="s">
        <v>22</v>
      </c>
      <c r="E172" t="s">
        <v>23</v>
      </c>
      <c r="F172" t="s">
        <v>24</v>
      </c>
      <c r="G172" t="s">
        <v>471</v>
      </c>
      <c r="H172" t="str">
        <f t="shared" ref="H172:H180" si="13">"94991"</f>
        <v>94991</v>
      </c>
      <c r="I172" t="s">
        <v>433</v>
      </c>
    </row>
    <row r="173" spans="1:14" x14ac:dyDescent="0.3">
      <c r="A173" t="str">
        <f>"68726848"</f>
        <v>68726848</v>
      </c>
      <c r="B173" t="s">
        <v>472</v>
      </c>
      <c r="C173" t="str">
        <f t="shared" si="12"/>
        <v>736</v>
      </c>
      <c r="D173" t="s">
        <v>22</v>
      </c>
      <c r="E173" t="s">
        <v>83</v>
      </c>
      <c r="F173" t="s">
        <v>473</v>
      </c>
      <c r="G173" t="s">
        <v>474</v>
      </c>
      <c r="H173" t="str">
        <f t="shared" si="13"/>
        <v>94991</v>
      </c>
      <c r="I173" t="s">
        <v>433</v>
      </c>
    </row>
    <row r="174" spans="1:14" x14ac:dyDescent="0.3">
      <c r="A174" t="str">
        <f>"70973181"</f>
        <v>70973181</v>
      </c>
      <c r="B174" t="s">
        <v>475</v>
      </c>
      <c r="C174" t="str">
        <f t="shared" si="12"/>
        <v>736</v>
      </c>
      <c r="D174" t="s">
        <v>22</v>
      </c>
      <c r="E174" t="s">
        <v>23</v>
      </c>
      <c r="F174" t="s">
        <v>24</v>
      </c>
      <c r="G174" t="s">
        <v>476</v>
      </c>
      <c r="H174" t="str">
        <f t="shared" si="13"/>
        <v>94991</v>
      </c>
      <c r="I174" t="s">
        <v>433</v>
      </c>
    </row>
    <row r="175" spans="1:14" x14ac:dyDescent="0.3">
      <c r="A175" t="str">
        <f>"71190848"</f>
        <v>71190848</v>
      </c>
      <c r="B175" t="s">
        <v>477</v>
      </c>
      <c r="C175" t="str">
        <f t="shared" si="12"/>
        <v>736</v>
      </c>
      <c r="D175" t="s">
        <v>22</v>
      </c>
      <c r="E175" t="s">
        <v>23</v>
      </c>
      <c r="F175" t="s">
        <v>68</v>
      </c>
      <c r="G175" t="s">
        <v>478</v>
      </c>
      <c r="H175" t="str">
        <f t="shared" si="13"/>
        <v>94991</v>
      </c>
      <c r="I175" t="s">
        <v>433</v>
      </c>
    </row>
    <row r="176" spans="1:14" x14ac:dyDescent="0.3">
      <c r="A176" t="str">
        <f>"75102617"</f>
        <v>75102617</v>
      </c>
      <c r="B176" t="s">
        <v>479</v>
      </c>
      <c r="C176" t="str">
        <f t="shared" si="12"/>
        <v>736</v>
      </c>
      <c r="D176" t="s">
        <v>22</v>
      </c>
      <c r="E176" t="s">
        <v>83</v>
      </c>
      <c r="F176" t="s">
        <v>480</v>
      </c>
      <c r="G176" t="s">
        <v>481</v>
      </c>
      <c r="H176" t="str">
        <f t="shared" si="13"/>
        <v>94991</v>
      </c>
      <c r="I176" t="s">
        <v>433</v>
      </c>
    </row>
    <row r="177" spans="1:19" x14ac:dyDescent="0.3">
      <c r="A177" t="str">
        <f>"60383119"</f>
        <v>60383119</v>
      </c>
      <c r="B177" t="s">
        <v>482</v>
      </c>
      <c r="C177" t="str">
        <f t="shared" si="12"/>
        <v>736</v>
      </c>
      <c r="D177" t="s">
        <v>22</v>
      </c>
      <c r="E177" t="s">
        <v>83</v>
      </c>
      <c r="F177" t="s">
        <v>175</v>
      </c>
      <c r="G177" t="s">
        <v>483</v>
      </c>
      <c r="H177" t="str">
        <f t="shared" si="13"/>
        <v>94991</v>
      </c>
      <c r="I177" t="s">
        <v>433</v>
      </c>
    </row>
    <row r="178" spans="1:19" x14ac:dyDescent="0.3">
      <c r="A178" t="str">
        <f>"71195351"</f>
        <v>71195351</v>
      </c>
      <c r="B178" t="s">
        <v>485</v>
      </c>
      <c r="C178" t="str">
        <f t="shared" si="12"/>
        <v>736</v>
      </c>
      <c r="D178" t="s">
        <v>22</v>
      </c>
      <c r="E178" t="s">
        <v>52</v>
      </c>
      <c r="F178" t="s">
        <v>178</v>
      </c>
      <c r="G178" t="s">
        <v>486</v>
      </c>
      <c r="H178" t="str">
        <f t="shared" si="13"/>
        <v>94991</v>
      </c>
      <c r="I178" t="s">
        <v>433</v>
      </c>
    </row>
    <row r="179" spans="1:19" x14ac:dyDescent="0.3">
      <c r="A179" t="str">
        <f>"71193545"</f>
        <v>71193545</v>
      </c>
      <c r="B179" t="s">
        <v>487</v>
      </c>
      <c r="C179" t="str">
        <f t="shared" si="12"/>
        <v>736</v>
      </c>
      <c r="D179" t="s">
        <v>22</v>
      </c>
      <c r="E179" t="s">
        <v>52</v>
      </c>
      <c r="F179" t="s">
        <v>488</v>
      </c>
      <c r="G179" t="s">
        <v>489</v>
      </c>
      <c r="H179" t="str">
        <f t="shared" si="13"/>
        <v>94991</v>
      </c>
      <c r="I179" t="s">
        <v>433</v>
      </c>
    </row>
    <row r="180" spans="1:19" x14ac:dyDescent="0.3">
      <c r="A180" t="str">
        <f>"02332256"</f>
        <v>02332256</v>
      </c>
      <c r="B180" t="s">
        <v>490</v>
      </c>
      <c r="C180" t="str">
        <f t="shared" si="12"/>
        <v>736</v>
      </c>
      <c r="D180" t="s">
        <v>22</v>
      </c>
      <c r="E180" t="s">
        <v>52</v>
      </c>
      <c r="F180" t="s">
        <v>113</v>
      </c>
      <c r="G180" t="s">
        <v>491</v>
      </c>
      <c r="H180" t="str">
        <f t="shared" si="13"/>
        <v>94991</v>
      </c>
      <c r="I180" t="s">
        <v>433</v>
      </c>
    </row>
    <row r="181" spans="1:19" x14ac:dyDescent="0.3">
      <c r="A181" t="str">
        <f>"71157841"</f>
        <v>71157841</v>
      </c>
      <c r="B181" t="s">
        <v>492</v>
      </c>
      <c r="C181" t="str">
        <f t="shared" si="12"/>
        <v>736</v>
      </c>
      <c r="D181" t="s">
        <v>22</v>
      </c>
      <c r="E181" t="s">
        <v>29</v>
      </c>
      <c r="F181" t="s">
        <v>271</v>
      </c>
      <c r="G181" t="s">
        <v>493</v>
      </c>
      <c r="H181" t="str">
        <f>"9499"</f>
        <v>9499</v>
      </c>
      <c r="I181" t="s">
        <v>31</v>
      </c>
    </row>
    <row r="182" spans="1:19" x14ac:dyDescent="0.3">
      <c r="A182" t="str">
        <f>"62335103"</f>
        <v>62335103</v>
      </c>
      <c r="B182" t="s">
        <v>494</v>
      </c>
      <c r="C182" t="str">
        <f t="shared" si="12"/>
        <v>736</v>
      </c>
      <c r="D182" t="s">
        <v>22</v>
      </c>
      <c r="E182" t="s">
        <v>29</v>
      </c>
      <c r="F182" t="s">
        <v>195</v>
      </c>
      <c r="G182" t="s">
        <v>495</v>
      </c>
      <c r="H182" t="str">
        <f>"94991"</f>
        <v>94991</v>
      </c>
      <c r="I182" t="s">
        <v>433</v>
      </c>
      <c r="J182" t="s">
        <v>156</v>
      </c>
      <c r="K182" t="s">
        <v>496</v>
      </c>
      <c r="L182" t="s">
        <v>497</v>
      </c>
      <c r="M182" t="s">
        <v>498</v>
      </c>
      <c r="N182" t="s">
        <v>161</v>
      </c>
      <c r="O182" t="s">
        <v>499</v>
      </c>
      <c r="P182" t="s">
        <v>146</v>
      </c>
      <c r="Q182" t="s">
        <v>500</v>
      </c>
      <c r="R182" t="s">
        <v>26</v>
      </c>
      <c r="S182" t="s">
        <v>501</v>
      </c>
    </row>
    <row r="183" spans="1:19" x14ac:dyDescent="0.3">
      <c r="A183" t="str">
        <f>"75137178"</f>
        <v>75137178</v>
      </c>
      <c r="B183" t="s">
        <v>502</v>
      </c>
      <c r="C183" t="str">
        <f t="shared" si="12"/>
        <v>736</v>
      </c>
      <c r="D183" t="s">
        <v>22</v>
      </c>
      <c r="E183" t="s">
        <v>29</v>
      </c>
      <c r="F183" t="s">
        <v>503</v>
      </c>
      <c r="G183" t="s">
        <v>504</v>
      </c>
      <c r="H183" t="str">
        <f>"94991"</f>
        <v>94991</v>
      </c>
      <c r="I183" t="s">
        <v>433</v>
      </c>
    </row>
    <row r="184" spans="1:19" x14ac:dyDescent="0.3">
      <c r="A184" t="str">
        <f>"71197451"</f>
        <v>71197451</v>
      </c>
      <c r="B184" t="s">
        <v>505</v>
      </c>
      <c r="C184" t="str">
        <f t="shared" si="12"/>
        <v>736</v>
      </c>
      <c r="D184" t="s">
        <v>22</v>
      </c>
      <c r="E184" t="s">
        <v>29</v>
      </c>
      <c r="F184" t="s">
        <v>29</v>
      </c>
      <c r="G184" t="s">
        <v>506</v>
      </c>
      <c r="H184" t="str">
        <f>"9499"</f>
        <v>9499</v>
      </c>
      <c r="I184" t="s">
        <v>31</v>
      </c>
    </row>
    <row r="185" spans="1:19" x14ac:dyDescent="0.3">
      <c r="A185" t="str">
        <f>"64439372"</f>
        <v>64439372</v>
      </c>
      <c r="B185" t="s">
        <v>507</v>
      </c>
      <c r="C185" t="str">
        <f t="shared" si="12"/>
        <v>736</v>
      </c>
      <c r="D185" t="s">
        <v>22</v>
      </c>
      <c r="E185" t="s">
        <v>23</v>
      </c>
      <c r="F185" t="s">
        <v>24</v>
      </c>
      <c r="G185" t="s">
        <v>508</v>
      </c>
      <c r="H185" t="str">
        <f>"94993"</f>
        <v>94993</v>
      </c>
      <c r="I185" t="s">
        <v>50</v>
      </c>
    </row>
    <row r="186" spans="1:19" x14ac:dyDescent="0.3">
      <c r="A186" t="str">
        <f>"71196587"</f>
        <v>71196587</v>
      </c>
      <c r="B186" t="s">
        <v>509</v>
      </c>
      <c r="C186" t="str">
        <f t="shared" si="12"/>
        <v>736</v>
      </c>
      <c r="D186" t="s">
        <v>22</v>
      </c>
      <c r="E186" t="s">
        <v>29</v>
      </c>
      <c r="F186" t="s">
        <v>29</v>
      </c>
      <c r="G186" t="s">
        <v>510</v>
      </c>
      <c r="H186" t="str">
        <f>"9499"</f>
        <v>9499</v>
      </c>
      <c r="I186" t="s">
        <v>31</v>
      </c>
    </row>
    <row r="187" spans="1:19" x14ac:dyDescent="0.3">
      <c r="A187" t="str">
        <f>"71207287"</f>
        <v>71207287</v>
      </c>
      <c r="B187" t="s">
        <v>511</v>
      </c>
      <c r="C187" t="str">
        <f t="shared" si="12"/>
        <v>736</v>
      </c>
      <c r="D187" t="s">
        <v>22</v>
      </c>
      <c r="E187" t="s">
        <v>83</v>
      </c>
      <c r="F187" t="s">
        <v>183</v>
      </c>
      <c r="G187" t="s">
        <v>512</v>
      </c>
      <c r="H187" t="str">
        <f>"94991"</f>
        <v>94991</v>
      </c>
      <c r="I187" t="s">
        <v>433</v>
      </c>
    </row>
    <row r="188" spans="1:19" x14ac:dyDescent="0.3">
      <c r="A188" t="str">
        <f>"75043327"</f>
        <v>75043327</v>
      </c>
      <c r="B188" t="s">
        <v>513</v>
      </c>
      <c r="C188" t="str">
        <f t="shared" si="12"/>
        <v>736</v>
      </c>
      <c r="D188" t="s">
        <v>22</v>
      </c>
      <c r="E188" t="s">
        <v>52</v>
      </c>
      <c r="F188" t="s">
        <v>514</v>
      </c>
      <c r="G188" t="s">
        <v>515</v>
      </c>
      <c r="H188" t="str">
        <f>"94991"</f>
        <v>94991</v>
      </c>
      <c r="I188" t="s">
        <v>433</v>
      </c>
    </row>
    <row r="189" spans="1:19" x14ac:dyDescent="0.3">
      <c r="A189" t="str">
        <f>"22900381"</f>
        <v>22900381</v>
      </c>
      <c r="B189" t="s">
        <v>516</v>
      </c>
      <c r="C189" t="str">
        <f t="shared" si="12"/>
        <v>736</v>
      </c>
      <c r="D189" t="s">
        <v>22</v>
      </c>
      <c r="E189" t="s">
        <v>52</v>
      </c>
      <c r="F189" t="s">
        <v>517</v>
      </c>
      <c r="G189" t="s">
        <v>518</v>
      </c>
      <c r="H189" t="str">
        <f>"94993"</f>
        <v>94993</v>
      </c>
      <c r="I189" t="s">
        <v>50</v>
      </c>
    </row>
    <row r="190" spans="1:19" x14ac:dyDescent="0.3">
      <c r="A190" t="str">
        <f>"07924755"</f>
        <v>07924755</v>
      </c>
      <c r="B190" t="s">
        <v>519</v>
      </c>
      <c r="C190" t="str">
        <f t="shared" si="12"/>
        <v>736</v>
      </c>
      <c r="D190" t="s">
        <v>22</v>
      </c>
      <c r="E190" t="s">
        <v>83</v>
      </c>
      <c r="F190" t="s">
        <v>520</v>
      </c>
      <c r="G190" t="s">
        <v>521</v>
      </c>
      <c r="H190" t="str">
        <f>"94991"</f>
        <v>94991</v>
      </c>
      <c r="I190" t="s">
        <v>433</v>
      </c>
    </row>
    <row r="191" spans="1:19" x14ac:dyDescent="0.3">
      <c r="A191" t="str">
        <f>"65792351"</f>
        <v>65792351</v>
      </c>
      <c r="B191" t="s">
        <v>522</v>
      </c>
      <c r="C191" t="str">
        <f t="shared" si="12"/>
        <v>736</v>
      </c>
      <c r="D191" t="s">
        <v>22</v>
      </c>
      <c r="E191" t="s">
        <v>23</v>
      </c>
      <c r="F191" t="s">
        <v>141</v>
      </c>
      <c r="G191" t="s">
        <v>523</v>
      </c>
      <c r="H191" t="str">
        <f>"93110"</f>
        <v>93110</v>
      </c>
      <c r="I191" t="s">
        <v>92</v>
      </c>
    </row>
    <row r="192" spans="1:19" x14ac:dyDescent="0.3">
      <c r="A192" t="str">
        <f>"70435898"</f>
        <v>70435898</v>
      </c>
      <c r="B192" t="s">
        <v>524</v>
      </c>
      <c r="C192" t="str">
        <f t="shared" ref="C192:C202" si="14">"706"</f>
        <v>706</v>
      </c>
      <c r="D192" t="s">
        <v>28</v>
      </c>
      <c r="E192" t="s">
        <v>52</v>
      </c>
      <c r="F192" t="s">
        <v>52</v>
      </c>
      <c r="G192" t="s">
        <v>525</v>
      </c>
      <c r="H192" t="str">
        <f>"931"</f>
        <v>931</v>
      </c>
      <c r="I192" t="s">
        <v>26</v>
      </c>
    </row>
    <row r="193" spans="1:10" x14ac:dyDescent="0.3">
      <c r="A193" t="str">
        <f>"22742158"</f>
        <v>22742158</v>
      </c>
      <c r="B193" t="s">
        <v>526</v>
      </c>
      <c r="C193" t="str">
        <f t="shared" si="14"/>
        <v>706</v>
      </c>
      <c r="D193" t="s">
        <v>28</v>
      </c>
      <c r="E193" t="s">
        <v>23</v>
      </c>
      <c r="F193" t="s">
        <v>24</v>
      </c>
      <c r="G193" t="s">
        <v>527</v>
      </c>
      <c r="H193" t="str">
        <f>"9499"</f>
        <v>9499</v>
      </c>
      <c r="I193" t="s">
        <v>31</v>
      </c>
    </row>
    <row r="194" spans="1:10" x14ac:dyDescent="0.3">
      <c r="A194" t="str">
        <f>"26659255"</f>
        <v>26659255</v>
      </c>
      <c r="B194" t="s">
        <v>528</v>
      </c>
      <c r="C194" t="str">
        <f t="shared" si="14"/>
        <v>706</v>
      </c>
      <c r="D194" t="s">
        <v>28</v>
      </c>
      <c r="E194" t="s">
        <v>23</v>
      </c>
      <c r="F194" t="s">
        <v>23</v>
      </c>
      <c r="G194" t="s">
        <v>529</v>
      </c>
      <c r="H194" t="str">
        <f>"9499"</f>
        <v>9499</v>
      </c>
      <c r="I194" t="s">
        <v>31</v>
      </c>
    </row>
    <row r="195" spans="1:10" x14ac:dyDescent="0.3">
      <c r="A195" t="str">
        <f>"60371846"</f>
        <v>60371846</v>
      </c>
      <c r="B195" t="s">
        <v>530</v>
      </c>
      <c r="C195" t="str">
        <f t="shared" si="14"/>
        <v>706</v>
      </c>
      <c r="D195" t="s">
        <v>28</v>
      </c>
      <c r="E195" t="s">
        <v>52</v>
      </c>
      <c r="F195" t="s">
        <v>344</v>
      </c>
      <c r="G195" t="s">
        <v>531</v>
      </c>
      <c r="H195" t="str">
        <f>"9499"</f>
        <v>9499</v>
      </c>
      <c r="I195" t="s">
        <v>31</v>
      </c>
    </row>
    <row r="196" spans="1:10" x14ac:dyDescent="0.3">
      <c r="A196" t="str">
        <f>"22682066"</f>
        <v>22682066</v>
      </c>
      <c r="B196" t="s">
        <v>532</v>
      </c>
      <c r="C196" t="str">
        <f t="shared" si="14"/>
        <v>706</v>
      </c>
      <c r="D196" t="s">
        <v>28</v>
      </c>
      <c r="E196" t="s">
        <v>23</v>
      </c>
      <c r="F196" t="s">
        <v>23</v>
      </c>
      <c r="G196" t="s">
        <v>533</v>
      </c>
      <c r="H196" t="str">
        <f>"93110"</f>
        <v>93110</v>
      </c>
      <c r="I196" t="s">
        <v>92</v>
      </c>
    </row>
    <row r="197" spans="1:10" x14ac:dyDescent="0.3">
      <c r="A197" t="str">
        <f>"22730796"</f>
        <v>22730796</v>
      </c>
      <c r="B197" t="s">
        <v>534</v>
      </c>
      <c r="C197" t="str">
        <f t="shared" si="14"/>
        <v>706</v>
      </c>
      <c r="D197" t="s">
        <v>28</v>
      </c>
      <c r="E197" t="s">
        <v>23</v>
      </c>
      <c r="F197" t="s">
        <v>23</v>
      </c>
      <c r="G197" t="s">
        <v>535</v>
      </c>
      <c r="H197" t="str">
        <f>"9499"</f>
        <v>9499</v>
      </c>
      <c r="I197" t="s">
        <v>31</v>
      </c>
    </row>
    <row r="198" spans="1:10" x14ac:dyDescent="0.3">
      <c r="A198" t="str">
        <f>"26987635"</f>
        <v>26987635</v>
      </c>
      <c r="B198" t="s">
        <v>536</v>
      </c>
      <c r="C198" t="str">
        <f t="shared" si="14"/>
        <v>706</v>
      </c>
      <c r="D198" t="s">
        <v>28</v>
      </c>
      <c r="E198" t="s">
        <v>83</v>
      </c>
      <c r="F198" t="s">
        <v>537</v>
      </c>
      <c r="G198" t="s">
        <v>538</v>
      </c>
      <c r="H198" t="str">
        <f>"9499"</f>
        <v>9499</v>
      </c>
      <c r="I198" t="s">
        <v>31</v>
      </c>
    </row>
    <row r="199" spans="1:10" x14ac:dyDescent="0.3">
      <c r="A199" t="str">
        <f>"22732853"</f>
        <v>22732853</v>
      </c>
      <c r="B199" t="s">
        <v>539</v>
      </c>
      <c r="C199" t="str">
        <f t="shared" si="14"/>
        <v>706</v>
      </c>
      <c r="D199" t="s">
        <v>28</v>
      </c>
      <c r="E199" t="s">
        <v>83</v>
      </c>
      <c r="F199" t="s">
        <v>540</v>
      </c>
      <c r="G199" t="s">
        <v>541</v>
      </c>
      <c r="H199" t="str">
        <f>"93110"</f>
        <v>93110</v>
      </c>
      <c r="I199" t="s">
        <v>92</v>
      </c>
    </row>
    <row r="200" spans="1:10" x14ac:dyDescent="0.3">
      <c r="A200" t="str">
        <f>"26649641"</f>
        <v>26649641</v>
      </c>
      <c r="B200" t="s">
        <v>542</v>
      </c>
      <c r="C200" t="str">
        <f t="shared" si="14"/>
        <v>706</v>
      </c>
      <c r="D200" t="s">
        <v>28</v>
      </c>
      <c r="E200" t="s">
        <v>23</v>
      </c>
      <c r="F200" t="s">
        <v>23</v>
      </c>
      <c r="G200" t="s">
        <v>204</v>
      </c>
      <c r="H200" t="str">
        <f>"93110"</f>
        <v>93110</v>
      </c>
      <c r="I200" t="s">
        <v>92</v>
      </c>
    </row>
    <row r="201" spans="1:10" x14ac:dyDescent="0.3">
      <c r="A201" t="str">
        <f>"22851518"</f>
        <v>22851518</v>
      </c>
      <c r="B201" t="s">
        <v>543</v>
      </c>
      <c r="C201" t="str">
        <f t="shared" si="14"/>
        <v>706</v>
      </c>
      <c r="D201" t="s">
        <v>28</v>
      </c>
      <c r="E201" t="s">
        <v>29</v>
      </c>
      <c r="F201" t="s">
        <v>544</v>
      </c>
      <c r="G201" t="s">
        <v>545</v>
      </c>
      <c r="H201" t="str">
        <f>"9499"</f>
        <v>9499</v>
      </c>
      <c r="I201" t="s">
        <v>31</v>
      </c>
    </row>
    <row r="202" spans="1:10" x14ac:dyDescent="0.3">
      <c r="A202" t="str">
        <f>"22754229"</f>
        <v>22754229</v>
      </c>
      <c r="B202" t="s">
        <v>546</v>
      </c>
      <c r="C202" t="str">
        <f t="shared" si="14"/>
        <v>706</v>
      </c>
      <c r="D202" t="s">
        <v>28</v>
      </c>
      <c r="E202" t="s">
        <v>83</v>
      </c>
      <c r="F202" t="s">
        <v>83</v>
      </c>
      <c r="G202" t="s">
        <v>547</v>
      </c>
      <c r="H202" t="str">
        <f>"94993"</f>
        <v>94993</v>
      </c>
      <c r="I202" t="s">
        <v>50</v>
      </c>
    </row>
    <row r="203" spans="1:10" x14ac:dyDescent="0.3">
      <c r="A203" t="str">
        <f>"29267609"</f>
        <v>29267609</v>
      </c>
      <c r="B203" t="s">
        <v>548</v>
      </c>
      <c r="C203" t="str">
        <f>"141"</f>
        <v>141</v>
      </c>
      <c r="D203" t="s">
        <v>112</v>
      </c>
      <c r="E203" t="s">
        <v>83</v>
      </c>
      <c r="F203" t="s">
        <v>83</v>
      </c>
      <c r="G203" t="s">
        <v>549</v>
      </c>
      <c r="H203" t="str">
        <f>"88"</f>
        <v>88</v>
      </c>
      <c r="I203" t="s">
        <v>154</v>
      </c>
      <c r="J203" t="s">
        <v>31</v>
      </c>
    </row>
    <row r="204" spans="1:10" x14ac:dyDescent="0.3">
      <c r="A204" t="str">
        <f>"04733371"</f>
        <v>04733371</v>
      </c>
      <c r="B204" t="s">
        <v>550</v>
      </c>
      <c r="C204" t="str">
        <f t="shared" ref="C204:C214" si="15">"706"</f>
        <v>706</v>
      </c>
      <c r="D204" t="s">
        <v>28</v>
      </c>
      <c r="E204" t="s">
        <v>23</v>
      </c>
      <c r="F204" t="s">
        <v>23</v>
      </c>
      <c r="G204" t="s">
        <v>279</v>
      </c>
      <c r="H204" t="str">
        <f>"9499"</f>
        <v>9499</v>
      </c>
      <c r="I204" t="s">
        <v>31</v>
      </c>
    </row>
    <row r="205" spans="1:10" x14ac:dyDescent="0.3">
      <c r="A205" t="str">
        <f>"26560011"</f>
        <v>26560011</v>
      </c>
      <c r="B205" t="s">
        <v>551</v>
      </c>
      <c r="C205" t="str">
        <f t="shared" si="15"/>
        <v>706</v>
      </c>
      <c r="D205" t="s">
        <v>28</v>
      </c>
      <c r="E205" t="s">
        <v>29</v>
      </c>
      <c r="F205" t="s">
        <v>38</v>
      </c>
      <c r="G205" t="s">
        <v>552</v>
      </c>
      <c r="H205" t="str">
        <f>"9499"</f>
        <v>9499</v>
      </c>
      <c r="I205" t="s">
        <v>31</v>
      </c>
    </row>
    <row r="206" spans="1:10" x14ac:dyDescent="0.3">
      <c r="A206" t="str">
        <f>"70278865"</f>
        <v>70278865</v>
      </c>
      <c r="B206" t="s">
        <v>553</v>
      </c>
      <c r="C206" t="str">
        <f t="shared" si="15"/>
        <v>706</v>
      </c>
      <c r="D206" t="s">
        <v>28</v>
      </c>
      <c r="E206" t="s">
        <v>23</v>
      </c>
      <c r="F206" t="s">
        <v>24</v>
      </c>
      <c r="G206" t="s">
        <v>554</v>
      </c>
      <c r="H206" t="str">
        <f>"931"</f>
        <v>931</v>
      </c>
      <c r="I206" t="s">
        <v>26</v>
      </c>
    </row>
    <row r="207" spans="1:10" x14ac:dyDescent="0.3">
      <c r="A207" t="str">
        <f>"09849513"</f>
        <v>09849513</v>
      </c>
      <c r="B207" t="s">
        <v>555</v>
      </c>
      <c r="C207" t="str">
        <f t="shared" si="15"/>
        <v>706</v>
      </c>
      <c r="D207" t="s">
        <v>28</v>
      </c>
      <c r="E207" t="s">
        <v>23</v>
      </c>
      <c r="F207" t="s">
        <v>23</v>
      </c>
      <c r="G207" t="s">
        <v>204</v>
      </c>
      <c r="H207" t="str">
        <f>"93190"</f>
        <v>93190</v>
      </c>
      <c r="I207" t="s">
        <v>59</v>
      </c>
    </row>
    <row r="208" spans="1:10" x14ac:dyDescent="0.3">
      <c r="A208" t="str">
        <f>"18189181"</f>
        <v>18189181</v>
      </c>
      <c r="B208" t="s">
        <v>556</v>
      </c>
      <c r="C208" t="str">
        <f t="shared" si="15"/>
        <v>706</v>
      </c>
      <c r="D208" t="s">
        <v>28</v>
      </c>
      <c r="E208" t="s">
        <v>83</v>
      </c>
      <c r="F208" t="s">
        <v>83</v>
      </c>
      <c r="G208" t="s">
        <v>557</v>
      </c>
      <c r="H208" t="str">
        <f>"93110"</f>
        <v>93110</v>
      </c>
      <c r="I208" t="s">
        <v>92</v>
      </c>
    </row>
    <row r="209" spans="1:12" x14ac:dyDescent="0.3">
      <c r="A209" t="str">
        <f>"00350834"</f>
        <v>00350834</v>
      </c>
      <c r="B209" t="s">
        <v>558</v>
      </c>
      <c r="C209" t="str">
        <f t="shared" si="15"/>
        <v>706</v>
      </c>
      <c r="D209" t="s">
        <v>28</v>
      </c>
      <c r="E209" t="s">
        <v>23</v>
      </c>
      <c r="F209" t="s">
        <v>23</v>
      </c>
      <c r="G209" t="s">
        <v>204</v>
      </c>
      <c r="H209" t="str">
        <f>"9311"</f>
        <v>9311</v>
      </c>
      <c r="I209" t="s">
        <v>92</v>
      </c>
    </row>
    <row r="210" spans="1:12" x14ac:dyDescent="0.3">
      <c r="A210" t="str">
        <f>"02057042"</f>
        <v>02057042</v>
      </c>
      <c r="B210" t="s">
        <v>559</v>
      </c>
      <c r="C210" t="str">
        <f t="shared" si="15"/>
        <v>706</v>
      </c>
      <c r="D210" t="s">
        <v>28</v>
      </c>
      <c r="E210" t="s">
        <v>83</v>
      </c>
      <c r="F210" t="s">
        <v>183</v>
      </c>
      <c r="G210" t="s">
        <v>560</v>
      </c>
      <c r="H210" t="str">
        <f>"93190"</f>
        <v>93190</v>
      </c>
      <c r="I210" t="s">
        <v>59</v>
      </c>
    </row>
    <row r="211" spans="1:12" x14ac:dyDescent="0.3">
      <c r="A211" t="str">
        <f>"22864580"</f>
        <v>22864580</v>
      </c>
      <c r="B211" t="s">
        <v>561</v>
      </c>
      <c r="C211" t="str">
        <f t="shared" si="15"/>
        <v>706</v>
      </c>
      <c r="D211" t="s">
        <v>28</v>
      </c>
      <c r="E211" t="s">
        <v>52</v>
      </c>
      <c r="F211" t="s">
        <v>52</v>
      </c>
      <c r="G211" t="s">
        <v>562</v>
      </c>
      <c r="H211" t="str">
        <f>"93120"</f>
        <v>93120</v>
      </c>
      <c r="I211" t="s">
        <v>54</v>
      </c>
    </row>
    <row r="212" spans="1:12" x14ac:dyDescent="0.3">
      <c r="A212" t="str">
        <f>"26623307"</f>
        <v>26623307</v>
      </c>
      <c r="B212" t="s">
        <v>563</v>
      </c>
      <c r="C212" t="str">
        <f t="shared" si="15"/>
        <v>706</v>
      </c>
      <c r="D212" t="s">
        <v>28</v>
      </c>
      <c r="E212" t="s">
        <v>23</v>
      </c>
      <c r="F212" t="s">
        <v>23</v>
      </c>
      <c r="G212" t="s">
        <v>564</v>
      </c>
      <c r="H212" t="str">
        <f>"9499"</f>
        <v>9499</v>
      </c>
      <c r="I212" t="s">
        <v>31</v>
      </c>
      <c r="J212" t="s">
        <v>146</v>
      </c>
    </row>
    <row r="213" spans="1:12" x14ac:dyDescent="0.3">
      <c r="A213" t="str">
        <f>"01425218"</f>
        <v>01425218</v>
      </c>
      <c r="B213" t="s">
        <v>565</v>
      </c>
      <c r="C213" t="str">
        <f t="shared" si="15"/>
        <v>706</v>
      </c>
      <c r="D213" t="s">
        <v>28</v>
      </c>
      <c r="E213" t="s">
        <v>83</v>
      </c>
      <c r="F213" t="s">
        <v>83</v>
      </c>
      <c r="G213" t="s">
        <v>566</v>
      </c>
      <c r="H213" t="str">
        <f>"93120"</f>
        <v>93120</v>
      </c>
      <c r="I213" t="s">
        <v>54</v>
      </c>
    </row>
    <row r="214" spans="1:12" x14ac:dyDescent="0.3">
      <c r="A214" t="str">
        <f>"26620057"</f>
        <v>26620057</v>
      </c>
      <c r="B214" t="s">
        <v>567</v>
      </c>
      <c r="C214" t="str">
        <f t="shared" si="15"/>
        <v>706</v>
      </c>
      <c r="D214" t="s">
        <v>28</v>
      </c>
      <c r="E214" t="s">
        <v>23</v>
      </c>
      <c r="F214" t="s">
        <v>107</v>
      </c>
      <c r="G214" t="s">
        <v>568</v>
      </c>
      <c r="H214" t="str">
        <f>"93120"</f>
        <v>93120</v>
      </c>
      <c r="I214" t="s">
        <v>54</v>
      </c>
    </row>
    <row r="215" spans="1:12" x14ac:dyDescent="0.3">
      <c r="A215" t="str">
        <f>"04292014"</f>
        <v>04292014</v>
      </c>
      <c r="B215" t="s">
        <v>569</v>
      </c>
      <c r="C215" t="str">
        <f>"736"</f>
        <v>736</v>
      </c>
      <c r="D215" t="s">
        <v>22</v>
      </c>
      <c r="E215" t="s">
        <v>52</v>
      </c>
      <c r="F215" t="s">
        <v>113</v>
      </c>
      <c r="G215" t="s">
        <v>570</v>
      </c>
      <c r="H215" t="str">
        <f>"94996"</f>
        <v>94996</v>
      </c>
      <c r="I215" t="s">
        <v>47</v>
      </c>
    </row>
    <row r="216" spans="1:12" x14ac:dyDescent="0.3">
      <c r="A216" t="str">
        <f>"22878459"</f>
        <v>22878459</v>
      </c>
      <c r="B216" t="s">
        <v>571</v>
      </c>
      <c r="C216" t="str">
        <f>"706"</f>
        <v>706</v>
      </c>
      <c r="D216" t="s">
        <v>28</v>
      </c>
      <c r="E216" t="s">
        <v>52</v>
      </c>
      <c r="F216" t="s">
        <v>113</v>
      </c>
      <c r="G216" t="s">
        <v>572</v>
      </c>
      <c r="H216" t="str">
        <f>"9499"</f>
        <v>9499</v>
      </c>
      <c r="I216" t="s">
        <v>31</v>
      </c>
    </row>
    <row r="217" spans="1:12" x14ac:dyDescent="0.3">
      <c r="A217" t="str">
        <f>"27014509"</f>
        <v>27014509</v>
      </c>
      <c r="B217" t="s">
        <v>573</v>
      </c>
      <c r="C217" t="str">
        <f>"706"</f>
        <v>706</v>
      </c>
      <c r="D217" t="s">
        <v>28</v>
      </c>
      <c r="E217" t="s">
        <v>29</v>
      </c>
      <c r="F217" t="s">
        <v>574</v>
      </c>
      <c r="G217" t="s">
        <v>575</v>
      </c>
      <c r="H217" t="str">
        <f>"9499"</f>
        <v>9499</v>
      </c>
      <c r="I217" t="s">
        <v>31</v>
      </c>
    </row>
    <row r="218" spans="1:12" x14ac:dyDescent="0.3">
      <c r="A218" t="str">
        <f>"71226133"</f>
        <v>71226133</v>
      </c>
      <c r="B218" t="s">
        <v>576</v>
      </c>
      <c r="C218" t="str">
        <f t="shared" ref="C218:C230" si="16">"736"</f>
        <v>736</v>
      </c>
      <c r="D218" t="s">
        <v>22</v>
      </c>
      <c r="E218" t="s">
        <v>23</v>
      </c>
      <c r="F218" t="s">
        <v>459</v>
      </c>
      <c r="G218" t="s">
        <v>577</v>
      </c>
      <c r="H218" t="str">
        <f>"93120"</f>
        <v>93120</v>
      </c>
      <c r="I218" t="s">
        <v>54</v>
      </c>
    </row>
    <row r="219" spans="1:12" x14ac:dyDescent="0.3">
      <c r="A219" t="str">
        <f>"00530417"</f>
        <v>00530417</v>
      </c>
      <c r="B219" t="s">
        <v>578</v>
      </c>
      <c r="C219" t="str">
        <f t="shared" si="16"/>
        <v>736</v>
      </c>
      <c r="D219" t="s">
        <v>22</v>
      </c>
      <c r="E219" t="s">
        <v>23</v>
      </c>
      <c r="F219" t="s">
        <v>23</v>
      </c>
      <c r="G219" t="s">
        <v>579</v>
      </c>
      <c r="H219" t="str">
        <f>"94993"</f>
        <v>94993</v>
      </c>
      <c r="I219" t="s">
        <v>50</v>
      </c>
    </row>
    <row r="220" spans="1:12" x14ac:dyDescent="0.3">
      <c r="A220" t="str">
        <f>"68689934"</f>
        <v>68689934</v>
      </c>
      <c r="B220" t="s">
        <v>580</v>
      </c>
      <c r="C220" t="str">
        <f t="shared" si="16"/>
        <v>736</v>
      </c>
      <c r="D220" t="s">
        <v>22</v>
      </c>
      <c r="E220" t="s">
        <v>23</v>
      </c>
      <c r="F220" t="s">
        <v>23</v>
      </c>
      <c r="G220" t="s">
        <v>581</v>
      </c>
      <c r="H220" t="str">
        <f>"93120"</f>
        <v>93120</v>
      </c>
      <c r="I220" t="s">
        <v>54</v>
      </c>
    </row>
    <row r="221" spans="1:12" x14ac:dyDescent="0.3">
      <c r="A221" t="str">
        <f>"00533742"</f>
        <v>00533742</v>
      </c>
      <c r="B221" t="s">
        <v>582</v>
      </c>
      <c r="C221" t="str">
        <f t="shared" si="16"/>
        <v>736</v>
      </c>
      <c r="D221" t="s">
        <v>22</v>
      </c>
      <c r="E221" t="s">
        <v>29</v>
      </c>
      <c r="F221" t="s">
        <v>38</v>
      </c>
      <c r="G221" t="s">
        <v>583</v>
      </c>
      <c r="H221" t="str">
        <f>"94993"</f>
        <v>94993</v>
      </c>
      <c r="I221" t="s">
        <v>50</v>
      </c>
      <c r="J221" t="s">
        <v>584</v>
      </c>
      <c r="K221" t="s">
        <v>161</v>
      </c>
      <c r="L221" t="s">
        <v>54</v>
      </c>
    </row>
    <row r="222" spans="1:12" x14ac:dyDescent="0.3">
      <c r="A222" t="str">
        <f>"65765567"</f>
        <v>65765567</v>
      </c>
      <c r="B222" t="s">
        <v>585</v>
      </c>
      <c r="C222" t="str">
        <f t="shared" si="16"/>
        <v>736</v>
      </c>
      <c r="D222" t="s">
        <v>22</v>
      </c>
      <c r="E222" t="s">
        <v>23</v>
      </c>
      <c r="F222" t="s">
        <v>245</v>
      </c>
      <c r="G222" t="s">
        <v>586</v>
      </c>
      <c r="H222" t="str">
        <f>"9499"</f>
        <v>9499</v>
      </c>
      <c r="I222" t="s">
        <v>31</v>
      </c>
    </row>
    <row r="223" spans="1:12" x14ac:dyDescent="0.3">
      <c r="A223" t="str">
        <f>"67022898"</f>
        <v>67022898</v>
      </c>
      <c r="B223" t="s">
        <v>587</v>
      </c>
      <c r="C223" t="str">
        <f t="shared" si="16"/>
        <v>736</v>
      </c>
      <c r="D223" t="s">
        <v>22</v>
      </c>
      <c r="E223" t="s">
        <v>23</v>
      </c>
      <c r="F223" t="s">
        <v>459</v>
      </c>
      <c r="G223" t="s">
        <v>588</v>
      </c>
      <c r="H223" t="str">
        <f>"9499"</f>
        <v>9499</v>
      </c>
      <c r="I223" t="s">
        <v>31</v>
      </c>
    </row>
    <row r="224" spans="1:12" x14ac:dyDescent="0.3">
      <c r="A224" t="str">
        <f>"65792483"</f>
        <v>65792483</v>
      </c>
      <c r="B224" t="s">
        <v>589</v>
      </c>
      <c r="C224" t="str">
        <f t="shared" si="16"/>
        <v>736</v>
      </c>
      <c r="D224" t="s">
        <v>22</v>
      </c>
      <c r="E224" t="s">
        <v>23</v>
      </c>
      <c r="F224" t="s">
        <v>23</v>
      </c>
      <c r="G224" t="s">
        <v>590</v>
      </c>
      <c r="H224" t="str">
        <f>"9499"</f>
        <v>9499</v>
      </c>
      <c r="I224" t="s">
        <v>31</v>
      </c>
    </row>
    <row r="225" spans="1:11" x14ac:dyDescent="0.3">
      <c r="A225" t="str">
        <f>"70915989"</f>
        <v>70915989</v>
      </c>
      <c r="B225" t="s">
        <v>591</v>
      </c>
      <c r="C225" t="str">
        <f t="shared" si="16"/>
        <v>736</v>
      </c>
      <c r="D225" t="s">
        <v>22</v>
      </c>
      <c r="E225" t="s">
        <v>23</v>
      </c>
      <c r="F225" t="s">
        <v>23</v>
      </c>
      <c r="G225" t="s">
        <v>592</v>
      </c>
      <c r="H225" t="str">
        <f>"93120"</f>
        <v>93120</v>
      </c>
      <c r="I225" t="s">
        <v>54</v>
      </c>
    </row>
    <row r="226" spans="1:11" x14ac:dyDescent="0.3">
      <c r="A226" t="str">
        <f>"65822412"</f>
        <v>65822412</v>
      </c>
      <c r="B226" t="s">
        <v>593</v>
      </c>
      <c r="C226" t="str">
        <f t="shared" si="16"/>
        <v>736</v>
      </c>
      <c r="D226" t="s">
        <v>22</v>
      </c>
      <c r="E226" t="s">
        <v>23</v>
      </c>
      <c r="F226" t="s">
        <v>23</v>
      </c>
      <c r="G226" t="s">
        <v>594</v>
      </c>
      <c r="H226" t="str">
        <f>"9499"</f>
        <v>9499</v>
      </c>
      <c r="I226" t="s">
        <v>31</v>
      </c>
      <c r="J226" t="s">
        <v>159</v>
      </c>
      <c r="K226" t="s">
        <v>595</v>
      </c>
    </row>
    <row r="227" spans="1:11" x14ac:dyDescent="0.3">
      <c r="A227" t="str">
        <f>"65822781"</f>
        <v>65822781</v>
      </c>
      <c r="B227" t="s">
        <v>596</v>
      </c>
      <c r="C227" t="str">
        <f t="shared" si="16"/>
        <v>736</v>
      </c>
      <c r="D227" t="s">
        <v>22</v>
      </c>
      <c r="E227" t="s">
        <v>23</v>
      </c>
      <c r="F227" t="s">
        <v>23</v>
      </c>
      <c r="G227" t="s">
        <v>597</v>
      </c>
      <c r="H227" t="str">
        <f>"9499"</f>
        <v>9499</v>
      </c>
      <c r="I227" t="s">
        <v>31</v>
      </c>
      <c r="J227" t="s">
        <v>598</v>
      </c>
    </row>
    <row r="228" spans="1:11" x14ac:dyDescent="0.3">
      <c r="A228" t="str">
        <f>"70895414"</f>
        <v>70895414</v>
      </c>
      <c r="B228" t="s">
        <v>600</v>
      </c>
      <c r="C228" t="str">
        <f t="shared" si="16"/>
        <v>736</v>
      </c>
      <c r="D228" t="s">
        <v>22</v>
      </c>
      <c r="E228" t="s">
        <v>23</v>
      </c>
      <c r="F228" t="s">
        <v>23</v>
      </c>
      <c r="G228" t="s">
        <v>601</v>
      </c>
      <c r="H228" t="str">
        <f>"93120"</f>
        <v>93120</v>
      </c>
      <c r="I228" t="s">
        <v>54</v>
      </c>
    </row>
    <row r="229" spans="1:11" x14ac:dyDescent="0.3">
      <c r="A229" t="str">
        <f>"65823486"</f>
        <v>65823486</v>
      </c>
      <c r="B229" t="s">
        <v>603</v>
      </c>
      <c r="C229" t="str">
        <f t="shared" si="16"/>
        <v>736</v>
      </c>
      <c r="D229" t="s">
        <v>22</v>
      </c>
      <c r="E229" t="s">
        <v>23</v>
      </c>
      <c r="F229" t="s">
        <v>23</v>
      </c>
      <c r="G229" t="s">
        <v>604</v>
      </c>
      <c r="H229" t="str">
        <f>"9499"</f>
        <v>9499</v>
      </c>
      <c r="I229" t="s">
        <v>31</v>
      </c>
      <c r="J229" t="s">
        <v>598</v>
      </c>
    </row>
    <row r="230" spans="1:11" x14ac:dyDescent="0.3">
      <c r="A230" t="str">
        <f>"65822846"</f>
        <v>65822846</v>
      </c>
      <c r="B230" t="s">
        <v>605</v>
      </c>
      <c r="C230" t="str">
        <f t="shared" si="16"/>
        <v>736</v>
      </c>
      <c r="D230" t="s">
        <v>22</v>
      </c>
      <c r="E230" t="s">
        <v>23</v>
      </c>
      <c r="F230" t="s">
        <v>245</v>
      </c>
      <c r="G230" t="s">
        <v>606</v>
      </c>
      <c r="H230" t="str">
        <f>"9499"</f>
        <v>9499</v>
      </c>
      <c r="I230" t="s">
        <v>31</v>
      </c>
    </row>
    <row r="231" spans="1:11" x14ac:dyDescent="0.3">
      <c r="A231" t="str">
        <f>"18055362"</f>
        <v>18055362</v>
      </c>
      <c r="B231" t="s">
        <v>608</v>
      </c>
      <c r="C231" t="str">
        <f>"706"</f>
        <v>706</v>
      </c>
      <c r="D231" t="s">
        <v>28</v>
      </c>
      <c r="E231" t="s">
        <v>29</v>
      </c>
      <c r="F231" t="s">
        <v>29</v>
      </c>
      <c r="G231" t="s">
        <v>609</v>
      </c>
      <c r="H231" t="str">
        <f>"8553"</f>
        <v>8553</v>
      </c>
      <c r="I231" t="s">
        <v>610</v>
      </c>
    </row>
    <row r="232" spans="1:11" x14ac:dyDescent="0.3">
      <c r="A232" t="str">
        <f>"21633002"</f>
        <v>21633002</v>
      </c>
      <c r="B232" t="s">
        <v>611</v>
      </c>
      <c r="C232" t="str">
        <f>"706"</f>
        <v>706</v>
      </c>
      <c r="D232" t="s">
        <v>28</v>
      </c>
      <c r="E232" t="s">
        <v>52</v>
      </c>
      <c r="F232" t="s">
        <v>612</v>
      </c>
      <c r="G232" t="s">
        <v>613</v>
      </c>
      <c r="H232" t="str">
        <f>"94993"</f>
        <v>94993</v>
      </c>
      <c r="I232" t="s">
        <v>50</v>
      </c>
    </row>
    <row r="233" spans="1:11" x14ac:dyDescent="0.3">
      <c r="A233" t="str">
        <f>"63414783"</f>
        <v>63414783</v>
      </c>
      <c r="B233" t="s">
        <v>614</v>
      </c>
      <c r="C233" t="str">
        <f>"736"</f>
        <v>736</v>
      </c>
      <c r="D233" t="s">
        <v>22</v>
      </c>
      <c r="E233" t="s">
        <v>83</v>
      </c>
      <c r="F233" t="s">
        <v>175</v>
      </c>
      <c r="G233" t="s">
        <v>615</v>
      </c>
      <c r="H233" t="str">
        <f>"93120"</f>
        <v>93120</v>
      </c>
      <c r="I233" t="s">
        <v>54</v>
      </c>
    </row>
    <row r="234" spans="1:11" x14ac:dyDescent="0.3">
      <c r="A234" t="str">
        <f>"47930578"</f>
        <v>47930578</v>
      </c>
      <c r="B234" t="s">
        <v>616</v>
      </c>
      <c r="C234" t="str">
        <f>"706"</f>
        <v>706</v>
      </c>
      <c r="D234" t="s">
        <v>28</v>
      </c>
      <c r="E234" t="s">
        <v>83</v>
      </c>
      <c r="F234" t="s">
        <v>480</v>
      </c>
      <c r="G234" t="s">
        <v>617</v>
      </c>
      <c r="H234" t="str">
        <f>"9499"</f>
        <v>9499</v>
      </c>
      <c r="I234" t="s">
        <v>31</v>
      </c>
    </row>
    <row r="235" spans="1:11" x14ac:dyDescent="0.3">
      <c r="A235" t="str">
        <f>"65891058"</f>
        <v>65891058</v>
      </c>
      <c r="B235" t="s">
        <v>618</v>
      </c>
      <c r="C235" t="str">
        <f t="shared" ref="C235:C244" si="17">"736"</f>
        <v>736</v>
      </c>
      <c r="D235" t="s">
        <v>22</v>
      </c>
      <c r="E235" t="s">
        <v>29</v>
      </c>
      <c r="F235" t="s">
        <v>195</v>
      </c>
      <c r="G235" t="s">
        <v>619</v>
      </c>
      <c r="H235" t="str">
        <f>"9499"</f>
        <v>9499</v>
      </c>
      <c r="I235" t="s">
        <v>31</v>
      </c>
    </row>
    <row r="236" spans="1:11" x14ac:dyDescent="0.3">
      <c r="A236" t="str">
        <f>"48473383"</f>
        <v>48473383</v>
      </c>
      <c r="B236" t="s">
        <v>620</v>
      </c>
      <c r="C236" t="str">
        <f t="shared" si="17"/>
        <v>736</v>
      </c>
      <c r="D236" t="s">
        <v>22</v>
      </c>
      <c r="E236" t="s">
        <v>23</v>
      </c>
      <c r="F236" t="s">
        <v>459</v>
      </c>
      <c r="G236" t="s">
        <v>621</v>
      </c>
      <c r="H236" t="str">
        <f>"9499"</f>
        <v>9499</v>
      </c>
      <c r="I236" t="s">
        <v>31</v>
      </c>
      <c r="J236" t="s">
        <v>622</v>
      </c>
    </row>
    <row r="237" spans="1:11" x14ac:dyDescent="0.3">
      <c r="A237" t="str">
        <f>"47934433"</f>
        <v>47934433</v>
      </c>
      <c r="B237" t="s">
        <v>623</v>
      </c>
      <c r="C237" t="str">
        <f t="shared" si="17"/>
        <v>736</v>
      </c>
      <c r="D237" t="s">
        <v>22</v>
      </c>
      <c r="E237" t="s">
        <v>83</v>
      </c>
      <c r="F237" t="s">
        <v>183</v>
      </c>
      <c r="G237" t="s">
        <v>624</v>
      </c>
      <c r="H237" t="str">
        <f>"94993"</f>
        <v>94993</v>
      </c>
      <c r="I237" t="s">
        <v>50</v>
      </c>
    </row>
    <row r="238" spans="1:11" x14ac:dyDescent="0.3">
      <c r="A238" t="str">
        <f>"47934794"</f>
        <v>47934794</v>
      </c>
      <c r="B238" t="s">
        <v>625</v>
      </c>
      <c r="C238" t="str">
        <f t="shared" si="17"/>
        <v>736</v>
      </c>
      <c r="D238" t="s">
        <v>22</v>
      </c>
      <c r="E238" t="s">
        <v>83</v>
      </c>
      <c r="F238" t="s">
        <v>130</v>
      </c>
      <c r="G238" t="s">
        <v>626</v>
      </c>
      <c r="H238" t="str">
        <f>"94993"</f>
        <v>94993</v>
      </c>
      <c r="I238" t="s">
        <v>50</v>
      </c>
    </row>
    <row r="239" spans="1:11" x14ac:dyDescent="0.3">
      <c r="A239" t="str">
        <f>"00542725"</f>
        <v>00542725</v>
      </c>
      <c r="B239" t="s">
        <v>628</v>
      </c>
      <c r="C239" t="str">
        <f t="shared" si="17"/>
        <v>736</v>
      </c>
      <c r="D239" t="s">
        <v>22</v>
      </c>
      <c r="E239" t="s">
        <v>52</v>
      </c>
      <c r="F239" t="s">
        <v>379</v>
      </c>
      <c r="G239" t="s">
        <v>629</v>
      </c>
      <c r="H239" t="str">
        <f>"94993"</f>
        <v>94993</v>
      </c>
      <c r="I239" t="s">
        <v>50</v>
      </c>
    </row>
    <row r="240" spans="1:11" x14ac:dyDescent="0.3">
      <c r="A240" t="str">
        <f>"62831950"</f>
        <v>62831950</v>
      </c>
      <c r="B240" t="s">
        <v>630</v>
      </c>
      <c r="C240" t="str">
        <f t="shared" si="17"/>
        <v>736</v>
      </c>
      <c r="D240" t="s">
        <v>22</v>
      </c>
      <c r="E240" t="s">
        <v>52</v>
      </c>
      <c r="F240" t="s">
        <v>631</v>
      </c>
      <c r="G240" t="s">
        <v>632</v>
      </c>
      <c r="H240" t="str">
        <f>"94993"</f>
        <v>94993</v>
      </c>
      <c r="I240" t="s">
        <v>50</v>
      </c>
    </row>
    <row r="241" spans="1:14" x14ac:dyDescent="0.3">
      <c r="A241" t="str">
        <f>"00494721"</f>
        <v>00494721</v>
      </c>
      <c r="B241" t="s">
        <v>633</v>
      </c>
      <c r="C241" t="str">
        <f t="shared" si="17"/>
        <v>736</v>
      </c>
      <c r="D241" t="s">
        <v>22</v>
      </c>
      <c r="E241" t="s">
        <v>29</v>
      </c>
      <c r="F241" t="s">
        <v>195</v>
      </c>
      <c r="G241" t="s">
        <v>634</v>
      </c>
      <c r="H241" t="str">
        <f>"9499"</f>
        <v>9499</v>
      </c>
      <c r="I241" t="s">
        <v>31</v>
      </c>
    </row>
    <row r="242" spans="1:14" x14ac:dyDescent="0.3">
      <c r="A242" t="str">
        <f>"65469372"</f>
        <v>65469372</v>
      </c>
      <c r="B242" t="s">
        <v>635</v>
      </c>
      <c r="C242" t="str">
        <f t="shared" si="17"/>
        <v>736</v>
      </c>
      <c r="D242" t="s">
        <v>22</v>
      </c>
      <c r="E242" t="s">
        <v>29</v>
      </c>
      <c r="F242" t="s">
        <v>29</v>
      </c>
      <c r="G242" t="s">
        <v>627</v>
      </c>
      <c r="H242" t="str">
        <f>"94993"</f>
        <v>94993</v>
      </c>
      <c r="I242" t="s">
        <v>50</v>
      </c>
      <c r="J242" t="s">
        <v>598</v>
      </c>
      <c r="K242" t="s">
        <v>59</v>
      </c>
    </row>
    <row r="243" spans="1:14" x14ac:dyDescent="0.3">
      <c r="A243" t="str">
        <f>"00545708"</f>
        <v>00545708</v>
      </c>
      <c r="B243" t="s">
        <v>636</v>
      </c>
      <c r="C243" t="str">
        <f t="shared" si="17"/>
        <v>736</v>
      </c>
      <c r="D243" t="s">
        <v>22</v>
      </c>
      <c r="E243" t="s">
        <v>23</v>
      </c>
      <c r="F243" t="s">
        <v>23</v>
      </c>
      <c r="G243" t="s">
        <v>637</v>
      </c>
      <c r="H243" t="str">
        <f>"9499"</f>
        <v>9499</v>
      </c>
      <c r="I243" t="s">
        <v>31</v>
      </c>
    </row>
    <row r="244" spans="1:14" x14ac:dyDescent="0.3">
      <c r="A244" t="str">
        <f>"71737677"</f>
        <v>71737677</v>
      </c>
      <c r="B244" t="s">
        <v>638</v>
      </c>
      <c r="C244" t="str">
        <f t="shared" si="17"/>
        <v>736</v>
      </c>
      <c r="D244" t="s">
        <v>22</v>
      </c>
      <c r="E244" t="s">
        <v>29</v>
      </c>
      <c r="F244" t="s">
        <v>250</v>
      </c>
      <c r="G244" t="s">
        <v>639</v>
      </c>
      <c r="H244" t="str">
        <f>"94993"</f>
        <v>94993</v>
      </c>
      <c r="I244" t="s">
        <v>50</v>
      </c>
    </row>
    <row r="245" spans="1:14" x14ac:dyDescent="0.3">
      <c r="A245" t="str">
        <f>"26518724"</f>
        <v>26518724</v>
      </c>
      <c r="B245" t="s">
        <v>640</v>
      </c>
      <c r="C245" t="str">
        <f>"706"</f>
        <v>706</v>
      </c>
      <c r="D245" t="s">
        <v>28</v>
      </c>
      <c r="E245" t="s">
        <v>52</v>
      </c>
      <c r="F245" t="s">
        <v>73</v>
      </c>
      <c r="G245" t="s">
        <v>641</v>
      </c>
      <c r="H245" t="str">
        <f>"9499"</f>
        <v>9499</v>
      </c>
      <c r="I245" t="s">
        <v>31</v>
      </c>
    </row>
    <row r="246" spans="1:14" x14ac:dyDescent="0.3">
      <c r="A246" t="str">
        <f>"15531406"</f>
        <v>15531406</v>
      </c>
      <c r="B246" t="s">
        <v>642</v>
      </c>
      <c r="C246" t="str">
        <f>"736"</f>
        <v>736</v>
      </c>
      <c r="D246" t="s">
        <v>22</v>
      </c>
      <c r="E246" t="s">
        <v>23</v>
      </c>
      <c r="F246" t="s">
        <v>23</v>
      </c>
      <c r="G246" t="s">
        <v>643</v>
      </c>
      <c r="H246" t="str">
        <f>"93110"</f>
        <v>93110</v>
      </c>
      <c r="I246" t="s">
        <v>92</v>
      </c>
    </row>
    <row r="247" spans="1:14" x14ac:dyDescent="0.3">
      <c r="A247" t="str">
        <f>"46254510"</f>
        <v>46254510</v>
      </c>
      <c r="B247" t="s">
        <v>644</v>
      </c>
      <c r="C247" t="str">
        <f>"736"</f>
        <v>736</v>
      </c>
      <c r="D247" t="s">
        <v>22</v>
      </c>
      <c r="E247" t="s">
        <v>52</v>
      </c>
      <c r="F247" t="s">
        <v>645</v>
      </c>
      <c r="G247" t="s">
        <v>646</v>
      </c>
      <c r="H247" t="str">
        <f>"94993"</f>
        <v>94993</v>
      </c>
      <c r="I247" t="s">
        <v>50</v>
      </c>
    </row>
    <row r="248" spans="1:14" x14ac:dyDescent="0.3">
      <c r="A248" t="str">
        <f>"62831551"</f>
        <v>62831551</v>
      </c>
      <c r="B248" t="s">
        <v>647</v>
      </c>
      <c r="C248" t="str">
        <f>"706"</f>
        <v>706</v>
      </c>
      <c r="D248" t="s">
        <v>28</v>
      </c>
      <c r="E248" t="s">
        <v>52</v>
      </c>
      <c r="F248" t="s">
        <v>52</v>
      </c>
      <c r="G248" t="s">
        <v>648</v>
      </c>
      <c r="H248" t="str">
        <f>"931"</f>
        <v>931</v>
      </c>
      <c r="I248" t="s">
        <v>26</v>
      </c>
    </row>
    <row r="249" spans="1:14" x14ac:dyDescent="0.3">
      <c r="A249" t="str">
        <f>"00561622"</f>
        <v>00561622</v>
      </c>
      <c r="B249" t="s">
        <v>649</v>
      </c>
      <c r="C249" t="str">
        <f>"736"</f>
        <v>736</v>
      </c>
      <c r="D249" t="s">
        <v>22</v>
      </c>
      <c r="E249" t="s">
        <v>83</v>
      </c>
      <c r="F249" t="s">
        <v>650</v>
      </c>
      <c r="G249" t="s">
        <v>651</v>
      </c>
      <c r="H249" t="str">
        <f>"94993"</f>
        <v>94993</v>
      </c>
      <c r="I249" t="s">
        <v>50</v>
      </c>
    </row>
    <row r="250" spans="1:14" x14ac:dyDescent="0.3">
      <c r="A250" t="str">
        <f>"02083825"</f>
        <v>02083825</v>
      </c>
      <c r="B250" t="s">
        <v>652</v>
      </c>
      <c r="C250" t="str">
        <f>"141"</f>
        <v>141</v>
      </c>
      <c r="D250" t="s">
        <v>112</v>
      </c>
      <c r="E250" t="s">
        <v>29</v>
      </c>
      <c r="F250" t="s">
        <v>653</v>
      </c>
      <c r="G250" t="s">
        <v>654</v>
      </c>
      <c r="H250" t="str">
        <f>"8899"</f>
        <v>8899</v>
      </c>
      <c r="I250" t="s">
        <v>40</v>
      </c>
      <c r="J250" t="s">
        <v>156</v>
      </c>
      <c r="K250" t="s">
        <v>655</v>
      </c>
    </row>
    <row r="251" spans="1:14" x14ac:dyDescent="0.3">
      <c r="A251" t="str">
        <f>"22748351"</f>
        <v>22748351</v>
      </c>
      <c r="B251" t="s">
        <v>656</v>
      </c>
      <c r="C251" t="str">
        <f>"706"</f>
        <v>706</v>
      </c>
      <c r="D251" t="s">
        <v>28</v>
      </c>
      <c r="E251" t="s">
        <v>52</v>
      </c>
      <c r="F251" t="s">
        <v>379</v>
      </c>
      <c r="G251" t="s">
        <v>657</v>
      </c>
      <c r="H251" t="str">
        <f>"94996"</f>
        <v>94996</v>
      </c>
      <c r="I251" t="s">
        <v>47</v>
      </c>
    </row>
    <row r="252" spans="1:14" x14ac:dyDescent="0.3">
      <c r="A252" t="str">
        <f>"05342678"</f>
        <v>05342678</v>
      </c>
      <c r="B252" t="s">
        <v>658</v>
      </c>
      <c r="C252" t="str">
        <f>"706"</f>
        <v>706</v>
      </c>
      <c r="D252" t="s">
        <v>28</v>
      </c>
      <c r="E252" t="s">
        <v>52</v>
      </c>
      <c r="F252" t="s">
        <v>52</v>
      </c>
      <c r="G252" t="s">
        <v>659</v>
      </c>
      <c r="H252" t="str">
        <f>"9499"</f>
        <v>9499</v>
      </c>
      <c r="I252" t="s">
        <v>31</v>
      </c>
      <c r="J252" t="s">
        <v>258</v>
      </c>
      <c r="K252" t="s">
        <v>498</v>
      </c>
      <c r="L252" t="s">
        <v>160</v>
      </c>
      <c r="M252" t="s">
        <v>163</v>
      </c>
      <c r="N252" t="s">
        <v>148</v>
      </c>
    </row>
    <row r="253" spans="1:14" x14ac:dyDescent="0.3">
      <c r="A253" t="str">
        <f>"28340558"</f>
        <v>28340558</v>
      </c>
      <c r="B253" t="s">
        <v>660</v>
      </c>
      <c r="C253" t="str">
        <f>"141"</f>
        <v>141</v>
      </c>
      <c r="D253" t="s">
        <v>112</v>
      </c>
      <c r="E253" t="s">
        <v>23</v>
      </c>
      <c r="F253" t="s">
        <v>23</v>
      </c>
      <c r="G253" t="s">
        <v>661</v>
      </c>
      <c r="H253" t="str">
        <f>"9499"</f>
        <v>9499</v>
      </c>
      <c r="I253" t="s">
        <v>31</v>
      </c>
      <c r="J253" t="s">
        <v>40</v>
      </c>
      <c r="K253" t="s">
        <v>662</v>
      </c>
    </row>
    <row r="254" spans="1:14" x14ac:dyDescent="0.3">
      <c r="A254" t="str">
        <f>"22735305"</f>
        <v>22735305</v>
      </c>
      <c r="B254" t="s">
        <v>663</v>
      </c>
      <c r="C254" t="str">
        <f>"706"</f>
        <v>706</v>
      </c>
      <c r="D254" t="s">
        <v>28</v>
      </c>
      <c r="E254" t="s">
        <v>23</v>
      </c>
      <c r="F254" t="s">
        <v>23</v>
      </c>
      <c r="G254" t="s">
        <v>418</v>
      </c>
      <c r="H254" t="str">
        <f>"9499"</f>
        <v>9499</v>
      </c>
      <c r="I254" t="s">
        <v>31</v>
      </c>
    </row>
    <row r="255" spans="1:14" x14ac:dyDescent="0.3">
      <c r="A255" t="str">
        <f>"47997699"</f>
        <v>47997699</v>
      </c>
      <c r="B255" t="s">
        <v>664</v>
      </c>
      <c r="C255" t="str">
        <f t="shared" ref="C255:C270" si="18">"736"</f>
        <v>736</v>
      </c>
      <c r="D255" t="s">
        <v>22</v>
      </c>
      <c r="E255" t="s">
        <v>29</v>
      </c>
      <c r="F255" t="s">
        <v>390</v>
      </c>
      <c r="G255" t="s">
        <v>665</v>
      </c>
      <c r="H255" t="str">
        <f>"93110"</f>
        <v>93110</v>
      </c>
      <c r="I255" t="s">
        <v>92</v>
      </c>
    </row>
    <row r="256" spans="1:14" x14ac:dyDescent="0.3">
      <c r="A256" t="str">
        <f>"46256105"</f>
        <v>46256105</v>
      </c>
      <c r="B256" t="s">
        <v>666</v>
      </c>
      <c r="C256" t="str">
        <f t="shared" si="18"/>
        <v>736</v>
      </c>
      <c r="D256" t="s">
        <v>22</v>
      </c>
      <c r="E256" t="s">
        <v>52</v>
      </c>
      <c r="F256" t="s">
        <v>344</v>
      </c>
      <c r="G256" t="s">
        <v>667</v>
      </c>
      <c r="H256" t="str">
        <f>"93110"</f>
        <v>93110</v>
      </c>
      <c r="I256" t="s">
        <v>92</v>
      </c>
      <c r="J256" t="s">
        <v>668</v>
      </c>
    </row>
    <row r="257" spans="1:9" x14ac:dyDescent="0.3">
      <c r="A257" t="str">
        <f>"64123669"</f>
        <v>64123669</v>
      </c>
      <c r="B257" t="s">
        <v>669</v>
      </c>
      <c r="C257" t="str">
        <f t="shared" si="18"/>
        <v>736</v>
      </c>
      <c r="D257" t="s">
        <v>22</v>
      </c>
      <c r="E257" t="s">
        <v>29</v>
      </c>
      <c r="F257" t="s">
        <v>670</v>
      </c>
      <c r="G257" t="s">
        <v>671</v>
      </c>
      <c r="H257" t="str">
        <f>"93120"</f>
        <v>93120</v>
      </c>
      <c r="I257" t="s">
        <v>54</v>
      </c>
    </row>
    <row r="258" spans="1:9" x14ac:dyDescent="0.3">
      <c r="A258" t="str">
        <f>"60370424"</f>
        <v>60370424</v>
      </c>
      <c r="B258" t="s">
        <v>672</v>
      </c>
      <c r="C258" t="str">
        <f t="shared" si="18"/>
        <v>736</v>
      </c>
      <c r="D258" t="s">
        <v>22</v>
      </c>
      <c r="E258" t="s">
        <v>52</v>
      </c>
      <c r="F258" t="s">
        <v>673</v>
      </c>
      <c r="G258" t="s">
        <v>674</v>
      </c>
      <c r="H258" t="str">
        <f>"93110"</f>
        <v>93110</v>
      </c>
      <c r="I258" t="s">
        <v>92</v>
      </c>
    </row>
    <row r="259" spans="1:9" x14ac:dyDescent="0.3">
      <c r="A259" t="str">
        <f>"68898223"</f>
        <v>68898223</v>
      </c>
      <c r="B259" t="s">
        <v>675</v>
      </c>
      <c r="C259" t="str">
        <f t="shared" si="18"/>
        <v>736</v>
      </c>
      <c r="D259" t="s">
        <v>22</v>
      </c>
      <c r="E259" t="s">
        <v>29</v>
      </c>
      <c r="F259" t="s">
        <v>676</v>
      </c>
      <c r="G259" t="s">
        <v>677</v>
      </c>
      <c r="H259" t="str">
        <f t="shared" ref="H259:H264" si="19">"931"</f>
        <v>931</v>
      </c>
      <c r="I259" t="s">
        <v>26</v>
      </c>
    </row>
    <row r="260" spans="1:9" x14ac:dyDescent="0.3">
      <c r="A260" t="str">
        <f>"75059622"</f>
        <v>75059622</v>
      </c>
      <c r="B260" t="s">
        <v>679</v>
      </c>
      <c r="C260" t="str">
        <f t="shared" si="18"/>
        <v>736</v>
      </c>
      <c r="D260" t="s">
        <v>22</v>
      </c>
      <c r="E260" t="s">
        <v>23</v>
      </c>
      <c r="F260" t="s">
        <v>141</v>
      </c>
      <c r="G260" t="s">
        <v>680</v>
      </c>
      <c r="H260" t="str">
        <f t="shared" si="19"/>
        <v>931</v>
      </c>
      <c r="I260" t="s">
        <v>26</v>
      </c>
    </row>
    <row r="261" spans="1:9" x14ac:dyDescent="0.3">
      <c r="A261" t="str">
        <f>"05657032"</f>
        <v>05657032</v>
      </c>
      <c r="B261" t="s">
        <v>682</v>
      </c>
      <c r="C261" t="str">
        <f t="shared" si="18"/>
        <v>736</v>
      </c>
      <c r="D261" t="s">
        <v>22</v>
      </c>
      <c r="E261" t="s">
        <v>29</v>
      </c>
      <c r="F261" t="s">
        <v>45</v>
      </c>
      <c r="G261" t="s">
        <v>683</v>
      </c>
      <c r="H261" t="str">
        <f t="shared" si="19"/>
        <v>931</v>
      </c>
      <c r="I261" t="s">
        <v>26</v>
      </c>
    </row>
    <row r="262" spans="1:9" x14ac:dyDescent="0.3">
      <c r="A262" t="str">
        <f>"66184657"</f>
        <v>66184657</v>
      </c>
      <c r="B262" t="s">
        <v>684</v>
      </c>
      <c r="C262" t="str">
        <f t="shared" si="18"/>
        <v>736</v>
      </c>
      <c r="D262" t="s">
        <v>22</v>
      </c>
      <c r="E262" t="s">
        <v>29</v>
      </c>
      <c r="F262" t="s">
        <v>685</v>
      </c>
      <c r="G262" t="s">
        <v>686</v>
      </c>
      <c r="H262" t="str">
        <f t="shared" si="19"/>
        <v>931</v>
      </c>
      <c r="I262" t="s">
        <v>26</v>
      </c>
    </row>
    <row r="263" spans="1:9" x14ac:dyDescent="0.3">
      <c r="A263" t="str">
        <f>"62182986"</f>
        <v>62182986</v>
      </c>
      <c r="B263" t="s">
        <v>687</v>
      </c>
      <c r="C263" t="str">
        <f t="shared" si="18"/>
        <v>736</v>
      </c>
      <c r="D263" t="s">
        <v>22</v>
      </c>
      <c r="E263" t="s">
        <v>23</v>
      </c>
      <c r="F263" t="s">
        <v>688</v>
      </c>
      <c r="G263" t="s">
        <v>689</v>
      </c>
      <c r="H263" t="str">
        <f t="shared" si="19"/>
        <v>931</v>
      </c>
      <c r="I263" t="s">
        <v>26</v>
      </c>
    </row>
    <row r="264" spans="1:9" x14ac:dyDescent="0.3">
      <c r="A264" t="str">
        <f>"75150760"</f>
        <v>75150760</v>
      </c>
      <c r="B264" t="s">
        <v>690</v>
      </c>
      <c r="C264" t="str">
        <f t="shared" si="18"/>
        <v>736</v>
      </c>
      <c r="D264" t="s">
        <v>22</v>
      </c>
      <c r="E264" t="s">
        <v>23</v>
      </c>
      <c r="F264" t="s">
        <v>23</v>
      </c>
      <c r="G264" t="s">
        <v>691</v>
      </c>
      <c r="H264" t="str">
        <f t="shared" si="19"/>
        <v>931</v>
      </c>
      <c r="I264" t="s">
        <v>26</v>
      </c>
    </row>
    <row r="265" spans="1:9" x14ac:dyDescent="0.3">
      <c r="A265" t="str">
        <f>"47997800"</f>
        <v>47997800</v>
      </c>
      <c r="B265" t="s">
        <v>692</v>
      </c>
      <c r="C265" t="str">
        <f t="shared" si="18"/>
        <v>736</v>
      </c>
      <c r="D265" t="s">
        <v>22</v>
      </c>
      <c r="E265" t="s">
        <v>29</v>
      </c>
      <c r="F265" t="s">
        <v>544</v>
      </c>
      <c r="G265" t="s">
        <v>693</v>
      </c>
      <c r="H265" t="str">
        <f>"93110"</f>
        <v>93110</v>
      </c>
      <c r="I265" t="s">
        <v>92</v>
      </c>
    </row>
    <row r="266" spans="1:9" x14ac:dyDescent="0.3">
      <c r="A266" t="str">
        <f>"40995798"</f>
        <v>40995798</v>
      </c>
      <c r="B266" t="s">
        <v>694</v>
      </c>
      <c r="C266" t="str">
        <f t="shared" si="18"/>
        <v>736</v>
      </c>
      <c r="D266" t="s">
        <v>22</v>
      </c>
      <c r="E266" t="s">
        <v>23</v>
      </c>
      <c r="F266" t="s">
        <v>695</v>
      </c>
      <c r="G266" t="s">
        <v>696</v>
      </c>
      <c r="H266" t="str">
        <f>"931"</f>
        <v>931</v>
      </c>
      <c r="I266" t="s">
        <v>26</v>
      </c>
    </row>
    <row r="267" spans="1:9" x14ac:dyDescent="0.3">
      <c r="A267" t="str">
        <f>"22709070"</f>
        <v>22709070</v>
      </c>
      <c r="B267" t="s">
        <v>697</v>
      </c>
      <c r="C267" t="str">
        <f t="shared" si="18"/>
        <v>736</v>
      </c>
      <c r="D267" t="s">
        <v>22</v>
      </c>
      <c r="E267" t="s">
        <v>23</v>
      </c>
      <c r="F267" t="s">
        <v>68</v>
      </c>
      <c r="G267" t="s">
        <v>698</v>
      </c>
      <c r="H267" t="str">
        <f>"931"</f>
        <v>931</v>
      </c>
      <c r="I267" t="s">
        <v>26</v>
      </c>
    </row>
    <row r="268" spans="1:9" x14ac:dyDescent="0.3">
      <c r="A268" t="str">
        <f>"44004206"</f>
        <v>44004206</v>
      </c>
      <c r="B268" t="s">
        <v>699</v>
      </c>
      <c r="C268" t="str">
        <f t="shared" si="18"/>
        <v>736</v>
      </c>
      <c r="D268" t="s">
        <v>22</v>
      </c>
      <c r="E268" t="s">
        <v>23</v>
      </c>
      <c r="F268" t="s">
        <v>35</v>
      </c>
      <c r="G268" t="s">
        <v>700</v>
      </c>
      <c r="H268" t="str">
        <f>"931"</f>
        <v>931</v>
      </c>
      <c r="I268" t="s">
        <v>26</v>
      </c>
    </row>
    <row r="269" spans="1:9" x14ac:dyDescent="0.3">
      <c r="A269" t="str">
        <f>"75044765"</f>
        <v>75044765</v>
      </c>
      <c r="B269" t="s">
        <v>701</v>
      </c>
      <c r="C269" t="str">
        <f t="shared" si="18"/>
        <v>736</v>
      </c>
      <c r="D269" t="s">
        <v>22</v>
      </c>
      <c r="E269" t="s">
        <v>29</v>
      </c>
      <c r="F269" t="s">
        <v>702</v>
      </c>
      <c r="G269" t="s">
        <v>703</v>
      </c>
      <c r="H269" t="str">
        <f>"931"</f>
        <v>931</v>
      </c>
      <c r="I269" t="s">
        <v>26</v>
      </c>
    </row>
    <row r="270" spans="1:9" x14ac:dyDescent="0.3">
      <c r="A270" t="str">
        <f>"06641261"</f>
        <v>06641261</v>
      </c>
      <c r="B270" t="s">
        <v>704</v>
      </c>
      <c r="C270" t="str">
        <f t="shared" si="18"/>
        <v>736</v>
      </c>
      <c r="D270" t="s">
        <v>22</v>
      </c>
      <c r="E270" t="s">
        <v>29</v>
      </c>
      <c r="F270" t="s">
        <v>29</v>
      </c>
      <c r="G270" t="s">
        <v>705</v>
      </c>
      <c r="H270" t="str">
        <f>"931"</f>
        <v>931</v>
      </c>
      <c r="I270" t="s">
        <v>26</v>
      </c>
    </row>
    <row r="271" spans="1:9" x14ac:dyDescent="0.3">
      <c r="A271" t="str">
        <f>"26643669"</f>
        <v>26643669</v>
      </c>
      <c r="B271" t="s">
        <v>706</v>
      </c>
      <c r="C271" t="str">
        <f>"706"</f>
        <v>706</v>
      </c>
      <c r="D271" t="s">
        <v>28</v>
      </c>
      <c r="E271" t="s">
        <v>23</v>
      </c>
      <c r="F271" t="s">
        <v>23</v>
      </c>
      <c r="G271" t="s">
        <v>707</v>
      </c>
      <c r="H271" t="str">
        <f>"93110"</f>
        <v>93110</v>
      </c>
      <c r="I271" t="s">
        <v>92</v>
      </c>
    </row>
    <row r="272" spans="1:9" x14ac:dyDescent="0.3">
      <c r="A272" t="str">
        <f>"06113435"</f>
        <v>06113435</v>
      </c>
      <c r="B272" t="s">
        <v>708</v>
      </c>
      <c r="C272" t="str">
        <f>"706"</f>
        <v>706</v>
      </c>
      <c r="D272" t="s">
        <v>28</v>
      </c>
      <c r="E272" t="s">
        <v>83</v>
      </c>
      <c r="F272" t="s">
        <v>83</v>
      </c>
      <c r="G272" t="s">
        <v>373</v>
      </c>
      <c r="H272" t="str">
        <f>"9499"</f>
        <v>9499</v>
      </c>
      <c r="I272" t="s">
        <v>31</v>
      </c>
    </row>
    <row r="273" spans="1:13" x14ac:dyDescent="0.3">
      <c r="A273" t="str">
        <f>"22668179"</f>
        <v>22668179</v>
      </c>
      <c r="B273" t="s">
        <v>709</v>
      </c>
      <c r="C273" t="str">
        <f>"706"</f>
        <v>706</v>
      </c>
      <c r="D273" t="s">
        <v>28</v>
      </c>
      <c r="E273" t="s">
        <v>23</v>
      </c>
      <c r="F273" t="s">
        <v>710</v>
      </c>
      <c r="G273" t="s">
        <v>711</v>
      </c>
      <c r="H273" t="str">
        <f>"9499"</f>
        <v>9499</v>
      </c>
      <c r="I273" t="s">
        <v>31</v>
      </c>
    </row>
    <row r="274" spans="1:13" x14ac:dyDescent="0.3">
      <c r="A274" t="str">
        <f>"06127819"</f>
        <v>06127819</v>
      </c>
      <c r="B274" t="s">
        <v>712</v>
      </c>
      <c r="C274" t="str">
        <f>"706"</f>
        <v>706</v>
      </c>
      <c r="D274" t="s">
        <v>28</v>
      </c>
      <c r="E274" t="s">
        <v>23</v>
      </c>
      <c r="F274" t="s">
        <v>713</v>
      </c>
      <c r="G274" t="s">
        <v>714</v>
      </c>
      <c r="H274" t="str">
        <f>"9499"</f>
        <v>9499</v>
      </c>
      <c r="I274" t="s">
        <v>31</v>
      </c>
    </row>
    <row r="275" spans="1:13" x14ac:dyDescent="0.3">
      <c r="A275" t="str">
        <f>"25909614"</f>
        <v>25909614</v>
      </c>
      <c r="B275" t="s">
        <v>715</v>
      </c>
      <c r="C275" t="str">
        <f>"141"</f>
        <v>141</v>
      </c>
      <c r="D275" t="s">
        <v>112</v>
      </c>
      <c r="E275" t="s">
        <v>29</v>
      </c>
      <c r="F275" t="s">
        <v>29</v>
      </c>
      <c r="G275" t="s">
        <v>716</v>
      </c>
      <c r="H275" t="str">
        <f>"8899"</f>
        <v>8899</v>
      </c>
      <c r="I275" t="s">
        <v>40</v>
      </c>
    </row>
    <row r="276" spans="1:13" x14ac:dyDescent="0.3">
      <c r="A276" t="str">
        <f>"07316178"</f>
        <v>07316178</v>
      </c>
      <c r="B276" t="s">
        <v>717</v>
      </c>
      <c r="C276" t="str">
        <f t="shared" ref="C276:C321" si="20">"706"</f>
        <v>706</v>
      </c>
      <c r="D276" t="s">
        <v>28</v>
      </c>
      <c r="E276" t="s">
        <v>29</v>
      </c>
      <c r="F276" t="s">
        <v>718</v>
      </c>
      <c r="G276" t="s">
        <v>719</v>
      </c>
      <c r="H276" t="str">
        <f>"9499"</f>
        <v>9499</v>
      </c>
      <c r="I276" t="s">
        <v>31</v>
      </c>
    </row>
    <row r="277" spans="1:13" x14ac:dyDescent="0.3">
      <c r="A277" t="str">
        <f>"26561310"</f>
        <v>26561310</v>
      </c>
      <c r="B277" t="s">
        <v>720</v>
      </c>
      <c r="C277" t="str">
        <f t="shared" si="20"/>
        <v>706</v>
      </c>
      <c r="D277" t="s">
        <v>28</v>
      </c>
      <c r="E277" t="s">
        <v>23</v>
      </c>
      <c r="F277" t="s">
        <v>721</v>
      </c>
      <c r="G277" t="s">
        <v>722</v>
      </c>
      <c r="H277" t="str">
        <f>"9499"</f>
        <v>9499</v>
      </c>
      <c r="I277" t="s">
        <v>31</v>
      </c>
    </row>
    <row r="278" spans="1:13" x14ac:dyDescent="0.3">
      <c r="A278" t="str">
        <f>"22765841"</f>
        <v>22765841</v>
      </c>
      <c r="B278" t="s">
        <v>723</v>
      </c>
      <c r="C278" t="str">
        <f t="shared" si="20"/>
        <v>706</v>
      </c>
      <c r="D278" t="s">
        <v>28</v>
      </c>
      <c r="E278" t="s">
        <v>29</v>
      </c>
      <c r="F278" t="s">
        <v>29</v>
      </c>
      <c r="G278" t="s">
        <v>724</v>
      </c>
      <c r="H278" t="str">
        <f>"93190"</f>
        <v>93190</v>
      </c>
      <c r="I278" t="s">
        <v>59</v>
      </c>
    </row>
    <row r="279" spans="1:13" x14ac:dyDescent="0.3">
      <c r="A279" t="str">
        <f>"08725179"</f>
        <v>08725179</v>
      </c>
      <c r="B279" t="s">
        <v>725</v>
      </c>
      <c r="C279" t="str">
        <f t="shared" si="20"/>
        <v>706</v>
      </c>
      <c r="D279" t="s">
        <v>28</v>
      </c>
      <c r="E279" t="s">
        <v>29</v>
      </c>
      <c r="F279" t="s">
        <v>726</v>
      </c>
      <c r="G279" t="s">
        <v>727</v>
      </c>
      <c r="H279" t="str">
        <f>"93190"</f>
        <v>93190</v>
      </c>
      <c r="I279" t="s">
        <v>59</v>
      </c>
    </row>
    <row r="280" spans="1:13" x14ac:dyDescent="0.3">
      <c r="A280" t="str">
        <f>"22709746"</f>
        <v>22709746</v>
      </c>
      <c r="B280" t="s">
        <v>728</v>
      </c>
      <c r="C280" t="str">
        <f t="shared" si="20"/>
        <v>706</v>
      </c>
      <c r="D280" t="s">
        <v>28</v>
      </c>
      <c r="E280" t="s">
        <v>23</v>
      </c>
      <c r="F280" t="s">
        <v>23</v>
      </c>
      <c r="G280" t="s">
        <v>729</v>
      </c>
      <c r="H280" t="str">
        <f>"93120"</f>
        <v>93120</v>
      </c>
      <c r="I280" t="s">
        <v>54</v>
      </c>
    </row>
    <row r="281" spans="1:13" x14ac:dyDescent="0.3">
      <c r="A281" t="str">
        <f>"14322218"</f>
        <v>14322218</v>
      </c>
      <c r="B281" t="s">
        <v>730</v>
      </c>
      <c r="C281" t="str">
        <f t="shared" si="20"/>
        <v>706</v>
      </c>
      <c r="D281" t="s">
        <v>28</v>
      </c>
      <c r="E281" t="s">
        <v>83</v>
      </c>
      <c r="F281" t="s">
        <v>537</v>
      </c>
      <c r="G281" t="s">
        <v>731</v>
      </c>
      <c r="H281" t="str">
        <f>"93120"</f>
        <v>93120</v>
      </c>
      <c r="I281" t="s">
        <v>54</v>
      </c>
    </row>
    <row r="282" spans="1:13" x14ac:dyDescent="0.3">
      <c r="A282" t="str">
        <f>"23252073"</f>
        <v>23252073</v>
      </c>
      <c r="B282" t="s">
        <v>732</v>
      </c>
      <c r="C282" t="str">
        <f t="shared" si="20"/>
        <v>706</v>
      </c>
      <c r="D282" t="s">
        <v>28</v>
      </c>
      <c r="E282" t="s">
        <v>23</v>
      </c>
      <c r="F282" t="s">
        <v>688</v>
      </c>
      <c r="G282" t="s">
        <v>733</v>
      </c>
      <c r="H282" t="str">
        <f>"9499"</f>
        <v>9499</v>
      </c>
      <c r="I282" t="s">
        <v>31</v>
      </c>
    </row>
    <row r="283" spans="1:13" x14ac:dyDescent="0.3">
      <c r="A283" t="str">
        <f>"06833799"</f>
        <v>06833799</v>
      </c>
      <c r="B283" t="s">
        <v>734</v>
      </c>
      <c r="C283" t="str">
        <f t="shared" si="20"/>
        <v>706</v>
      </c>
      <c r="D283" t="s">
        <v>28</v>
      </c>
      <c r="E283" t="s">
        <v>83</v>
      </c>
      <c r="F283" t="s">
        <v>520</v>
      </c>
      <c r="G283" t="s">
        <v>735</v>
      </c>
      <c r="H283" t="str">
        <f>"9499"</f>
        <v>9499</v>
      </c>
      <c r="I283" t="s">
        <v>31</v>
      </c>
    </row>
    <row r="284" spans="1:13" x14ac:dyDescent="0.3">
      <c r="A284" t="str">
        <f>"05162467"</f>
        <v>05162467</v>
      </c>
      <c r="B284" t="s">
        <v>736</v>
      </c>
      <c r="C284" t="str">
        <f t="shared" si="20"/>
        <v>706</v>
      </c>
      <c r="D284" t="s">
        <v>28</v>
      </c>
      <c r="E284" t="s">
        <v>23</v>
      </c>
      <c r="F284" t="s">
        <v>23</v>
      </c>
      <c r="G284" t="s">
        <v>737</v>
      </c>
      <c r="H284" t="str">
        <f>"93190"</f>
        <v>93190</v>
      </c>
      <c r="I284" t="s">
        <v>59</v>
      </c>
    </row>
    <row r="285" spans="1:13" x14ac:dyDescent="0.3">
      <c r="A285" t="str">
        <f>"62830538"</f>
        <v>62830538</v>
      </c>
      <c r="B285" t="s">
        <v>738</v>
      </c>
      <c r="C285" t="str">
        <f t="shared" si="20"/>
        <v>706</v>
      </c>
      <c r="D285" t="s">
        <v>28</v>
      </c>
      <c r="E285" t="s">
        <v>52</v>
      </c>
      <c r="F285" t="s">
        <v>739</v>
      </c>
      <c r="G285" t="s">
        <v>740</v>
      </c>
      <c r="H285" t="str">
        <f>"93120"</f>
        <v>93120</v>
      </c>
      <c r="I285" t="s">
        <v>54</v>
      </c>
    </row>
    <row r="286" spans="1:13" x14ac:dyDescent="0.3">
      <c r="A286" t="str">
        <f>"26567580"</f>
        <v>26567580</v>
      </c>
      <c r="B286" t="s">
        <v>741</v>
      </c>
      <c r="C286" t="str">
        <f t="shared" si="20"/>
        <v>706</v>
      </c>
      <c r="D286" t="s">
        <v>28</v>
      </c>
      <c r="E286" t="s">
        <v>52</v>
      </c>
      <c r="F286" t="s">
        <v>113</v>
      </c>
      <c r="G286" t="s">
        <v>742</v>
      </c>
      <c r="H286" t="str">
        <f>"9499"</f>
        <v>9499</v>
      </c>
      <c r="I286" t="s">
        <v>31</v>
      </c>
    </row>
    <row r="287" spans="1:13" x14ac:dyDescent="0.3">
      <c r="A287" t="str">
        <f>"26562774"</f>
        <v>26562774</v>
      </c>
      <c r="B287" t="s">
        <v>743</v>
      </c>
      <c r="C287" t="str">
        <f t="shared" si="20"/>
        <v>706</v>
      </c>
      <c r="D287" t="s">
        <v>28</v>
      </c>
      <c r="E287" t="s">
        <v>23</v>
      </c>
      <c r="F287" t="s">
        <v>744</v>
      </c>
      <c r="G287" t="s">
        <v>745</v>
      </c>
      <c r="H287" t="str">
        <f>"9499"</f>
        <v>9499</v>
      </c>
      <c r="I287" t="s">
        <v>31</v>
      </c>
      <c r="J287" t="s">
        <v>259</v>
      </c>
      <c r="K287" t="s">
        <v>147</v>
      </c>
      <c r="L287" t="s">
        <v>146</v>
      </c>
      <c r="M287" t="s">
        <v>163</v>
      </c>
    </row>
    <row r="288" spans="1:13" x14ac:dyDescent="0.3">
      <c r="A288" t="str">
        <f>"22661603"</f>
        <v>22661603</v>
      </c>
      <c r="B288" t="s">
        <v>746</v>
      </c>
      <c r="C288" t="str">
        <f t="shared" si="20"/>
        <v>706</v>
      </c>
      <c r="D288" t="s">
        <v>28</v>
      </c>
      <c r="E288" t="s">
        <v>23</v>
      </c>
      <c r="F288" t="s">
        <v>24</v>
      </c>
      <c r="G288" t="s">
        <v>747</v>
      </c>
      <c r="H288" t="str">
        <f>"9499"</f>
        <v>9499</v>
      </c>
      <c r="I288" t="s">
        <v>31</v>
      </c>
    </row>
    <row r="289" spans="1:10" x14ac:dyDescent="0.3">
      <c r="A289" t="str">
        <f>"49156403"</f>
        <v>49156403</v>
      </c>
      <c r="B289" t="s">
        <v>748</v>
      </c>
      <c r="C289" t="str">
        <f t="shared" si="20"/>
        <v>706</v>
      </c>
      <c r="D289" t="s">
        <v>28</v>
      </c>
      <c r="E289" t="s">
        <v>23</v>
      </c>
      <c r="F289" t="s">
        <v>23</v>
      </c>
      <c r="G289" t="s">
        <v>418</v>
      </c>
      <c r="H289" t="str">
        <f>"9499"</f>
        <v>9499</v>
      </c>
      <c r="I289" t="s">
        <v>31</v>
      </c>
    </row>
    <row r="290" spans="1:10" x14ac:dyDescent="0.3">
      <c r="A290" t="str">
        <f>"22606106"</f>
        <v>22606106</v>
      </c>
      <c r="B290" t="s">
        <v>749</v>
      </c>
      <c r="C290" t="str">
        <f t="shared" si="20"/>
        <v>706</v>
      </c>
      <c r="D290" t="s">
        <v>28</v>
      </c>
      <c r="E290" t="s">
        <v>52</v>
      </c>
      <c r="F290" t="s">
        <v>52</v>
      </c>
      <c r="G290" t="s">
        <v>750</v>
      </c>
      <c r="H290" t="str">
        <f>"94991"</f>
        <v>94991</v>
      </c>
      <c r="I290" t="s">
        <v>433</v>
      </c>
    </row>
    <row r="291" spans="1:10" x14ac:dyDescent="0.3">
      <c r="A291" t="str">
        <f>"26558432"</f>
        <v>26558432</v>
      </c>
      <c r="B291" t="s">
        <v>751</v>
      </c>
      <c r="C291" t="str">
        <f t="shared" si="20"/>
        <v>706</v>
      </c>
      <c r="D291" t="s">
        <v>28</v>
      </c>
      <c r="E291" t="s">
        <v>23</v>
      </c>
      <c r="F291" t="s">
        <v>23</v>
      </c>
      <c r="G291" t="s">
        <v>752</v>
      </c>
      <c r="H291" t="str">
        <f>"9499"</f>
        <v>9499</v>
      </c>
      <c r="I291" t="s">
        <v>31</v>
      </c>
    </row>
    <row r="292" spans="1:10" x14ac:dyDescent="0.3">
      <c r="A292" t="str">
        <f>"02073862"</f>
        <v>02073862</v>
      </c>
      <c r="B292" t="s">
        <v>753</v>
      </c>
      <c r="C292" t="str">
        <f t="shared" si="20"/>
        <v>706</v>
      </c>
      <c r="D292" t="s">
        <v>28</v>
      </c>
      <c r="E292" t="s">
        <v>23</v>
      </c>
      <c r="F292" t="s">
        <v>23</v>
      </c>
      <c r="G292" t="s">
        <v>754</v>
      </c>
      <c r="H292" t="str">
        <f>"93120"</f>
        <v>93120</v>
      </c>
      <c r="I292" t="s">
        <v>54</v>
      </c>
    </row>
    <row r="293" spans="1:10" x14ac:dyDescent="0.3">
      <c r="A293" t="str">
        <f>"04293827"</f>
        <v>04293827</v>
      </c>
      <c r="B293" t="s">
        <v>755</v>
      </c>
      <c r="C293" t="str">
        <f t="shared" si="20"/>
        <v>706</v>
      </c>
      <c r="D293" t="s">
        <v>28</v>
      </c>
      <c r="E293" t="s">
        <v>29</v>
      </c>
      <c r="F293" t="s">
        <v>195</v>
      </c>
      <c r="G293" t="s">
        <v>756</v>
      </c>
      <c r="H293" t="str">
        <f>"9499"</f>
        <v>9499</v>
      </c>
      <c r="I293" t="s">
        <v>31</v>
      </c>
    </row>
    <row r="294" spans="1:10" x14ac:dyDescent="0.3">
      <c r="A294" t="str">
        <f>"65340272"</f>
        <v>65340272</v>
      </c>
      <c r="B294" t="s">
        <v>757</v>
      </c>
      <c r="C294" t="str">
        <f t="shared" si="20"/>
        <v>706</v>
      </c>
      <c r="D294" t="s">
        <v>28</v>
      </c>
      <c r="E294" t="s">
        <v>83</v>
      </c>
      <c r="F294" t="s">
        <v>83</v>
      </c>
      <c r="G294" t="s">
        <v>758</v>
      </c>
      <c r="H294" t="str">
        <f>"93190"</f>
        <v>93190</v>
      </c>
      <c r="I294" t="s">
        <v>59</v>
      </c>
      <c r="J294" t="s">
        <v>759</v>
      </c>
    </row>
    <row r="295" spans="1:10" x14ac:dyDescent="0.3">
      <c r="A295" t="str">
        <f>"09751301"</f>
        <v>09751301</v>
      </c>
      <c r="B295" t="s">
        <v>760</v>
      </c>
      <c r="C295" t="str">
        <f t="shared" si="20"/>
        <v>706</v>
      </c>
      <c r="D295" t="s">
        <v>28</v>
      </c>
      <c r="E295" t="s">
        <v>23</v>
      </c>
      <c r="F295" t="s">
        <v>23</v>
      </c>
      <c r="G295" t="s">
        <v>761</v>
      </c>
      <c r="H295" t="str">
        <f>"9499"</f>
        <v>9499</v>
      </c>
      <c r="I295" t="s">
        <v>31</v>
      </c>
    </row>
    <row r="296" spans="1:10" x14ac:dyDescent="0.3">
      <c r="A296" t="str">
        <f>"22714278"</f>
        <v>22714278</v>
      </c>
      <c r="B296" t="s">
        <v>762</v>
      </c>
      <c r="C296" t="str">
        <f t="shared" si="20"/>
        <v>706</v>
      </c>
      <c r="D296" t="s">
        <v>28</v>
      </c>
      <c r="E296" t="s">
        <v>23</v>
      </c>
      <c r="F296" t="s">
        <v>99</v>
      </c>
      <c r="G296" t="s">
        <v>763</v>
      </c>
      <c r="H296" t="str">
        <f>"93190"</f>
        <v>93190</v>
      </c>
      <c r="I296" t="s">
        <v>59</v>
      </c>
      <c r="J296" t="s">
        <v>31</v>
      </c>
    </row>
    <row r="297" spans="1:10" x14ac:dyDescent="0.3">
      <c r="A297" t="str">
        <f>"01355678"</f>
        <v>01355678</v>
      </c>
      <c r="B297" t="s">
        <v>764</v>
      </c>
      <c r="C297" t="str">
        <f t="shared" si="20"/>
        <v>706</v>
      </c>
      <c r="D297" t="s">
        <v>28</v>
      </c>
      <c r="E297" t="s">
        <v>83</v>
      </c>
      <c r="F297" t="s">
        <v>83</v>
      </c>
      <c r="G297" t="s">
        <v>765</v>
      </c>
      <c r="H297" t="str">
        <f>"93190"</f>
        <v>93190</v>
      </c>
      <c r="I297" t="s">
        <v>59</v>
      </c>
    </row>
    <row r="298" spans="1:10" x14ac:dyDescent="0.3">
      <c r="A298" t="str">
        <f>"47935308"</f>
        <v>47935308</v>
      </c>
      <c r="B298" t="s">
        <v>766</v>
      </c>
      <c r="C298" t="str">
        <f t="shared" si="20"/>
        <v>706</v>
      </c>
      <c r="D298" t="s">
        <v>28</v>
      </c>
      <c r="E298" t="s">
        <v>83</v>
      </c>
      <c r="F298" t="s">
        <v>83</v>
      </c>
      <c r="G298" t="s">
        <v>767</v>
      </c>
      <c r="H298" t="str">
        <f>"93110"</f>
        <v>93110</v>
      </c>
      <c r="I298" t="s">
        <v>92</v>
      </c>
    </row>
    <row r="299" spans="1:10" x14ac:dyDescent="0.3">
      <c r="A299" t="str">
        <f>"06693954"</f>
        <v>06693954</v>
      </c>
      <c r="B299" t="s">
        <v>768</v>
      </c>
      <c r="C299" t="str">
        <f t="shared" si="20"/>
        <v>706</v>
      </c>
      <c r="D299" t="s">
        <v>28</v>
      </c>
      <c r="E299" t="s">
        <v>52</v>
      </c>
      <c r="F299" t="s">
        <v>52</v>
      </c>
      <c r="G299" t="s">
        <v>769</v>
      </c>
      <c r="H299" t="str">
        <f>"93190"</f>
        <v>93190</v>
      </c>
      <c r="I299" t="s">
        <v>59</v>
      </c>
    </row>
    <row r="300" spans="1:10" x14ac:dyDescent="0.3">
      <c r="A300" t="str">
        <f>"62832883"</f>
        <v>62832883</v>
      </c>
      <c r="B300" t="s">
        <v>770</v>
      </c>
      <c r="C300" t="str">
        <f t="shared" si="20"/>
        <v>706</v>
      </c>
      <c r="D300" t="s">
        <v>28</v>
      </c>
      <c r="E300" t="s">
        <v>52</v>
      </c>
      <c r="F300" t="s">
        <v>379</v>
      </c>
      <c r="G300" t="s">
        <v>771</v>
      </c>
      <c r="H300" t="str">
        <f>"9499"</f>
        <v>9499</v>
      </c>
      <c r="I300" t="s">
        <v>31</v>
      </c>
    </row>
    <row r="301" spans="1:10" x14ac:dyDescent="0.3">
      <c r="A301" t="str">
        <f>"04937686"</f>
        <v>04937686</v>
      </c>
      <c r="B301" t="s">
        <v>772</v>
      </c>
      <c r="C301" t="str">
        <f t="shared" si="20"/>
        <v>706</v>
      </c>
      <c r="D301" t="s">
        <v>28</v>
      </c>
      <c r="E301" t="s">
        <v>23</v>
      </c>
      <c r="F301" t="s">
        <v>23</v>
      </c>
      <c r="G301" t="s">
        <v>773</v>
      </c>
      <c r="H301" t="str">
        <f>"93190"</f>
        <v>93190</v>
      </c>
      <c r="I301" t="s">
        <v>59</v>
      </c>
    </row>
    <row r="302" spans="1:10" x14ac:dyDescent="0.3">
      <c r="A302" t="str">
        <f>"22818553"</f>
        <v>22818553</v>
      </c>
      <c r="B302" t="s">
        <v>774</v>
      </c>
      <c r="C302" t="str">
        <f t="shared" si="20"/>
        <v>706</v>
      </c>
      <c r="D302" t="s">
        <v>28</v>
      </c>
      <c r="E302" t="s">
        <v>29</v>
      </c>
      <c r="F302" t="s">
        <v>775</v>
      </c>
      <c r="G302" t="s">
        <v>776</v>
      </c>
      <c r="H302" t="str">
        <f>"94991"</f>
        <v>94991</v>
      </c>
      <c r="I302" t="s">
        <v>433</v>
      </c>
    </row>
    <row r="303" spans="1:10" x14ac:dyDescent="0.3">
      <c r="A303" t="str">
        <f>"08246084"</f>
        <v>08246084</v>
      </c>
      <c r="B303" t="s">
        <v>777</v>
      </c>
      <c r="C303" t="str">
        <f t="shared" si="20"/>
        <v>706</v>
      </c>
      <c r="D303" t="s">
        <v>28</v>
      </c>
      <c r="E303" t="s">
        <v>29</v>
      </c>
      <c r="F303" t="s">
        <v>778</v>
      </c>
      <c r="G303" t="s">
        <v>779</v>
      </c>
      <c r="H303" t="str">
        <f>"9499"</f>
        <v>9499</v>
      </c>
      <c r="I303" t="s">
        <v>31</v>
      </c>
    </row>
    <row r="304" spans="1:10" x14ac:dyDescent="0.3">
      <c r="A304" t="str">
        <f>"06515878"</f>
        <v>06515878</v>
      </c>
      <c r="B304" t="s">
        <v>780</v>
      </c>
      <c r="C304" t="str">
        <f t="shared" si="20"/>
        <v>706</v>
      </c>
      <c r="D304" t="s">
        <v>28</v>
      </c>
      <c r="E304" t="s">
        <v>52</v>
      </c>
      <c r="F304" t="s">
        <v>781</v>
      </c>
      <c r="G304" t="s">
        <v>782</v>
      </c>
      <c r="H304" t="str">
        <f>"9499"</f>
        <v>9499</v>
      </c>
      <c r="I304" t="s">
        <v>31</v>
      </c>
    </row>
    <row r="305" spans="1:9" x14ac:dyDescent="0.3">
      <c r="A305" t="str">
        <f>"21997217"</f>
        <v>21997217</v>
      </c>
      <c r="B305" t="s">
        <v>783</v>
      </c>
      <c r="C305" t="str">
        <f t="shared" si="20"/>
        <v>706</v>
      </c>
      <c r="D305" t="s">
        <v>28</v>
      </c>
      <c r="E305" t="s">
        <v>23</v>
      </c>
      <c r="F305" t="s">
        <v>296</v>
      </c>
      <c r="G305" t="s">
        <v>784</v>
      </c>
      <c r="H305" t="str">
        <f>"93190"</f>
        <v>93190</v>
      </c>
      <c r="I305" t="s">
        <v>59</v>
      </c>
    </row>
    <row r="306" spans="1:9" x14ac:dyDescent="0.3">
      <c r="A306" t="str">
        <f>"03530817"</f>
        <v>03530817</v>
      </c>
      <c r="B306" t="s">
        <v>785</v>
      </c>
      <c r="C306" t="str">
        <f t="shared" si="20"/>
        <v>706</v>
      </c>
      <c r="D306" t="s">
        <v>28</v>
      </c>
      <c r="E306" t="s">
        <v>23</v>
      </c>
      <c r="F306" t="s">
        <v>245</v>
      </c>
      <c r="G306" t="s">
        <v>786</v>
      </c>
      <c r="H306" t="str">
        <f>"9499"</f>
        <v>9499</v>
      </c>
      <c r="I306" t="s">
        <v>31</v>
      </c>
    </row>
    <row r="307" spans="1:9" x14ac:dyDescent="0.3">
      <c r="A307" t="str">
        <f>"26660369"</f>
        <v>26660369</v>
      </c>
      <c r="B307" t="s">
        <v>787</v>
      </c>
      <c r="C307" t="str">
        <f t="shared" si="20"/>
        <v>706</v>
      </c>
      <c r="D307" t="s">
        <v>28</v>
      </c>
      <c r="E307" t="s">
        <v>23</v>
      </c>
      <c r="F307" t="s">
        <v>107</v>
      </c>
      <c r="G307" t="s">
        <v>788</v>
      </c>
      <c r="H307" t="str">
        <f>"9499"</f>
        <v>9499</v>
      </c>
      <c r="I307" t="s">
        <v>31</v>
      </c>
    </row>
    <row r="308" spans="1:9" x14ac:dyDescent="0.3">
      <c r="A308" t="str">
        <f>"22692932"</f>
        <v>22692932</v>
      </c>
      <c r="B308" t="s">
        <v>789</v>
      </c>
      <c r="C308" t="str">
        <f t="shared" si="20"/>
        <v>706</v>
      </c>
      <c r="D308" t="s">
        <v>28</v>
      </c>
      <c r="E308" t="s">
        <v>29</v>
      </c>
      <c r="F308" t="s">
        <v>38</v>
      </c>
      <c r="G308" t="s">
        <v>790</v>
      </c>
      <c r="H308" t="str">
        <f>"93110"</f>
        <v>93110</v>
      </c>
      <c r="I308" t="s">
        <v>92</v>
      </c>
    </row>
    <row r="309" spans="1:9" x14ac:dyDescent="0.3">
      <c r="A309" t="str">
        <f>"22737596"</f>
        <v>22737596</v>
      </c>
      <c r="B309" t="s">
        <v>791</v>
      </c>
      <c r="C309" t="str">
        <f t="shared" si="20"/>
        <v>706</v>
      </c>
      <c r="D309" t="s">
        <v>28</v>
      </c>
      <c r="E309" t="s">
        <v>83</v>
      </c>
      <c r="F309" t="s">
        <v>183</v>
      </c>
      <c r="G309" t="s">
        <v>512</v>
      </c>
      <c r="H309" t="str">
        <f>"9499"</f>
        <v>9499</v>
      </c>
      <c r="I309" t="s">
        <v>31</v>
      </c>
    </row>
    <row r="310" spans="1:9" x14ac:dyDescent="0.3">
      <c r="A310" t="str">
        <f>"26603764"</f>
        <v>26603764</v>
      </c>
      <c r="B310" t="s">
        <v>792</v>
      </c>
      <c r="C310" t="str">
        <f t="shared" si="20"/>
        <v>706</v>
      </c>
      <c r="D310" t="s">
        <v>28</v>
      </c>
      <c r="E310" t="s">
        <v>23</v>
      </c>
      <c r="F310" t="s">
        <v>793</v>
      </c>
      <c r="G310" t="s">
        <v>794</v>
      </c>
      <c r="H310" t="str">
        <f>"9499"</f>
        <v>9499</v>
      </c>
      <c r="I310" t="s">
        <v>31</v>
      </c>
    </row>
    <row r="311" spans="1:9" x14ac:dyDescent="0.3">
      <c r="A311" t="str">
        <f>"26526557"</f>
        <v>26526557</v>
      </c>
      <c r="B311" t="s">
        <v>795</v>
      </c>
      <c r="C311" t="str">
        <f t="shared" si="20"/>
        <v>706</v>
      </c>
      <c r="D311" t="s">
        <v>28</v>
      </c>
      <c r="E311" t="s">
        <v>52</v>
      </c>
      <c r="F311" t="s">
        <v>796</v>
      </c>
      <c r="G311" t="s">
        <v>797</v>
      </c>
      <c r="H311" t="str">
        <f>"9499"</f>
        <v>9499</v>
      </c>
      <c r="I311" t="s">
        <v>31</v>
      </c>
    </row>
    <row r="312" spans="1:9" x14ac:dyDescent="0.3">
      <c r="A312" t="str">
        <f>"18023843"</f>
        <v>18023843</v>
      </c>
      <c r="B312" t="s">
        <v>798</v>
      </c>
      <c r="C312" t="str">
        <f t="shared" si="20"/>
        <v>706</v>
      </c>
      <c r="D312" t="s">
        <v>28</v>
      </c>
      <c r="E312" t="s">
        <v>23</v>
      </c>
      <c r="F312" t="s">
        <v>23</v>
      </c>
      <c r="G312" t="s">
        <v>799</v>
      </c>
      <c r="H312" t="str">
        <f>"9499"</f>
        <v>9499</v>
      </c>
      <c r="I312" t="s">
        <v>31</v>
      </c>
    </row>
    <row r="313" spans="1:9" x14ac:dyDescent="0.3">
      <c r="A313" t="str">
        <f>"02787369"</f>
        <v>02787369</v>
      </c>
      <c r="B313" t="s">
        <v>800</v>
      </c>
      <c r="C313" t="str">
        <f t="shared" si="20"/>
        <v>706</v>
      </c>
      <c r="D313" t="s">
        <v>28</v>
      </c>
      <c r="E313" t="s">
        <v>23</v>
      </c>
      <c r="F313" t="s">
        <v>23</v>
      </c>
      <c r="G313" t="s">
        <v>801</v>
      </c>
      <c r="H313" t="str">
        <f>"8559"</f>
        <v>8559</v>
      </c>
      <c r="I313" t="s">
        <v>115</v>
      </c>
    </row>
    <row r="314" spans="1:9" x14ac:dyDescent="0.3">
      <c r="A314" t="str">
        <f>"26649683"</f>
        <v>26649683</v>
      </c>
      <c r="B314" t="s">
        <v>802</v>
      </c>
      <c r="C314" t="str">
        <f t="shared" si="20"/>
        <v>706</v>
      </c>
      <c r="D314" t="s">
        <v>28</v>
      </c>
      <c r="E314" t="s">
        <v>29</v>
      </c>
      <c r="F314" t="s">
        <v>726</v>
      </c>
      <c r="G314" t="s">
        <v>803</v>
      </c>
      <c r="H314" t="str">
        <f>"93110"</f>
        <v>93110</v>
      </c>
      <c r="I314" t="s">
        <v>92</v>
      </c>
    </row>
    <row r="315" spans="1:9" x14ac:dyDescent="0.3">
      <c r="A315" t="str">
        <f>"22611819"</f>
        <v>22611819</v>
      </c>
      <c r="B315" t="s">
        <v>804</v>
      </c>
      <c r="C315" t="str">
        <f t="shared" si="20"/>
        <v>706</v>
      </c>
      <c r="D315" t="s">
        <v>28</v>
      </c>
      <c r="E315" t="s">
        <v>29</v>
      </c>
      <c r="F315" t="s">
        <v>45</v>
      </c>
      <c r="G315" t="s">
        <v>805</v>
      </c>
      <c r="H315" t="str">
        <f>"9499"</f>
        <v>9499</v>
      </c>
      <c r="I315" t="s">
        <v>31</v>
      </c>
    </row>
    <row r="316" spans="1:9" x14ac:dyDescent="0.3">
      <c r="A316" t="str">
        <f>"17071178"</f>
        <v>17071178</v>
      </c>
      <c r="B316" t="s">
        <v>806</v>
      </c>
      <c r="C316" t="str">
        <f t="shared" si="20"/>
        <v>706</v>
      </c>
      <c r="D316" t="s">
        <v>28</v>
      </c>
      <c r="E316" t="s">
        <v>29</v>
      </c>
      <c r="F316" t="s">
        <v>38</v>
      </c>
      <c r="G316" t="s">
        <v>807</v>
      </c>
      <c r="H316" t="str">
        <f>"94995"</f>
        <v>94995</v>
      </c>
      <c r="I316" t="s">
        <v>232</v>
      </c>
    </row>
    <row r="317" spans="1:9" x14ac:dyDescent="0.3">
      <c r="A317" t="str">
        <f>"01840827"</f>
        <v>01840827</v>
      </c>
      <c r="B317" t="s">
        <v>808</v>
      </c>
      <c r="C317" t="str">
        <f t="shared" si="20"/>
        <v>706</v>
      </c>
      <c r="D317" t="s">
        <v>28</v>
      </c>
      <c r="E317" t="s">
        <v>52</v>
      </c>
      <c r="F317" t="s">
        <v>379</v>
      </c>
      <c r="G317" t="s">
        <v>809</v>
      </c>
      <c r="H317" t="str">
        <f>"9499"</f>
        <v>9499</v>
      </c>
      <c r="I317" t="s">
        <v>31</v>
      </c>
    </row>
    <row r="318" spans="1:9" x14ac:dyDescent="0.3">
      <c r="A318" t="str">
        <f>"05283892"</f>
        <v>05283892</v>
      </c>
      <c r="B318" t="s">
        <v>810</v>
      </c>
      <c r="C318" t="str">
        <f t="shared" si="20"/>
        <v>706</v>
      </c>
      <c r="D318" t="s">
        <v>28</v>
      </c>
      <c r="E318" t="s">
        <v>23</v>
      </c>
      <c r="F318" t="s">
        <v>23</v>
      </c>
      <c r="G318" t="s">
        <v>811</v>
      </c>
      <c r="H318" t="str">
        <f>"9499"</f>
        <v>9499</v>
      </c>
      <c r="I318" t="s">
        <v>31</v>
      </c>
    </row>
    <row r="319" spans="1:9" x14ac:dyDescent="0.3">
      <c r="A319" t="str">
        <f>"22840508"</f>
        <v>22840508</v>
      </c>
      <c r="B319" t="s">
        <v>812</v>
      </c>
      <c r="C319" t="str">
        <f t="shared" si="20"/>
        <v>706</v>
      </c>
      <c r="D319" t="s">
        <v>28</v>
      </c>
      <c r="E319" t="s">
        <v>23</v>
      </c>
      <c r="F319" t="s">
        <v>23</v>
      </c>
      <c r="G319" t="s">
        <v>813</v>
      </c>
      <c r="H319" t="str">
        <f>"93110"</f>
        <v>93110</v>
      </c>
      <c r="I319" t="s">
        <v>92</v>
      </c>
    </row>
    <row r="320" spans="1:9" x14ac:dyDescent="0.3">
      <c r="A320" t="str">
        <f>"22685782"</f>
        <v>22685782</v>
      </c>
      <c r="B320" t="s">
        <v>814</v>
      </c>
      <c r="C320" t="str">
        <f t="shared" si="20"/>
        <v>706</v>
      </c>
      <c r="D320" t="s">
        <v>28</v>
      </c>
      <c r="E320" t="s">
        <v>83</v>
      </c>
      <c r="F320" t="s">
        <v>815</v>
      </c>
      <c r="G320" t="s">
        <v>816</v>
      </c>
      <c r="H320" t="str">
        <f>"9499"</f>
        <v>9499</v>
      </c>
      <c r="I320" t="s">
        <v>31</v>
      </c>
    </row>
    <row r="321" spans="1:9" x14ac:dyDescent="0.3">
      <c r="A321" t="str">
        <f>"22881468"</f>
        <v>22881468</v>
      </c>
      <c r="B321" t="s">
        <v>817</v>
      </c>
      <c r="C321" t="str">
        <f t="shared" si="20"/>
        <v>706</v>
      </c>
      <c r="D321" t="s">
        <v>28</v>
      </c>
      <c r="E321" t="s">
        <v>83</v>
      </c>
      <c r="F321" t="s">
        <v>815</v>
      </c>
      <c r="G321" t="s">
        <v>818</v>
      </c>
      <c r="H321" t="str">
        <f>"9499"</f>
        <v>9499</v>
      </c>
      <c r="I321" t="s">
        <v>31</v>
      </c>
    </row>
    <row r="322" spans="1:9" x14ac:dyDescent="0.3">
      <c r="A322" t="str">
        <f>"01818376"</f>
        <v>01818376</v>
      </c>
      <c r="B322" t="s">
        <v>819</v>
      </c>
      <c r="C322" t="str">
        <f>"161"</f>
        <v>161</v>
      </c>
      <c r="D322" t="s">
        <v>152</v>
      </c>
      <c r="E322" t="s">
        <v>23</v>
      </c>
      <c r="F322" t="s">
        <v>23</v>
      </c>
      <c r="G322" t="s">
        <v>820</v>
      </c>
      <c r="H322" t="str">
        <f>"94995"</f>
        <v>94995</v>
      </c>
      <c r="I322" t="s">
        <v>232</v>
      </c>
    </row>
    <row r="323" spans="1:9" x14ac:dyDescent="0.3">
      <c r="A323" t="str">
        <f>"22719431"</f>
        <v>22719431</v>
      </c>
      <c r="B323" t="s">
        <v>821</v>
      </c>
      <c r="C323" t="str">
        <f t="shared" ref="C323:C345" si="21">"706"</f>
        <v>706</v>
      </c>
      <c r="D323" t="s">
        <v>28</v>
      </c>
      <c r="E323" t="s">
        <v>29</v>
      </c>
      <c r="F323" t="s">
        <v>29</v>
      </c>
      <c r="G323" t="s">
        <v>822</v>
      </c>
      <c r="H323" t="str">
        <f>"94993"</f>
        <v>94993</v>
      </c>
      <c r="I323" t="s">
        <v>50</v>
      </c>
    </row>
    <row r="324" spans="1:9" x14ac:dyDescent="0.3">
      <c r="A324" t="str">
        <f>"26681242"</f>
        <v>26681242</v>
      </c>
      <c r="B324" t="s">
        <v>823</v>
      </c>
      <c r="C324" t="str">
        <f t="shared" si="21"/>
        <v>706</v>
      </c>
      <c r="D324" t="s">
        <v>28</v>
      </c>
      <c r="E324" t="s">
        <v>29</v>
      </c>
      <c r="F324" t="s">
        <v>195</v>
      </c>
      <c r="G324" t="s">
        <v>824</v>
      </c>
      <c r="H324" t="str">
        <f>"9499"</f>
        <v>9499</v>
      </c>
      <c r="I324" t="s">
        <v>31</v>
      </c>
    </row>
    <row r="325" spans="1:9" x14ac:dyDescent="0.3">
      <c r="A325" t="str">
        <f>"07533454"</f>
        <v>07533454</v>
      </c>
      <c r="B325" t="s">
        <v>825</v>
      </c>
      <c r="C325" t="str">
        <f t="shared" si="21"/>
        <v>706</v>
      </c>
      <c r="D325" t="s">
        <v>28</v>
      </c>
      <c r="E325" t="s">
        <v>83</v>
      </c>
      <c r="F325" t="s">
        <v>83</v>
      </c>
      <c r="G325" t="s">
        <v>826</v>
      </c>
      <c r="H325" t="str">
        <f>"9499"</f>
        <v>9499</v>
      </c>
      <c r="I325" t="s">
        <v>31</v>
      </c>
    </row>
    <row r="326" spans="1:9" x14ac:dyDescent="0.3">
      <c r="A326" t="str">
        <f>"28551991"</f>
        <v>28551991</v>
      </c>
      <c r="B326" t="s">
        <v>827</v>
      </c>
      <c r="C326" t="str">
        <f t="shared" si="21"/>
        <v>706</v>
      </c>
      <c r="D326" t="s">
        <v>28</v>
      </c>
      <c r="E326" t="s">
        <v>23</v>
      </c>
      <c r="F326" t="s">
        <v>23</v>
      </c>
      <c r="G326" t="s">
        <v>418</v>
      </c>
      <c r="H326" t="str">
        <f>"9499"</f>
        <v>9499</v>
      </c>
      <c r="I326" t="s">
        <v>31</v>
      </c>
    </row>
    <row r="327" spans="1:9" x14ac:dyDescent="0.3">
      <c r="A327" t="str">
        <f>"26524210"</f>
        <v>26524210</v>
      </c>
      <c r="B327" t="s">
        <v>828</v>
      </c>
      <c r="C327" t="str">
        <f t="shared" si="21"/>
        <v>706</v>
      </c>
      <c r="D327" t="s">
        <v>28</v>
      </c>
      <c r="E327" t="s">
        <v>83</v>
      </c>
      <c r="F327" t="s">
        <v>130</v>
      </c>
      <c r="G327" t="s">
        <v>829</v>
      </c>
      <c r="H327" t="str">
        <f>"9499"</f>
        <v>9499</v>
      </c>
      <c r="I327" t="s">
        <v>31</v>
      </c>
    </row>
    <row r="328" spans="1:9" x14ac:dyDescent="0.3">
      <c r="A328" t="str">
        <f>"67026508"</f>
        <v>67026508</v>
      </c>
      <c r="B328" t="s">
        <v>830</v>
      </c>
      <c r="C328" t="str">
        <f t="shared" si="21"/>
        <v>706</v>
      </c>
      <c r="D328" t="s">
        <v>28</v>
      </c>
      <c r="E328" t="s">
        <v>23</v>
      </c>
      <c r="F328" t="s">
        <v>107</v>
      </c>
      <c r="G328" t="s">
        <v>107</v>
      </c>
      <c r="H328" t="str">
        <f>"93120"</f>
        <v>93120</v>
      </c>
      <c r="I328" t="s">
        <v>54</v>
      </c>
    </row>
    <row r="329" spans="1:9" x14ac:dyDescent="0.3">
      <c r="A329" t="str">
        <f>"62182692"</f>
        <v>62182692</v>
      </c>
      <c r="B329" t="s">
        <v>831</v>
      </c>
      <c r="C329" t="str">
        <f t="shared" si="21"/>
        <v>706</v>
      </c>
      <c r="D329" t="s">
        <v>28</v>
      </c>
      <c r="E329" t="s">
        <v>23</v>
      </c>
      <c r="F329" t="s">
        <v>23</v>
      </c>
      <c r="G329" t="s">
        <v>832</v>
      </c>
      <c r="H329" t="str">
        <f>"93120"</f>
        <v>93120</v>
      </c>
      <c r="I329" t="s">
        <v>54</v>
      </c>
    </row>
    <row r="330" spans="1:9" x14ac:dyDescent="0.3">
      <c r="A330" t="str">
        <f>"26546124"</f>
        <v>26546124</v>
      </c>
      <c r="B330" t="s">
        <v>833</v>
      </c>
      <c r="C330" t="str">
        <f t="shared" si="21"/>
        <v>706</v>
      </c>
      <c r="D330" t="s">
        <v>28</v>
      </c>
      <c r="E330" t="s">
        <v>23</v>
      </c>
      <c r="F330" t="s">
        <v>68</v>
      </c>
      <c r="G330" t="s">
        <v>834</v>
      </c>
      <c r="H330" t="str">
        <f>"9499"</f>
        <v>9499</v>
      </c>
      <c r="I330" t="s">
        <v>31</v>
      </c>
    </row>
    <row r="331" spans="1:9" x14ac:dyDescent="0.3">
      <c r="A331" t="str">
        <f>"27023443"</f>
        <v>27023443</v>
      </c>
      <c r="B331" t="s">
        <v>835</v>
      </c>
      <c r="C331" t="str">
        <f t="shared" si="21"/>
        <v>706</v>
      </c>
      <c r="D331" t="s">
        <v>28</v>
      </c>
      <c r="E331" t="s">
        <v>83</v>
      </c>
      <c r="F331" t="s">
        <v>183</v>
      </c>
      <c r="G331" t="s">
        <v>836</v>
      </c>
      <c r="H331" t="str">
        <f>"93110"</f>
        <v>93110</v>
      </c>
      <c r="I331" t="s">
        <v>92</v>
      </c>
    </row>
    <row r="332" spans="1:9" x14ac:dyDescent="0.3">
      <c r="A332" t="str">
        <f>"26572133"</f>
        <v>26572133</v>
      </c>
      <c r="B332" t="s">
        <v>837</v>
      </c>
      <c r="C332" t="str">
        <f t="shared" si="21"/>
        <v>706</v>
      </c>
      <c r="D332" t="s">
        <v>28</v>
      </c>
      <c r="E332" t="s">
        <v>83</v>
      </c>
      <c r="F332" t="s">
        <v>83</v>
      </c>
      <c r="G332" t="s">
        <v>838</v>
      </c>
      <c r="H332" t="str">
        <f>"94993"</f>
        <v>94993</v>
      </c>
      <c r="I332" t="s">
        <v>50</v>
      </c>
    </row>
    <row r="333" spans="1:9" x14ac:dyDescent="0.3">
      <c r="A333" t="str">
        <f>"22693696"</f>
        <v>22693696</v>
      </c>
      <c r="B333" t="s">
        <v>839</v>
      </c>
      <c r="C333" t="str">
        <f t="shared" si="21"/>
        <v>706</v>
      </c>
      <c r="D333" t="s">
        <v>28</v>
      </c>
      <c r="E333" t="s">
        <v>29</v>
      </c>
      <c r="F333" t="s">
        <v>195</v>
      </c>
      <c r="G333" t="s">
        <v>840</v>
      </c>
      <c r="H333" t="str">
        <f>"9499"</f>
        <v>9499</v>
      </c>
      <c r="I333" t="s">
        <v>31</v>
      </c>
    </row>
    <row r="334" spans="1:9" x14ac:dyDescent="0.3">
      <c r="A334" t="str">
        <f>"07920440"</f>
        <v>07920440</v>
      </c>
      <c r="B334" t="s">
        <v>841</v>
      </c>
      <c r="C334" t="str">
        <f t="shared" si="21"/>
        <v>706</v>
      </c>
      <c r="D334" t="s">
        <v>28</v>
      </c>
      <c r="E334" t="s">
        <v>52</v>
      </c>
      <c r="F334" t="s">
        <v>673</v>
      </c>
      <c r="G334" t="s">
        <v>842</v>
      </c>
      <c r="H334" t="str">
        <f>"94993"</f>
        <v>94993</v>
      </c>
      <c r="I334" t="s">
        <v>50</v>
      </c>
    </row>
    <row r="335" spans="1:9" x14ac:dyDescent="0.3">
      <c r="A335" t="str">
        <f>"27049264"</f>
        <v>27049264</v>
      </c>
      <c r="B335" t="s">
        <v>843</v>
      </c>
      <c r="C335" t="str">
        <f t="shared" si="21"/>
        <v>706</v>
      </c>
      <c r="D335" t="s">
        <v>28</v>
      </c>
      <c r="E335" t="s">
        <v>29</v>
      </c>
      <c r="F335" t="s">
        <v>38</v>
      </c>
      <c r="G335" t="s">
        <v>844</v>
      </c>
      <c r="H335" t="str">
        <f>"9499"</f>
        <v>9499</v>
      </c>
      <c r="I335" t="s">
        <v>31</v>
      </c>
    </row>
    <row r="336" spans="1:9" x14ac:dyDescent="0.3">
      <c r="A336" t="str">
        <f>"22756302"</f>
        <v>22756302</v>
      </c>
      <c r="B336" t="s">
        <v>845</v>
      </c>
      <c r="C336" t="str">
        <f t="shared" si="21"/>
        <v>706</v>
      </c>
      <c r="D336" t="s">
        <v>28</v>
      </c>
      <c r="E336" t="s">
        <v>23</v>
      </c>
      <c r="F336" t="s">
        <v>599</v>
      </c>
      <c r="G336" t="s">
        <v>846</v>
      </c>
      <c r="H336" t="str">
        <f>"94993"</f>
        <v>94993</v>
      </c>
      <c r="I336" t="s">
        <v>50</v>
      </c>
    </row>
    <row r="337" spans="1:9" x14ac:dyDescent="0.3">
      <c r="A337" t="str">
        <f>"22825401"</f>
        <v>22825401</v>
      </c>
      <c r="B337" t="s">
        <v>847</v>
      </c>
      <c r="C337" t="str">
        <f t="shared" si="21"/>
        <v>706</v>
      </c>
      <c r="D337" t="s">
        <v>28</v>
      </c>
      <c r="E337" t="s">
        <v>83</v>
      </c>
      <c r="F337" t="s">
        <v>130</v>
      </c>
      <c r="G337" t="s">
        <v>848</v>
      </c>
      <c r="H337" t="str">
        <f>"94993"</f>
        <v>94993</v>
      </c>
      <c r="I337" t="s">
        <v>50</v>
      </c>
    </row>
    <row r="338" spans="1:9" x14ac:dyDescent="0.3">
      <c r="A338" t="str">
        <f>"22891692"</f>
        <v>22891692</v>
      </c>
      <c r="B338" t="s">
        <v>849</v>
      </c>
      <c r="C338" t="str">
        <f t="shared" si="21"/>
        <v>706</v>
      </c>
      <c r="D338" t="s">
        <v>28</v>
      </c>
      <c r="E338" t="s">
        <v>23</v>
      </c>
      <c r="F338" t="s">
        <v>24</v>
      </c>
      <c r="G338" t="s">
        <v>850</v>
      </c>
      <c r="H338" t="str">
        <f>"93190"</f>
        <v>93190</v>
      </c>
      <c r="I338" t="s">
        <v>59</v>
      </c>
    </row>
    <row r="339" spans="1:9" x14ac:dyDescent="0.3">
      <c r="A339" t="str">
        <f>"06008003"</f>
        <v>06008003</v>
      </c>
      <c r="B339" t="s">
        <v>851</v>
      </c>
      <c r="C339" t="str">
        <f t="shared" si="21"/>
        <v>706</v>
      </c>
      <c r="D339" t="s">
        <v>28</v>
      </c>
      <c r="E339" t="s">
        <v>29</v>
      </c>
      <c r="F339" t="s">
        <v>852</v>
      </c>
      <c r="G339" t="s">
        <v>853</v>
      </c>
      <c r="H339" t="str">
        <f>"93110"</f>
        <v>93110</v>
      </c>
      <c r="I339" t="s">
        <v>92</v>
      </c>
    </row>
    <row r="340" spans="1:9" x14ac:dyDescent="0.3">
      <c r="A340" t="str">
        <f>"07422822"</f>
        <v>07422822</v>
      </c>
      <c r="B340" t="s">
        <v>854</v>
      </c>
      <c r="C340" t="str">
        <f t="shared" si="21"/>
        <v>706</v>
      </c>
      <c r="D340" t="s">
        <v>28</v>
      </c>
      <c r="E340" t="s">
        <v>23</v>
      </c>
      <c r="F340" t="s">
        <v>107</v>
      </c>
      <c r="G340" t="s">
        <v>855</v>
      </c>
      <c r="H340" t="str">
        <f>"9499"</f>
        <v>9499</v>
      </c>
      <c r="I340" t="s">
        <v>31</v>
      </c>
    </row>
    <row r="341" spans="1:9" x14ac:dyDescent="0.3">
      <c r="A341" t="str">
        <f>"05135508"</f>
        <v>05135508</v>
      </c>
      <c r="B341" t="s">
        <v>856</v>
      </c>
      <c r="C341" t="str">
        <f t="shared" si="21"/>
        <v>706</v>
      </c>
      <c r="D341" t="s">
        <v>28</v>
      </c>
      <c r="E341" t="s">
        <v>52</v>
      </c>
      <c r="F341" t="s">
        <v>857</v>
      </c>
      <c r="G341" t="s">
        <v>858</v>
      </c>
      <c r="H341" t="str">
        <f>"93190"</f>
        <v>93190</v>
      </c>
      <c r="I341" t="s">
        <v>59</v>
      </c>
    </row>
    <row r="342" spans="1:9" x14ac:dyDescent="0.3">
      <c r="A342" t="str">
        <f>"68687753"</f>
        <v>68687753</v>
      </c>
      <c r="B342" t="s">
        <v>859</v>
      </c>
      <c r="C342" t="str">
        <f t="shared" si="21"/>
        <v>706</v>
      </c>
      <c r="D342" t="s">
        <v>28</v>
      </c>
      <c r="E342" t="s">
        <v>52</v>
      </c>
      <c r="F342" t="s">
        <v>673</v>
      </c>
      <c r="G342" t="s">
        <v>860</v>
      </c>
      <c r="H342" t="str">
        <f>"931"</f>
        <v>931</v>
      </c>
      <c r="I342" t="s">
        <v>26</v>
      </c>
    </row>
    <row r="343" spans="1:9" x14ac:dyDescent="0.3">
      <c r="A343" t="str">
        <f>"17732069"</f>
        <v>17732069</v>
      </c>
      <c r="B343" t="s">
        <v>861</v>
      </c>
      <c r="C343" t="str">
        <f t="shared" si="21"/>
        <v>706</v>
      </c>
      <c r="D343" t="s">
        <v>28</v>
      </c>
      <c r="E343" t="s">
        <v>29</v>
      </c>
      <c r="F343" t="s">
        <v>195</v>
      </c>
      <c r="G343" t="s">
        <v>862</v>
      </c>
      <c r="H343" t="str">
        <f>"9499"</f>
        <v>9499</v>
      </c>
      <c r="I343" t="s">
        <v>31</v>
      </c>
    </row>
    <row r="344" spans="1:9" x14ac:dyDescent="0.3">
      <c r="A344" t="str">
        <f>"27029425"</f>
        <v>27029425</v>
      </c>
      <c r="B344" t="s">
        <v>863</v>
      </c>
      <c r="C344" t="str">
        <f t="shared" si="21"/>
        <v>706</v>
      </c>
      <c r="D344" t="s">
        <v>28</v>
      </c>
      <c r="E344" t="s">
        <v>52</v>
      </c>
      <c r="F344" t="s">
        <v>864</v>
      </c>
      <c r="G344" t="s">
        <v>865</v>
      </c>
      <c r="H344" t="str">
        <f>"9499"</f>
        <v>9499</v>
      </c>
      <c r="I344" t="s">
        <v>31</v>
      </c>
    </row>
    <row r="345" spans="1:9" x14ac:dyDescent="0.3">
      <c r="A345" t="str">
        <f>"06822592"</f>
        <v>06822592</v>
      </c>
      <c r="B345" t="s">
        <v>866</v>
      </c>
      <c r="C345" t="str">
        <f t="shared" si="21"/>
        <v>706</v>
      </c>
      <c r="D345" t="s">
        <v>28</v>
      </c>
      <c r="E345" t="s">
        <v>29</v>
      </c>
      <c r="F345" t="s">
        <v>29</v>
      </c>
      <c r="G345" t="s">
        <v>867</v>
      </c>
      <c r="H345" t="str">
        <f>"9499"</f>
        <v>9499</v>
      </c>
      <c r="I345" t="s">
        <v>31</v>
      </c>
    </row>
    <row r="346" spans="1:9" x14ac:dyDescent="0.3">
      <c r="A346" t="str">
        <f>"08280592"</f>
        <v>08280592</v>
      </c>
      <c r="B346" t="s">
        <v>868</v>
      </c>
      <c r="C346" t="str">
        <f>"118"</f>
        <v>118</v>
      </c>
      <c r="D346" t="s">
        <v>337</v>
      </c>
      <c r="E346" t="s">
        <v>23</v>
      </c>
      <c r="F346" t="s">
        <v>23</v>
      </c>
      <c r="G346" t="s">
        <v>869</v>
      </c>
      <c r="H346" t="str">
        <f>"94995"</f>
        <v>94995</v>
      </c>
      <c r="I346" t="s">
        <v>232</v>
      </c>
    </row>
    <row r="347" spans="1:9" x14ac:dyDescent="0.3">
      <c r="A347" t="str">
        <f>"67011926"</f>
        <v>67011926</v>
      </c>
      <c r="B347" t="s">
        <v>870</v>
      </c>
      <c r="C347" t="str">
        <f t="shared" ref="C347:C352" si="22">"706"</f>
        <v>706</v>
      </c>
      <c r="D347" t="s">
        <v>28</v>
      </c>
      <c r="E347" t="s">
        <v>83</v>
      </c>
      <c r="F347" t="s">
        <v>83</v>
      </c>
      <c r="G347" t="s">
        <v>871</v>
      </c>
      <c r="H347" t="str">
        <f>"9499"</f>
        <v>9499</v>
      </c>
      <c r="I347" t="s">
        <v>31</v>
      </c>
    </row>
    <row r="348" spans="1:9" x14ac:dyDescent="0.3">
      <c r="A348" t="str">
        <f>"47934921"</f>
        <v>47934921</v>
      </c>
      <c r="B348" t="s">
        <v>872</v>
      </c>
      <c r="C348" t="str">
        <f t="shared" si="22"/>
        <v>706</v>
      </c>
      <c r="D348" t="s">
        <v>28</v>
      </c>
      <c r="E348" t="s">
        <v>83</v>
      </c>
      <c r="F348" t="s">
        <v>873</v>
      </c>
      <c r="G348" t="s">
        <v>874</v>
      </c>
      <c r="H348" t="str">
        <f>"93110"</f>
        <v>93110</v>
      </c>
      <c r="I348" t="s">
        <v>92</v>
      </c>
    </row>
    <row r="349" spans="1:9" x14ac:dyDescent="0.3">
      <c r="A349" t="str">
        <f>"05877032"</f>
        <v>05877032</v>
      </c>
      <c r="B349" t="s">
        <v>875</v>
      </c>
      <c r="C349" t="str">
        <f t="shared" si="22"/>
        <v>706</v>
      </c>
      <c r="D349" t="s">
        <v>28</v>
      </c>
      <c r="E349" t="s">
        <v>29</v>
      </c>
      <c r="F349" t="s">
        <v>876</v>
      </c>
      <c r="G349" t="s">
        <v>877</v>
      </c>
      <c r="H349" t="str">
        <f>"93190"</f>
        <v>93190</v>
      </c>
      <c r="I349" t="s">
        <v>59</v>
      </c>
    </row>
    <row r="350" spans="1:9" x14ac:dyDescent="0.3">
      <c r="A350" t="str">
        <f>"22892214"</f>
        <v>22892214</v>
      </c>
      <c r="B350" t="s">
        <v>878</v>
      </c>
      <c r="C350" t="str">
        <f t="shared" si="22"/>
        <v>706</v>
      </c>
      <c r="D350" t="s">
        <v>28</v>
      </c>
      <c r="E350" t="s">
        <v>23</v>
      </c>
      <c r="F350" t="s">
        <v>23</v>
      </c>
      <c r="G350" t="s">
        <v>879</v>
      </c>
      <c r="H350" t="str">
        <f>"93120"</f>
        <v>93120</v>
      </c>
      <c r="I350" t="s">
        <v>54</v>
      </c>
    </row>
    <row r="351" spans="1:9" x14ac:dyDescent="0.3">
      <c r="A351" t="str">
        <f>"05189292"</f>
        <v>05189292</v>
      </c>
      <c r="B351" t="s">
        <v>880</v>
      </c>
      <c r="C351" t="str">
        <f t="shared" si="22"/>
        <v>706</v>
      </c>
      <c r="D351" t="s">
        <v>28</v>
      </c>
      <c r="E351" t="s">
        <v>83</v>
      </c>
      <c r="F351" t="s">
        <v>881</v>
      </c>
      <c r="G351" t="s">
        <v>882</v>
      </c>
      <c r="H351" t="str">
        <f>"94991"</f>
        <v>94991</v>
      </c>
      <c r="I351" t="s">
        <v>433</v>
      </c>
    </row>
    <row r="352" spans="1:9" x14ac:dyDescent="0.3">
      <c r="A352" t="str">
        <f>"11799838"</f>
        <v>11799838</v>
      </c>
      <c r="B352" t="s">
        <v>883</v>
      </c>
      <c r="C352" t="str">
        <f t="shared" si="22"/>
        <v>706</v>
      </c>
      <c r="D352" t="s">
        <v>28</v>
      </c>
      <c r="E352" t="s">
        <v>23</v>
      </c>
      <c r="F352" t="s">
        <v>23</v>
      </c>
      <c r="G352" t="s">
        <v>884</v>
      </c>
      <c r="H352" t="str">
        <f>"93190"</f>
        <v>93190</v>
      </c>
      <c r="I352" t="s">
        <v>59</v>
      </c>
    </row>
    <row r="353" spans="1:21" x14ac:dyDescent="0.3">
      <c r="A353" t="str">
        <f>"19959711"</f>
        <v>19959711</v>
      </c>
      <c r="B353" t="s">
        <v>885</v>
      </c>
      <c r="C353" t="str">
        <f>"161"</f>
        <v>161</v>
      </c>
      <c r="D353" t="s">
        <v>152</v>
      </c>
      <c r="E353" t="s">
        <v>23</v>
      </c>
      <c r="F353" t="s">
        <v>886</v>
      </c>
      <c r="G353" t="s">
        <v>887</v>
      </c>
      <c r="H353" t="str">
        <f>"94996"</f>
        <v>94996</v>
      </c>
      <c r="I353" t="s">
        <v>47</v>
      </c>
    </row>
    <row r="354" spans="1:21" x14ac:dyDescent="0.3">
      <c r="A354" t="str">
        <f>"27021459"</f>
        <v>27021459</v>
      </c>
      <c r="B354" t="s">
        <v>888</v>
      </c>
      <c r="C354" t="str">
        <f t="shared" ref="C354:C360" si="23">"706"</f>
        <v>706</v>
      </c>
      <c r="D354" t="s">
        <v>28</v>
      </c>
      <c r="E354" t="s">
        <v>23</v>
      </c>
      <c r="F354" t="s">
        <v>23</v>
      </c>
      <c r="G354" t="s">
        <v>889</v>
      </c>
      <c r="H354" t="str">
        <f>"9499"</f>
        <v>9499</v>
      </c>
      <c r="I354" t="s">
        <v>31</v>
      </c>
    </row>
    <row r="355" spans="1:21" x14ac:dyDescent="0.3">
      <c r="A355" t="str">
        <f>"22877436"</f>
        <v>22877436</v>
      </c>
      <c r="B355" t="s">
        <v>890</v>
      </c>
      <c r="C355" t="str">
        <f t="shared" si="23"/>
        <v>706</v>
      </c>
      <c r="D355" t="s">
        <v>28</v>
      </c>
      <c r="E355" t="s">
        <v>29</v>
      </c>
      <c r="F355" t="s">
        <v>195</v>
      </c>
      <c r="G355" t="s">
        <v>891</v>
      </c>
      <c r="H355" t="str">
        <f>"9499"</f>
        <v>9499</v>
      </c>
      <c r="I355" t="s">
        <v>31</v>
      </c>
    </row>
    <row r="356" spans="1:21" x14ac:dyDescent="0.3">
      <c r="A356" t="str">
        <f>"22814086"</f>
        <v>22814086</v>
      </c>
      <c r="B356" t="s">
        <v>892</v>
      </c>
      <c r="C356" t="str">
        <f t="shared" si="23"/>
        <v>706</v>
      </c>
      <c r="D356" t="s">
        <v>28</v>
      </c>
      <c r="E356" t="s">
        <v>52</v>
      </c>
      <c r="F356" t="s">
        <v>514</v>
      </c>
      <c r="G356" t="s">
        <v>893</v>
      </c>
      <c r="H356" t="str">
        <f>"94991"</f>
        <v>94991</v>
      </c>
      <c r="I356" t="s">
        <v>433</v>
      </c>
    </row>
    <row r="357" spans="1:21" x14ac:dyDescent="0.3">
      <c r="A357" t="str">
        <f>"07731060"</f>
        <v>07731060</v>
      </c>
      <c r="B357" t="s">
        <v>894</v>
      </c>
      <c r="C357" t="str">
        <f t="shared" si="23"/>
        <v>706</v>
      </c>
      <c r="D357" t="s">
        <v>28</v>
      </c>
      <c r="E357" t="s">
        <v>83</v>
      </c>
      <c r="F357" t="s">
        <v>895</v>
      </c>
      <c r="G357" t="s">
        <v>896</v>
      </c>
      <c r="H357" t="str">
        <f>"94993"</f>
        <v>94993</v>
      </c>
      <c r="I357" t="s">
        <v>50</v>
      </c>
    </row>
    <row r="358" spans="1:21" x14ac:dyDescent="0.3">
      <c r="A358" t="str">
        <f>"02358328"</f>
        <v>02358328</v>
      </c>
      <c r="B358" t="s">
        <v>897</v>
      </c>
      <c r="C358" t="str">
        <f t="shared" si="23"/>
        <v>706</v>
      </c>
      <c r="D358" t="s">
        <v>28</v>
      </c>
      <c r="E358" t="s">
        <v>23</v>
      </c>
      <c r="F358" t="s">
        <v>23</v>
      </c>
      <c r="G358" t="s">
        <v>348</v>
      </c>
      <c r="H358" t="str">
        <f>"9499"</f>
        <v>9499</v>
      </c>
      <c r="I358" t="s">
        <v>31</v>
      </c>
    </row>
    <row r="359" spans="1:21" x14ac:dyDescent="0.3">
      <c r="A359" t="str">
        <f>"02685621"</f>
        <v>02685621</v>
      </c>
      <c r="B359" t="s">
        <v>898</v>
      </c>
      <c r="C359" t="str">
        <f t="shared" si="23"/>
        <v>706</v>
      </c>
      <c r="D359" t="s">
        <v>28</v>
      </c>
      <c r="E359" t="s">
        <v>29</v>
      </c>
      <c r="F359" t="s">
        <v>195</v>
      </c>
      <c r="G359" t="s">
        <v>899</v>
      </c>
      <c r="H359" t="str">
        <f>"9499"</f>
        <v>9499</v>
      </c>
      <c r="I359" t="s">
        <v>31</v>
      </c>
    </row>
    <row r="360" spans="1:21" x14ac:dyDescent="0.3">
      <c r="A360" t="str">
        <f>"09658181"</f>
        <v>09658181</v>
      </c>
      <c r="B360" t="s">
        <v>900</v>
      </c>
      <c r="C360" t="str">
        <f t="shared" si="23"/>
        <v>706</v>
      </c>
      <c r="D360" t="s">
        <v>28</v>
      </c>
      <c r="E360" t="s">
        <v>52</v>
      </c>
      <c r="F360" t="s">
        <v>379</v>
      </c>
      <c r="G360" t="s">
        <v>901</v>
      </c>
      <c r="H360" t="str">
        <f>"9499"</f>
        <v>9499</v>
      </c>
      <c r="I360" t="s">
        <v>31</v>
      </c>
      <c r="J360" t="s">
        <v>155</v>
      </c>
      <c r="K360" t="s">
        <v>258</v>
      </c>
      <c r="L360" t="s">
        <v>902</v>
      </c>
      <c r="M360" t="s">
        <v>903</v>
      </c>
      <c r="N360" t="s">
        <v>904</v>
      </c>
      <c r="O360" t="s">
        <v>146</v>
      </c>
      <c r="P360" t="s">
        <v>239</v>
      </c>
      <c r="Q360" t="s">
        <v>905</v>
      </c>
      <c r="R360" t="s">
        <v>263</v>
      </c>
      <c r="S360" t="s">
        <v>163</v>
      </c>
    </row>
    <row r="361" spans="1:21" x14ac:dyDescent="0.3">
      <c r="A361" t="str">
        <f>"05692776"</f>
        <v>05692776</v>
      </c>
      <c r="B361" t="s">
        <v>906</v>
      </c>
      <c r="C361" t="str">
        <f>"161"</f>
        <v>161</v>
      </c>
      <c r="D361" t="s">
        <v>152</v>
      </c>
      <c r="E361" t="s">
        <v>23</v>
      </c>
      <c r="F361" t="s">
        <v>23</v>
      </c>
      <c r="G361" t="s">
        <v>907</v>
      </c>
      <c r="H361" t="str">
        <f>"94991"</f>
        <v>94991</v>
      </c>
      <c r="I361" t="s">
        <v>433</v>
      </c>
      <c r="J361" t="s">
        <v>908</v>
      </c>
      <c r="K361" t="s">
        <v>156</v>
      </c>
      <c r="L361" t="s">
        <v>238</v>
      </c>
      <c r="M361" t="s">
        <v>312</v>
      </c>
      <c r="N361" t="s">
        <v>909</v>
      </c>
      <c r="O361" t="s">
        <v>146</v>
      </c>
      <c r="P361" t="s">
        <v>160</v>
      </c>
      <c r="Q361" t="s">
        <v>262</v>
      </c>
      <c r="R361" t="s">
        <v>163</v>
      </c>
      <c r="S361" t="s">
        <v>59</v>
      </c>
      <c r="T361" t="s">
        <v>910</v>
      </c>
      <c r="U361" t="s">
        <v>148</v>
      </c>
    </row>
    <row r="362" spans="1:21" x14ac:dyDescent="0.3">
      <c r="A362" t="str">
        <f>"27049191"</f>
        <v>27049191</v>
      </c>
      <c r="B362" t="s">
        <v>911</v>
      </c>
      <c r="C362" t="str">
        <f t="shared" ref="C362:C377" si="24">"706"</f>
        <v>706</v>
      </c>
      <c r="D362" t="s">
        <v>28</v>
      </c>
      <c r="E362" t="s">
        <v>23</v>
      </c>
      <c r="F362" t="s">
        <v>23</v>
      </c>
      <c r="G362" t="s">
        <v>912</v>
      </c>
      <c r="H362" t="str">
        <f>"94991"</f>
        <v>94991</v>
      </c>
      <c r="I362" t="s">
        <v>433</v>
      </c>
    </row>
    <row r="363" spans="1:21" x14ac:dyDescent="0.3">
      <c r="A363" t="str">
        <f>"09508945"</f>
        <v>09508945</v>
      </c>
      <c r="B363" t="s">
        <v>913</v>
      </c>
      <c r="C363" t="str">
        <f t="shared" si="24"/>
        <v>706</v>
      </c>
      <c r="D363" t="s">
        <v>28</v>
      </c>
      <c r="E363" t="s">
        <v>23</v>
      </c>
      <c r="F363" t="s">
        <v>23</v>
      </c>
      <c r="G363" t="s">
        <v>912</v>
      </c>
      <c r="H363" t="str">
        <f>"9499"</f>
        <v>9499</v>
      </c>
      <c r="I363" t="s">
        <v>31</v>
      </c>
    </row>
    <row r="364" spans="1:21" x14ac:dyDescent="0.3">
      <c r="A364" t="str">
        <f>"22729526"</f>
        <v>22729526</v>
      </c>
      <c r="B364" t="s">
        <v>914</v>
      </c>
      <c r="C364" t="str">
        <f t="shared" si="24"/>
        <v>706</v>
      </c>
      <c r="D364" t="s">
        <v>28</v>
      </c>
      <c r="E364" t="s">
        <v>52</v>
      </c>
      <c r="F364" t="s">
        <v>612</v>
      </c>
      <c r="G364" t="s">
        <v>915</v>
      </c>
      <c r="H364" t="str">
        <f>"9499"</f>
        <v>9499</v>
      </c>
      <c r="I364" t="s">
        <v>31</v>
      </c>
    </row>
    <row r="365" spans="1:21" x14ac:dyDescent="0.3">
      <c r="A365" t="str">
        <f>"22155791"</f>
        <v>22155791</v>
      </c>
      <c r="B365" t="s">
        <v>916</v>
      </c>
      <c r="C365" t="str">
        <f t="shared" si="24"/>
        <v>706</v>
      </c>
      <c r="D365" t="s">
        <v>28</v>
      </c>
      <c r="E365" t="s">
        <v>23</v>
      </c>
      <c r="F365" t="s">
        <v>23</v>
      </c>
      <c r="G365" t="s">
        <v>279</v>
      </c>
      <c r="H365" t="str">
        <f>"9499"</f>
        <v>9499</v>
      </c>
      <c r="I365" t="s">
        <v>31</v>
      </c>
    </row>
    <row r="366" spans="1:21" x14ac:dyDescent="0.3">
      <c r="A366" t="str">
        <f>"22756442"</f>
        <v>22756442</v>
      </c>
      <c r="B366" t="s">
        <v>917</v>
      </c>
      <c r="C366" t="str">
        <f t="shared" si="24"/>
        <v>706</v>
      </c>
      <c r="D366" t="s">
        <v>28</v>
      </c>
      <c r="E366" t="s">
        <v>83</v>
      </c>
      <c r="F366" t="s">
        <v>537</v>
      </c>
      <c r="G366" t="s">
        <v>918</v>
      </c>
      <c r="H366" t="str">
        <f>"94995"</f>
        <v>94995</v>
      </c>
      <c r="I366" t="s">
        <v>232</v>
      </c>
    </row>
    <row r="367" spans="1:21" x14ac:dyDescent="0.3">
      <c r="A367" t="str">
        <f>"19186151"</f>
        <v>19186151</v>
      </c>
      <c r="B367" t="s">
        <v>919</v>
      </c>
      <c r="C367" t="str">
        <f t="shared" si="24"/>
        <v>706</v>
      </c>
      <c r="D367" t="s">
        <v>28</v>
      </c>
      <c r="E367" t="s">
        <v>52</v>
      </c>
      <c r="F367" t="s">
        <v>920</v>
      </c>
      <c r="G367" t="s">
        <v>921</v>
      </c>
      <c r="H367" t="str">
        <f>"9499"</f>
        <v>9499</v>
      </c>
      <c r="I367" t="s">
        <v>31</v>
      </c>
    </row>
    <row r="368" spans="1:21" x14ac:dyDescent="0.3">
      <c r="A368" t="str">
        <f>"05942969"</f>
        <v>05942969</v>
      </c>
      <c r="B368" t="s">
        <v>922</v>
      </c>
      <c r="C368" t="str">
        <f t="shared" si="24"/>
        <v>706</v>
      </c>
      <c r="D368" t="s">
        <v>28</v>
      </c>
      <c r="E368" t="s">
        <v>83</v>
      </c>
      <c r="F368" t="s">
        <v>230</v>
      </c>
      <c r="G368" t="s">
        <v>923</v>
      </c>
      <c r="H368" t="str">
        <f>"94993"</f>
        <v>94993</v>
      </c>
      <c r="I368" t="s">
        <v>50</v>
      </c>
    </row>
    <row r="369" spans="1:10" x14ac:dyDescent="0.3">
      <c r="A369" t="str">
        <f>"22720499"</f>
        <v>22720499</v>
      </c>
      <c r="B369" t="s">
        <v>924</v>
      </c>
      <c r="C369" t="str">
        <f t="shared" si="24"/>
        <v>706</v>
      </c>
      <c r="D369" t="s">
        <v>28</v>
      </c>
      <c r="E369" t="s">
        <v>52</v>
      </c>
      <c r="F369" t="s">
        <v>781</v>
      </c>
      <c r="G369" t="s">
        <v>925</v>
      </c>
      <c r="H369" t="str">
        <f>"9499"</f>
        <v>9499</v>
      </c>
      <c r="I369" t="s">
        <v>31</v>
      </c>
    </row>
    <row r="370" spans="1:10" x14ac:dyDescent="0.3">
      <c r="A370" t="str">
        <f>"22855998"</f>
        <v>22855998</v>
      </c>
      <c r="B370" t="s">
        <v>926</v>
      </c>
      <c r="C370" t="str">
        <f t="shared" si="24"/>
        <v>706</v>
      </c>
      <c r="D370" t="s">
        <v>28</v>
      </c>
      <c r="E370" t="s">
        <v>52</v>
      </c>
      <c r="F370" t="s">
        <v>927</v>
      </c>
      <c r="G370" t="s">
        <v>928</v>
      </c>
      <c r="H370" t="str">
        <f>"9499"</f>
        <v>9499</v>
      </c>
      <c r="I370" t="s">
        <v>31</v>
      </c>
    </row>
    <row r="371" spans="1:10" x14ac:dyDescent="0.3">
      <c r="A371" t="str">
        <f>"04145445"</f>
        <v>04145445</v>
      </c>
      <c r="B371" t="s">
        <v>929</v>
      </c>
      <c r="C371" t="str">
        <f t="shared" si="24"/>
        <v>706</v>
      </c>
      <c r="D371" t="s">
        <v>28</v>
      </c>
      <c r="E371" t="s">
        <v>52</v>
      </c>
      <c r="F371" t="s">
        <v>52</v>
      </c>
      <c r="G371" t="s">
        <v>930</v>
      </c>
      <c r="H371" t="str">
        <f>"9499"</f>
        <v>9499</v>
      </c>
      <c r="I371" t="s">
        <v>31</v>
      </c>
    </row>
    <row r="372" spans="1:10" x14ac:dyDescent="0.3">
      <c r="A372" t="str">
        <f>"06293182"</f>
        <v>06293182</v>
      </c>
      <c r="B372" t="s">
        <v>931</v>
      </c>
      <c r="C372" t="str">
        <f t="shared" si="24"/>
        <v>706</v>
      </c>
      <c r="D372" t="s">
        <v>28</v>
      </c>
      <c r="E372" t="s">
        <v>23</v>
      </c>
      <c r="F372" t="s">
        <v>23</v>
      </c>
      <c r="G372" t="s">
        <v>932</v>
      </c>
      <c r="H372" t="str">
        <f>"93190"</f>
        <v>93190</v>
      </c>
      <c r="I372" t="s">
        <v>59</v>
      </c>
    </row>
    <row r="373" spans="1:10" x14ac:dyDescent="0.3">
      <c r="A373" t="str">
        <f>"26600366"</f>
        <v>26600366</v>
      </c>
      <c r="B373" t="s">
        <v>933</v>
      </c>
      <c r="C373" t="str">
        <f t="shared" si="24"/>
        <v>706</v>
      </c>
      <c r="D373" t="s">
        <v>28</v>
      </c>
      <c r="E373" t="s">
        <v>23</v>
      </c>
      <c r="F373" t="s">
        <v>23</v>
      </c>
      <c r="G373" t="s">
        <v>934</v>
      </c>
      <c r="H373" t="str">
        <f>"93110"</f>
        <v>93110</v>
      </c>
      <c r="I373" t="s">
        <v>92</v>
      </c>
    </row>
    <row r="374" spans="1:10" x14ac:dyDescent="0.3">
      <c r="A374" t="str">
        <f>"01642634"</f>
        <v>01642634</v>
      </c>
      <c r="B374" t="s">
        <v>935</v>
      </c>
      <c r="C374" t="str">
        <f t="shared" si="24"/>
        <v>706</v>
      </c>
      <c r="D374" t="s">
        <v>28</v>
      </c>
      <c r="E374" t="s">
        <v>83</v>
      </c>
      <c r="F374" t="s">
        <v>83</v>
      </c>
      <c r="G374" t="s">
        <v>936</v>
      </c>
      <c r="H374" t="str">
        <f>"9499"</f>
        <v>9499</v>
      </c>
      <c r="I374" t="s">
        <v>31</v>
      </c>
    </row>
    <row r="375" spans="1:10" x14ac:dyDescent="0.3">
      <c r="A375" t="str">
        <f>"01551949"</f>
        <v>01551949</v>
      </c>
      <c r="B375" t="s">
        <v>937</v>
      </c>
      <c r="C375" t="str">
        <f t="shared" si="24"/>
        <v>706</v>
      </c>
      <c r="D375" t="s">
        <v>28</v>
      </c>
      <c r="E375" t="s">
        <v>23</v>
      </c>
      <c r="F375" t="s">
        <v>23</v>
      </c>
      <c r="G375" t="s">
        <v>938</v>
      </c>
      <c r="H375" t="str">
        <f>"9499"</f>
        <v>9499</v>
      </c>
      <c r="I375" t="s">
        <v>31</v>
      </c>
    </row>
    <row r="376" spans="1:10" x14ac:dyDescent="0.3">
      <c r="A376" t="str">
        <f>"08960569"</f>
        <v>08960569</v>
      </c>
      <c r="B376" t="s">
        <v>939</v>
      </c>
      <c r="C376" t="str">
        <f t="shared" si="24"/>
        <v>706</v>
      </c>
      <c r="D376" t="s">
        <v>28</v>
      </c>
      <c r="E376" t="s">
        <v>29</v>
      </c>
      <c r="F376" t="s">
        <v>45</v>
      </c>
      <c r="G376" t="s">
        <v>940</v>
      </c>
      <c r="H376" t="str">
        <f>"93110"</f>
        <v>93110</v>
      </c>
      <c r="I376" t="s">
        <v>92</v>
      </c>
    </row>
    <row r="377" spans="1:10" x14ac:dyDescent="0.3">
      <c r="A377" t="str">
        <f>"22744908"</f>
        <v>22744908</v>
      </c>
      <c r="B377" t="s">
        <v>941</v>
      </c>
      <c r="C377" t="str">
        <f t="shared" si="24"/>
        <v>706</v>
      </c>
      <c r="D377" t="s">
        <v>28</v>
      </c>
      <c r="E377" t="s">
        <v>23</v>
      </c>
      <c r="F377" t="s">
        <v>23</v>
      </c>
      <c r="G377" t="s">
        <v>942</v>
      </c>
      <c r="H377" t="str">
        <f>"9499"</f>
        <v>9499</v>
      </c>
      <c r="I377" t="s">
        <v>31</v>
      </c>
    </row>
    <row r="378" spans="1:10" x14ac:dyDescent="0.3">
      <c r="A378" t="str">
        <f>"28260902"</f>
        <v>28260902</v>
      </c>
      <c r="B378" t="s">
        <v>943</v>
      </c>
      <c r="C378" t="str">
        <f>"141"</f>
        <v>141</v>
      </c>
      <c r="D378" t="s">
        <v>112</v>
      </c>
      <c r="E378" t="s">
        <v>83</v>
      </c>
      <c r="F378" t="s">
        <v>944</v>
      </c>
      <c r="G378" t="s">
        <v>945</v>
      </c>
      <c r="H378" t="str">
        <f>"9499"</f>
        <v>9499</v>
      </c>
      <c r="I378" t="s">
        <v>31</v>
      </c>
      <c r="J378" t="s">
        <v>115</v>
      </c>
    </row>
    <row r="379" spans="1:10" x14ac:dyDescent="0.3">
      <c r="A379" t="str">
        <f>"23379553"</f>
        <v>23379553</v>
      </c>
      <c r="B379" t="s">
        <v>946</v>
      </c>
      <c r="C379" t="str">
        <f>"118"</f>
        <v>118</v>
      </c>
      <c r="D379" t="s">
        <v>337</v>
      </c>
      <c r="E379" t="s">
        <v>23</v>
      </c>
      <c r="F379" t="s">
        <v>23</v>
      </c>
      <c r="G379" t="s">
        <v>947</v>
      </c>
      <c r="H379" t="str">
        <f>"94991"</f>
        <v>94991</v>
      </c>
      <c r="I379" t="s">
        <v>433</v>
      </c>
    </row>
    <row r="380" spans="1:10" x14ac:dyDescent="0.3">
      <c r="A380" t="str">
        <f>"13994948"</f>
        <v>13994948</v>
      </c>
      <c r="B380" t="s">
        <v>948</v>
      </c>
      <c r="C380" t="str">
        <f>"736"</f>
        <v>736</v>
      </c>
      <c r="D380" t="s">
        <v>22</v>
      </c>
      <c r="E380" t="s">
        <v>23</v>
      </c>
      <c r="F380" t="s">
        <v>350</v>
      </c>
      <c r="G380" t="s">
        <v>949</v>
      </c>
      <c r="H380" t="str">
        <f>"93190"</f>
        <v>93190</v>
      </c>
      <c r="I380" t="s">
        <v>59</v>
      </c>
    </row>
    <row r="381" spans="1:10" x14ac:dyDescent="0.3">
      <c r="A381" t="str">
        <f>"03672492"</f>
        <v>03672492</v>
      </c>
      <c r="B381" t="s">
        <v>950</v>
      </c>
      <c r="C381" t="str">
        <f>"706"</f>
        <v>706</v>
      </c>
      <c r="D381" t="s">
        <v>28</v>
      </c>
      <c r="E381" t="s">
        <v>52</v>
      </c>
      <c r="F381" t="s">
        <v>951</v>
      </c>
      <c r="G381" t="s">
        <v>952</v>
      </c>
      <c r="H381" t="str">
        <f>"9499"</f>
        <v>9499</v>
      </c>
      <c r="I381" t="s">
        <v>31</v>
      </c>
    </row>
    <row r="382" spans="1:10" x14ac:dyDescent="0.3">
      <c r="A382" t="str">
        <f>"04961595"</f>
        <v>04961595</v>
      </c>
      <c r="B382" t="s">
        <v>953</v>
      </c>
      <c r="C382" t="str">
        <f>"736"</f>
        <v>736</v>
      </c>
      <c r="D382" t="s">
        <v>22</v>
      </c>
      <c r="E382" t="s">
        <v>23</v>
      </c>
      <c r="F382" t="s">
        <v>99</v>
      </c>
      <c r="G382" t="s">
        <v>954</v>
      </c>
      <c r="H382" t="str">
        <f>"9499"</f>
        <v>9499</v>
      </c>
      <c r="I382" t="s">
        <v>31</v>
      </c>
    </row>
    <row r="383" spans="1:10" x14ac:dyDescent="0.3">
      <c r="A383" t="str">
        <f>"03912825"</f>
        <v>03912825</v>
      </c>
      <c r="B383" t="s">
        <v>955</v>
      </c>
      <c r="C383" t="str">
        <f>"736"</f>
        <v>736</v>
      </c>
      <c r="D383" t="s">
        <v>22</v>
      </c>
      <c r="E383" t="s">
        <v>52</v>
      </c>
      <c r="F383" t="s">
        <v>113</v>
      </c>
      <c r="G383" t="s">
        <v>186</v>
      </c>
      <c r="H383" t="str">
        <f>"94991"</f>
        <v>94991</v>
      </c>
      <c r="I383" t="s">
        <v>433</v>
      </c>
    </row>
    <row r="384" spans="1:10" x14ac:dyDescent="0.3">
      <c r="A384" t="str">
        <f>"04815726"</f>
        <v>04815726</v>
      </c>
      <c r="B384" t="s">
        <v>956</v>
      </c>
      <c r="C384" t="str">
        <f>"736"</f>
        <v>736</v>
      </c>
      <c r="D384" t="s">
        <v>22</v>
      </c>
      <c r="E384" t="s">
        <v>23</v>
      </c>
      <c r="F384" t="s">
        <v>957</v>
      </c>
      <c r="G384" t="s">
        <v>958</v>
      </c>
      <c r="H384" t="str">
        <f>"9499"</f>
        <v>9499</v>
      </c>
      <c r="I384" t="s">
        <v>31</v>
      </c>
    </row>
    <row r="385" spans="1:15" x14ac:dyDescent="0.3">
      <c r="A385" t="str">
        <f>"04835361"</f>
        <v>04835361</v>
      </c>
      <c r="B385" t="s">
        <v>959</v>
      </c>
      <c r="C385" t="str">
        <f>"736"</f>
        <v>736</v>
      </c>
      <c r="D385" t="s">
        <v>22</v>
      </c>
      <c r="E385" t="s">
        <v>52</v>
      </c>
      <c r="F385" t="s">
        <v>960</v>
      </c>
      <c r="G385" t="s">
        <v>961</v>
      </c>
      <c r="H385" t="str">
        <f>"93190"</f>
        <v>93190</v>
      </c>
      <c r="I385" t="s">
        <v>59</v>
      </c>
    </row>
    <row r="386" spans="1:15" x14ac:dyDescent="0.3">
      <c r="A386" t="str">
        <f>"05823307"</f>
        <v>05823307</v>
      </c>
      <c r="B386" t="s">
        <v>962</v>
      </c>
      <c r="C386" t="str">
        <f>"706"</f>
        <v>706</v>
      </c>
      <c r="D386" t="s">
        <v>28</v>
      </c>
      <c r="E386" t="s">
        <v>52</v>
      </c>
      <c r="F386" t="s">
        <v>612</v>
      </c>
      <c r="G386" t="s">
        <v>963</v>
      </c>
      <c r="H386" t="str">
        <f>"9499"</f>
        <v>9499</v>
      </c>
      <c r="I386" t="s">
        <v>31</v>
      </c>
    </row>
    <row r="387" spans="1:15" x14ac:dyDescent="0.3">
      <c r="A387" t="str">
        <f>"05995957"</f>
        <v>05995957</v>
      </c>
      <c r="B387" t="s">
        <v>964</v>
      </c>
      <c r="C387" t="str">
        <f>"706"</f>
        <v>706</v>
      </c>
      <c r="D387" t="s">
        <v>28</v>
      </c>
      <c r="E387" t="s">
        <v>52</v>
      </c>
      <c r="F387" t="s">
        <v>960</v>
      </c>
      <c r="G387" t="s">
        <v>961</v>
      </c>
      <c r="H387" t="str">
        <f>"9499"</f>
        <v>9499</v>
      </c>
      <c r="I387" t="s">
        <v>31</v>
      </c>
    </row>
    <row r="388" spans="1:15" x14ac:dyDescent="0.3">
      <c r="A388" t="str">
        <f>"72021497"</f>
        <v>72021497</v>
      </c>
      <c r="B388" t="s">
        <v>965</v>
      </c>
      <c r="C388" t="str">
        <f>"736"</f>
        <v>736</v>
      </c>
      <c r="D388" t="s">
        <v>22</v>
      </c>
      <c r="E388" t="s">
        <v>23</v>
      </c>
      <c r="F388" t="s">
        <v>966</v>
      </c>
      <c r="G388" t="s">
        <v>967</v>
      </c>
      <c r="H388" t="str">
        <f>"93110"</f>
        <v>93110</v>
      </c>
      <c r="I388" t="s">
        <v>92</v>
      </c>
    </row>
    <row r="389" spans="1:15" x14ac:dyDescent="0.3">
      <c r="A389" t="str">
        <f>"72021501"</f>
        <v>72021501</v>
      </c>
      <c r="B389" t="s">
        <v>968</v>
      </c>
      <c r="C389" t="str">
        <f>"736"</f>
        <v>736</v>
      </c>
      <c r="D389" t="s">
        <v>22</v>
      </c>
      <c r="E389" t="s">
        <v>23</v>
      </c>
      <c r="F389" t="s">
        <v>23</v>
      </c>
      <c r="G389" t="s">
        <v>969</v>
      </c>
      <c r="H389" t="str">
        <f>"93110"</f>
        <v>93110</v>
      </c>
      <c r="I389" t="s">
        <v>92</v>
      </c>
    </row>
    <row r="390" spans="1:15" x14ac:dyDescent="0.3">
      <c r="A390" t="str">
        <f>"09427953"</f>
        <v>09427953</v>
      </c>
      <c r="B390" t="s">
        <v>970</v>
      </c>
      <c r="C390" t="str">
        <f>"706"</f>
        <v>706</v>
      </c>
      <c r="D390" t="s">
        <v>28</v>
      </c>
      <c r="E390" t="s">
        <v>23</v>
      </c>
      <c r="F390" t="s">
        <v>23</v>
      </c>
      <c r="G390" t="s">
        <v>971</v>
      </c>
      <c r="H390" t="str">
        <f>"9499"</f>
        <v>9499</v>
      </c>
      <c r="I390" t="s">
        <v>31</v>
      </c>
    </row>
    <row r="391" spans="1:15" x14ac:dyDescent="0.3">
      <c r="A391" t="str">
        <f>"26521024"</f>
        <v>26521024</v>
      </c>
      <c r="B391" t="s">
        <v>972</v>
      </c>
      <c r="C391" t="str">
        <f>"722"</f>
        <v>722</v>
      </c>
      <c r="D391" t="s">
        <v>315</v>
      </c>
      <c r="E391" t="s">
        <v>52</v>
      </c>
      <c r="F391" t="s">
        <v>52</v>
      </c>
      <c r="G391" t="s">
        <v>973</v>
      </c>
      <c r="H391" t="str">
        <f>"94910"</f>
        <v>94910</v>
      </c>
      <c r="I391" t="s">
        <v>316</v>
      </c>
    </row>
    <row r="392" spans="1:15" x14ac:dyDescent="0.3">
      <c r="A392" t="str">
        <f>"22872663"</f>
        <v>22872663</v>
      </c>
      <c r="B392" t="s">
        <v>974</v>
      </c>
      <c r="C392" t="str">
        <f>"706"</f>
        <v>706</v>
      </c>
      <c r="D392" t="s">
        <v>28</v>
      </c>
      <c r="E392" t="s">
        <v>23</v>
      </c>
      <c r="F392" t="s">
        <v>975</v>
      </c>
      <c r="G392" t="s">
        <v>976</v>
      </c>
      <c r="H392" t="str">
        <f>"9499"</f>
        <v>9499</v>
      </c>
      <c r="I392" t="s">
        <v>31</v>
      </c>
    </row>
    <row r="393" spans="1:15" x14ac:dyDescent="0.3">
      <c r="A393" t="str">
        <f>"09139541"</f>
        <v>09139541</v>
      </c>
      <c r="B393" t="s">
        <v>977</v>
      </c>
      <c r="C393" t="str">
        <f>"706"</f>
        <v>706</v>
      </c>
      <c r="D393" t="s">
        <v>28</v>
      </c>
      <c r="E393" t="s">
        <v>23</v>
      </c>
      <c r="F393" t="s">
        <v>978</v>
      </c>
      <c r="G393" t="s">
        <v>979</v>
      </c>
      <c r="H393" t="str">
        <f>"9499"</f>
        <v>9499</v>
      </c>
      <c r="I393" t="s">
        <v>31</v>
      </c>
    </row>
    <row r="394" spans="1:15" x14ac:dyDescent="0.3">
      <c r="A394" t="str">
        <f>"27045170"</f>
        <v>27045170</v>
      </c>
      <c r="B394" t="s">
        <v>980</v>
      </c>
      <c r="C394" t="str">
        <f>"706"</f>
        <v>706</v>
      </c>
      <c r="D394" t="s">
        <v>28</v>
      </c>
      <c r="E394" t="s">
        <v>52</v>
      </c>
      <c r="F394" t="s">
        <v>52</v>
      </c>
      <c r="G394" t="s">
        <v>981</v>
      </c>
      <c r="H394" t="str">
        <f>"93110"</f>
        <v>93110</v>
      </c>
      <c r="I394" t="s">
        <v>92</v>
      </c>
      <c r="J394" t="s">
        <v>258</v>
      </c>
      <c r="K394" t="s">
        <v>423</v>
      </c>
      <c r="L394" t="s">
        <v>146</v>
      </c>
      <c r="M394" t="s">
        <v>163</v>
      </c>
    </row>
    <row r="395" spans="1:15" x14ac:dyDescent="0.3">
      <c r="A395" t="str">
        <f>"07630361"</f>
        <v>07630361</v>
      </c>
      <c r="B395" t="s">
        <v>982</v>
      </c>
      <c r="C395" t="str">
        <f>"706"</f>
        <v>706</v>
      </c>
      <c r="D395" t="s">
        <v>28</v>
      </c>
      <c r="E395" t="s">
        <v>83</v>
      </c>
      <c r="F395" t="s">
        <v>983</v>
      </c>
      <c r="G395" t="s">
        <v>984</v>
      </c>
      <c r="H395" t="str">
        <f>"9499"</f>
        <v>9499</v>
      </c>
      <c r="I395" t="s">
        <v>31</v>
      </c>
    </row>
    <row r="396" spans="1:15" x14ac:dyDescent="0.3">
      <c r="A396" t="str">
        <f>"26999692"</f>
        <v>26999692</v>
      </c>
      <c r="B396" t="s">
        <v>985</v>
      </c>
      <c r="C396" t="str">
        <f>"706"</f>
        <v>706</v>
      </c>
      <c r="D396" t="s">
        <v>28</v>
      </c>
      <c r="E396" t="s">
        <v>52</v>
      </c>
      <c r="F396" t="s">
        <v>612</v>
      </c>
      <c r="G396" t="s">
        <v>986</v>
      </c>
      <c r="H396" t="str">
        <f>"9499"</f>
        <v>9499</v>
      </c>
      <c r="I396" t="s">
        <v>31</v>
      </c>
    </row>
    <row r="397" spans="1:15" x14ac:dyDescent="0.3">
      <c r="A397" t="str">
        <f>"02351226"</f>
        <v>02351226</v>
      </c>
      <c r="B397" t="s">
        <v>987</v>
      </c>
      <c r="C397" t="str">
        <f>"141"</f>
        <v>141</v>
      </c>
      <c r="D397" t="s">
        <v>112</v>
      </c>
      <c r="E397" t="s">
        <v>52</v>
      </c>
      <c r="F397" t="s">
        <v>113</v>
      </c>
      <c r="G397" t="s">
        <v>988</v>
      </c>
      <c r="H397" t="str">
        <f>"749"</f>
        <v>749</v>
      </c>
      <c r="I397" t="s">
        <v>160</v>
      </c>
      <c r="J397" t="s">
        <v>238</v>
      </c>
      <c r="K397" t="s">
        <v>146</v>
      </c>
      <c r="L397" t="s">
        <v>989</v>
      </c>
      <c r="M397" t="s">
        <v>262</v>
      </c>
      <c r="N397" t="s">
        <v>163</v>
      </c>
      <c r="O397" t="s">
        <v>148</v>
      </c>
    </row>
    <row r="398" spans="1:15" x14ac:dyDescent="0.3">
      <c r="A398" t="str">
        <f>"47934522"</f>
        <v>47934522</v>
      </c>
      <c r="B398" t="s">
        <v>990</v>
      </c>
      <c r="C398" t="str">
        <f>"706"</f>
        <v>706</v>
      </c>
      <c r="D398" t="s">
        <v>28</v>
      </c>
      <c r="E398" t="s">
        <v>83</v>
      </c>
      <c r="F398" t="s">
        <v>991</v>
      </c>
      <c r="G398" t="s">
        <v>992</v>
      </c>
      <c r="H398" t="str">
        <f>"93110"</f>
        <v>93110</v>
      </c>
      <c r="I398" t="s">
        <v>92</v>
      </c>
    </row>
    <row r="399" spans="1:15" x14ac:dyDescent="0.3">
      <c r="A399" t="str">
        <f>"06960057"</f>
        <v>06960057</v>
      </c>
      <c r="B399" t="s">
        <v>993</v>
      </c>
      <c r="C399" t="str">
        <f>"706"</f>
        <v>706</v>
      </c>
      <c r="D399" t="s">
        <v>28</v>
      </c>
      <c r="E399" t="s">
        <v>52</v>
      </c>
      <c r="F399" t="s">
        <v>52</v>
      </c>
      <c r="G399" t="s">
        <v>994</v>
      </c>
      <c r="H399" t="str">
        <f>"94993"</f>
        <v>94993</v>
      </c>
      <c r="I399" t="s">
        <v>50</v>
      </c>
    </row>
    <row r="400" spans="1:15" x14ac:dyDescent="0.3">
      <c r="A400" t="str">
        <f>"22713841"</f>
        <v>22713841</v>
      </c>
      <c r="B400" t="s">
        <v>995</v>
      </c>
      <c r="C400" t="str">
        <f>"706"</f>
        <v>706</v>
      </c>
      <c r="D400" t="s">
        <v>28</v>
      </c>
      <c r="E400" t="s">
        <v>52</v>
      </c>
      <c r="F400" t="s">
        <v>52</v>
      </c>
      <c r="G400" t="s">
        <v>996</v>
      </c>
      <c r="H400" t="str">
        <f>"93190"</f>
        <v>93190</v>
      </c>
      <c r="I400" t="s">
        <v>59</v>
      </c>
    </row>
    <row r="401" spans="1:15" x14ac:dyDescent="0.3">
      <c r="A401" t="str">
        <f>"22736794"</f>
        <v>22736794</v>
      </c>
      <c r="B401" t="s">
        <v>997</v>
      </c>
      <c r="C401" t="str">
        <f>"706"</f>
        <v>706</v>
      </c>
      <c r="D401" t="s">
        <v>28</v>
      </c>
      <c r="E401" t="s">
        <v>52</v>
      </c>
      <c r="F401" t="s">
        <v>113</v>
      </c>
      <c r="G401" t="s">
        <v>998</v>
      </c>
      <c r="H401" t="str">
        <f>"93110"</f>
        <v>93110</v>
      </c>
      <c r="I401" t="s">
        <v>92</v>
      </c>
    </row>
    <row r="402" spans="1:15" x14ac:dyDescent="0.3">
      <c r="A402" t="str">
        <f>"21323453"</f>
        <v>21323453</v>
      </c>
      <c r="B402" t="s">
        <v>999</v>
      </c>
      <c r="C402" t="str">
        <f>"706"</f>
        <v>706</v>
      </c>
      <c r="D402" t="s">
        <v>28</v>
      </c>
      <c r="E402" t="s">
        <v>83</v>
      </c>
      <c r="F402" t="s">
        <v>1000</v>
      </c>
      <c r="G402" t="s">
        <v>1001</v>
      </c>
      <c r="H402" t="str">
        <f>"9499"</f>
        <v>9499</v>
      </c>
      <c r="I402" t="s">
        <v>31</v>
      </c>
      <c r="J402" t="s">
        <v>155</v>
      </c>
      <c r="K402" t="s">
        <v>1002</v>
      </c>
      <c r="L402" t="s">
        <v>162</v>
      </c>
      <c r="M402" t="s">
        <v>263</v>
      </c>
      <c r="N402" t="s">
        <v>163</v>
      </c>
      <c r="O402" t="s">
        <v>59</v>
      </c>
    </row>
    <row r="403" spans="1:15" x14ac:dyDescent="0.3">
      <c r="A403" t="str">
        <f>"27833968"</f>
        <v>27833968</v>
      </c>
      <c r="B403" t="s">
        <v>1003</v>
      </c>
      <c r="C403" t="str">
        <f>"141"</f>
        <v>141</v>
      </c>
      <c r="D403" t="s">
        <v>112</v>
      </c>
      <c r="E403" t="s">
        <v>29</v>
      </c>
      <c r="F403" t="s">
        <v>1004</v>
      </c>
      <c r="G403" t="s">
        <v>1005</v>
      </c>
      <c r="H403" t="str">
        <f>"9499"</f>
        <v>9499</v>
      </c>
      <c r="I403" t="s">
        <v>31</v>
      </c>
      <c r="J403" t="s">
        <v>146</v>
      </c>
    </row>
    <row r="404" spans="1:15" x14ac:dyDescent="0.3">
      <c r="A404" t="str">
        <f>"08803293"</f>
        <v>08803293</v>
      </c>
      <c r="B404" t="s">
        <v>1006</v>
      </c>
      <c r="C404" t="str">
        <f t="shared" ref="C404:C422" si="25">"706"</f>
        <v>706</v>
      </c>
      <c r="D404" t="s">
        <v>28</v>
      </c>
      <c r="E404" t="s">
        <v>52</v>
      </c>
      <c r="F404" t="s">
        <v>631</v>
      </c>
      <c r="G404" t="s">
        <v>1007</v>
      </c>
      <c r="H404" t="str">
        <f>"9499"</f>
        <v>9499</v>
      </c>
      <c r="I404" t="s">
        <v>31</v>
      </c>
    </row>
    <row r="405" spans="1:15" x14ac:dyDescent="0.3">
      <c r="A405" t="str">
        <f>"04813642"</f>
        <v>04813642</v>
      </c>
      <c r="B405" t="s">
        <v>1008</v>
      </c>
      <c r="C405" t="str">
        <f t="shared" si="25"/>
        <v>706</v>
      </c>
      <c r="D405" t="s">
        <v>28</v>
      </c>
      <c r="E405" t="s">
        <v>23</v>
      </c>
      <c r="F405" t="s">
        <v>713</v>
      </c>
      <c r="G405" t="s">
        <v>1009</v>
      </c>
      <c r="H405" t="str">
        <f>"9499"</f>
        <v>9499</v>
      </c>
      <c r="I405" t="s">
        <v>31</v>
      </c>
    </row>
    <row r="406" spans="1:15" x14ac:dyDescent="0.3">
      <c r="A406" t="str">
        <f>"22741577"</f>
        <v>22741577</v>
      </c>
      <c r="B406" t="s">
        <v>1010</v>
      </c>
      <c r="C406" t="str">
        <f t="shared" si="25"/>
        <v>706</v>
      </c>
      <c r="D406" t="s">
        <v>28</v>
      </c>
      <c r="E406" t="s">
        <v>23</v>
      </c>
      <c r="F406" t="s">
        <v>350</v>
      </c>
      <c r="G406" t="s">
        <v>1011</v>
      </c>
      <c r="H406" t="str">
        <f>"94993"</f>
        <v>94993</v>
      </c>
      <c r="I406" t="s">
        <v>50</v>
      </c>
    </row>
    <row r="407" spans="1:15" x14ac:dyDescent="0.3">
      <c r="A407" t="str">
        <f>"27005488"</f>
        <v>27005488</v>
      </c>
      <c r="B407" t="s">
        <v>1012</v>
      </c>
      <c r="C407" t="str">
        <f t="shared" si="25"/>
        <v>706</v>
      </c>
      <c r="D407" t="s">
        <v>28</v>
      </c>
      <c r="E407" t="s">
        <v>29</v>
      </c>
      <c r="F407" t="s">
        <v>29</v>
      </c>
      <c r="G407" t="s">
        <v>1013</v>
      </c>
      <c r="H407" t="str">
        <f>"94991"</f>
        <v>94991</v>
      </c>
      <c r="I407" t="s">
        <v>433</v>
      </c>
    </row>
    <row r="408" spans="1:15" x14ac:dyDescent="0.3">
      <c r="A408" t="str">
        <f>"28555007"</f>
        <v>28555007</v>
      </c>
      <c r="B408" t="s">
        <v>1014</v>
      </c>
      <c r="C408" t="str">
        <f t="shared" si="25"/>
        <v>706</v>
      </c>
      <c r="D408" t="s">
        <v>28</v>
      </c>
      <c r="E408" t="s">
        <v>52</v>
      </c>
      <c r="F408" t="s">
        <v>344</v>
      </c>
      <c r="G408" t="s">
        <v>1015</v>
      </c>
      <c r="H408" t="str">
        <f>"94"</f>
        <v>94</v>
      </c>
      <c r="I408" t="s">
        <v>1016</v>
      </c>
    </row>
    <row r="409" spans="1:15" x14ac:dyDescent="0.3">
      <c r="A409" t="str">
        <f>"26998378"</f>
        <v>26998378</v>
      </c>
      <c r="B409" t="s">
        <v>1017</v>
      </c>
      <c r="C409" t="str">
        <f t="shared" si="25"/>
        <v>706</v>
      </c>
      <c r="D409" t="s">
        <v>28</v>
      </c>
      <c r="E409" t="s">
        <v>52</v>
      </c>
      <c r="F409" t="s">
        <v>344</v>
      </c>
      <c r="G409" t="s">
        <v>1018</v>
      </c>
      <c r="H409" t="str">
        <f>"9499"</f>
        <v>9499</v>
      </c>
      <c r="I409" t="s">
        <v>31</v>
      </c>
    </row>
    <row r="410" spans="1:15" x14ac:dyDescent="0.3">
      <c r="A410" t="str">
        <f>"17711827"</f>
        <v>17711827</v>
      </c>
      <c r="B410" t="s">
        <v>1019</v>
      </c>
      <c r="C410" t="str">
        <f t="shared" si="25"/>
        <v>706</v>
      </c>
      <c r="D410" t="s">
        <v>28</v>
      </c>
      <c r="E410" t="s">
        <v>23</v>
      </c>
      <c r="F410" t="s">
        <v>23</v>
      </c>
      <c r="G410" t="s">
        <v>1020</v>
      </c>
      <c r="H410" t="str">
        <f>"900"</f>
        <v>900</v>
      </c>
      <c r="I410" t="s">
        <v>500</v>
      </c>
    </row>
    <row r="411" spans="1:15" x14ac:dyDescent="0.3">
      <c r="A411" t="str">
        <f>"08965021"</f>
        <v>08965021</v>
      </c>
      <c r="B411" t="s">
        <v>1021</v>
      </c>
      <c r="C411" t="str">
        <f t="shared" si="25"/>
        <v>706</v>
      </c>
      <c r="D411" t="s">
        <v>28</v>
      </c>
      <c r="E411" t="s">
        <v>83</v>
      </c>
      <c r="F411" t="s">
        <v>1022</v>
      </c>
      <c r="G411" t="s">
        <v>1023</v>
      </c>
      <c r="H411" t="str">
        <f>"9499"</f>
        <v>9499</v>
      </c>
      <c r="I411" t="s">
        <v>31</v>
      </c>
    </row>
    <row r="412" spans="1:15" x14ac:dyDescent="0.3">
      <c r="A412" t="str">
        <f>"26555379"</f>
        <v>26555379</v>
      </c>
      <c r="B412" t="s">
        <v>1024</v>
      </c>
      <c r="C412" t="str">
        <f t="shared" si="25"/>
        <v>706</v>
      </c>
      <c r="D412" t="s">
        <v>28</v>
      </c>
      <c r="E412" t="s">
        <v>52</v>
      </c>
      <c r="F412" t="s">
        <v>52</v>
      </c>
      <c r="G412" t="s">
        <v>1025</v>
      </c>
      <c r="H412" t="str">
        <f>"9499"</f>
        <v>9499</v>
      </c>
      <c r="I412" t="s">
        <v>31</v>
      </c>
    </row>
    <row r="413" spans="1:15" x14ac:dyDescent="0.3">
      <c r="A413" t="str">
        <f>"01327950"</f>
        <v>01327950</v>
      </c>
      <c r="B413" t="s">
        <v>1026</v>
      </c>
      <c r="C413" t="str">
        <f t="shared" si="25"/>
        <v>706</v>
      </c>
      <c r="D413" t="s">
        <v>28</v>
      </c>
      <c r="E413" t="s">
        <v>52</v>
      </c>
      <c r="F413" t="s">
        <v>1027</v>
      </c>
      <c r="G413" t="s">
        <v>1028</v>
      </c>
      <c r="H413" t="str">
        <f>"9499"</f>
        <v>9499</v>
      </c>
      <c r="I413" t="s">
        <v>31</v>
      </c>
    </row>
    <row r="414" spans="1:15" x14ac:dyDescent="0.3">
      <c r="A414" t="str">
        <f>"22842900"</f>
        <v>22842900</v>
      </c>
      <c r="B414" t="s">
        <v>1029</v>
      </c>
      <c r="C414" t="str">
        <f t="shared" si="25"/>
        <v>706</v>
      </c>
      <c r="D414" t="s">
        <v>28</v>
      </c>
      <c r="E414" t="s">
        <v>29</v>
      </c>
      <c r="F414" t="s">
        <v>138</v>
      </c>
      <c r="G414" t="s">
        <v>1030</v>
      </c>
      <c r="H414" t="str">
        <f>"93120"</f>
        <v>93120</v>
      </c>
      <c r="I414" t="s">
        <v>54</v>
      </c>
    </row>
    <row r="415" spans="1:15" x14ac:dyDescent="0.3">
      <c r="A415" t="str">
        <f>"22896325"</f>
        <v>22896325</v>
      </c>
      <c r="B415" t="s">
        <v>1031</v>
      </c>
      <c r="C415" t="str">
        <f t="shared" si="25"/>
        <v>706</v>
      </c>
      <c r="D415" t="s">
        <v>28</v>
      </c>
      <c r="E415" t="s">
        <v>52</v>
      </c>
      <c r="F415" t="s">
        <v>234</v>
      </c>
      <c r="G415" t="s">
        <v>1032</v>
      </c>
      <c r="H415" t="str">
        <f>"9499"</f>
        <v>9499</v>
      </c>
      <c r="I415" t="s">
        <v>31</v>
      </c>
    </row>
    <row r="416" spans="1:15" x14ac:dyDescent="0.3">
      <c r="A416" t="str">
        <f>"04942515"</f>
        <v>04942515</v>
      </c>
      <c r="B416" t="s">
        <v>1033</v>
      </c>
      <c r="C416" t="str">
        <f t="shared" si="25"/>
        <v>706</v>
      </c>
      <c r="D416" t="s">
        <v>28</v>
      </c>
      <c r="E416" t="s">
        <v>23</v>
      </c>
      <c r="F416" t="s">
        <v>695</v>
      </c>
      <c r="G416" t="s">
        <v>1034</v>
      </c>
      <c r="H416" t="str">
        <f>"9499"</f>
        <v>9499</v>
      </c>
      <c r="I416" t="s">
        <v>31</v>
      </c>
    </row>
    <row r="417" spans="1:15" x14ac:dyDescent="0.3">
      <c r="A417" t="str">
        <f>"22736697"</f>
        <v>22736697</v>
      </c>
      <c r="B417" t="s">
        <v>1035</v>
      </c>
      <c r="C417" t="str">
        <f t="shared" si="25"/>
        <v>706</v>
      </c>
      <c r="D417" t="s">
        <v>28</v>
      </c>
      <c r="E417" t="s">
        <v>83</v>
      </c>
      <c r="F417" t="s">
        <v>183</v>
      </c>
      <c r="G417" t="s">
        <v>1036</v>
      </c>
      <c r="H417" t="str">
        <f>"9499"</f>
        <v>9499</v>
      </c>
      <c r="I417" t="s">
        <v>31</v>
      </c>
    </row>
    <row r="418" spans="1:15" x14ac:dyDescent="0.3">
      <c r="A418" t="str">
        <f>"47935979"</f>
        <v>47935979</v>
      </c>
      <c r="B418" t="s">
        <v>1037</v>
      </c>
      <c r="C418" t="str">
        <f t="shared" si="25"/>
        <v>706</v>
      </c>
      <c r="D418" t="s">
        <v>28</v>
      </c>
      <c r="E418" t="s">
        <v>83</v>
      </c>
      <c r="F418" t="s">
        <v>175</v>
      </c>
      <c r="G418" t="s">
        <v>1038</v>
      </c>
      <c r="H418" t="str">
        <f>"900"</f>
        <v>900</v>
      </c>
      <c r="I418" t="s">
        <v>500</v>
      </c>
    </row>
    <row r="419" spans="1:15" x14ac:dyDescent="0.3">
      <c r="A419" t="str">
        <f>"17551897"</f>
        <v>17551897</v>
      </c>
      <c r="B419" t="s">
        <v>1039</v>
      </c>
      <c r="C419" t="str">
        <f t="shared" si="25"/>
        <v>706</v>
      </c>
      <c r="D419" t="s">
        <v>28</v>
      </c>
      <c r="E419" t="s">
        <v>29</v>
      </c>
      <c r="F419" t="s">
        <v>1040</v>
      </c>
      <c r="G419" t="s">
        <v>1041</v>
      </c>
      <c r="H419" t="str">
        <f>"9499"</f>
        <v>9499</v>
      </c>
      <c r="I419" t="s">
        <v>31</v>
      </c>
    </row>
    <row r="420" spans="1:15" x14ac:dyDescent="0.3">
      <c r="A420" t="str">
        <f>"22031171"</f>
        <v>22031171</v>
      </c>
      <c r="B420" t="s">
        <v>1043</v>
      </c>
      <c r="C420" t="str">
        <f t="shared" si="25"/>
        <v>706</v>
      </c>
      <c r="D420" t="s">
        <v>28</v>
      </c>
      <c r="E420" t="s">
        <v>23</v>
      </c>
      <c r="F420" t="s">
        <v>23</v>
      </c>
      <c r="G420" t="s">
        <v>1044</v>
      </c>
      <c r="H420" t="str">
        <f>"9499"</f>
        <v>9499</v>
      </c>
      <c r="I420" t="s">
        <v>31</v>
      </c>
    </row>
    <row r="421" spans="1:15" x14ac:dyDescent="0.3">
      <c r="A421" t="str">
        <f>"06761011"</f>
        <v>06761011</v>
      </c>
      <c r="B421" t="s">
        <v>1045</v>
      </c>
      <c r="C421" t="str">
        <f t="shared" si="25"/>
        <v>706</v>
      </c>
      <c r="D421" t="s">
        <v>28</v>
      </c>
      <c r="E421" t="s">
        <v>23</v>
      </c>
      <c r="F421" t="s">
        <v>459</v>
      </c>
      <c r="G421" t="s">
        <v>1046</v>
      </c>
      <c r="H421" t="str">
        <f>"9499"</f>
        <v>9499</v>
      </c>
      <c r="I421" t="s">
        <v>31</v>
      </c>
    </row>
    <row r="422" spans="1:15" x14ac:dyDescent="0.3">
      <c r="A422" t="str">
        <f>"46276980"</f>
        <v>46276980</v>
      </c>
      <c r="B422" t="s">
        <v>1047</v>
      </c>
      <c r="C422" t="str">
        <f t="shared" si="25"/>
        <v>706</v>
      </c>
      <c r="D422" t="s">
        <v>28</v>
      </c>
      <c r="E422" t="s">
        <v>23</v>
      </c>
      <c r="F422" t="s">
        <v>23</v>
      </c>
      <c r="G422" t="s">
        <v>418</v>
      </c>
      <c r="H422" t="str">
        <f>"9499"</f>
        <v>9499</v>
      </c>
      <c r="I422" t="s">
        <v>31</v>
      </c>
    </row>
    <row r="423" spans="1:15" x14ac:dyDescent="0.3">
      <c r="A423" t="str">
        <f>"01236491"</f>
        <v>01236491</v>
      </c>
      <c r="B423" t="s">
        <v>1048</v>
      </c>
      <c r="C423" t="str">
        <f>"736"</f>
        <v>736</v>
      </c>
      <c r="D423" t="s">
        <v>22</v>
      </c>
      <c r="E423" t="s">
        <v>52</v>
      </c>
      <c r="F423" t="s">
        <v>379</v>
      </c>
      <c r="G423" t="s">
        <v>1049</v>
      </c>
      <c r="H423" t="str">
        <f>"94993"</f>
        <v>94993</v>
      </c>
      <c r="I423" t="s">
        <v>50</v>
      </c>
    </row>
    <row r="424" spans="1:15" x14ac:dyDescent="0.3">
      <c r="A424" t="str">
        <f>"27057577"</f>
        <v>27057577</v>
      </c>
      <c r="B424" t="s">
        <v>1050</v>
      </c>
      <c r="C424" t="str">
        <f>"706"</f>
        <v>706</v>
      </c>
      <c r="D424" t="s">
        <v>28</v>
      </c>
      <c r="E424" t="s">
        <v>83</v>
      </c>
      <c r="F424" t="s">
        <v>537</v>
      </c>
      <c r="G424" t="s">
        <v>1051</v>
      </c>
      <c r="H424" t="str">
        <f>"9499"</f>
        <v>9499</v>
      </c>
      <c r="I424" t="s">
        <v>31</v>
      </c>
    </row>
    <row r="425" spans="1:15" x14ac:dyDescent="0.3">
      <c r="A425" t="str">
        <f>"00209139"</f>
        <v>00209139</v>
      </c>
      <c r="B425" t="s">
        <v>1053</v>
      </c>
      <c r="C425" t="str">
        <f>"706"</f>
        <v>706</v>
      </c>
      <c r="D425" t="s">
        <v>28</v>
      </c>
      <c r="E425" t="s">
        <v>23</v>
      </c>
      <c r="F425" t="s">
        <v>23</v>
      </c>
      <c r="G425" t="s">
        <v>23</v>
      </c>
      <c r="H425" t="str">
        <f>"94910"</f>
        <v>94910</v>
      </c>
      <c r="I425" t="s">
        <v>316</v>
      </c>
    </row>
    <row r="426" spans="1:15" x14ac:dyDescent="0.3">
      <c r="A426" t="str">
        <f>"19987633"</f>
        <v>19987633</v>
      </c>
      <c r="B426" t="s">
        <v>1054</v>
      </c>
      <c r="C426" t="str">
        <f>"706"</f>
        <v>706</v>
      </c>
      <c r="D426" t="s">
        <v>28</v>
      </c>
      <c r="E426" t="s">
        <v>83</v>
      </c>
      <c r="F426" t="s">
        <v>1055</v>
      </c>
      <c r="G426" t="s">
        <v>1056</v>
      </c>
      <c r="H426" t="str">
        <f>"855"</f>
        <v>855</v>
      </c>
      <c r="I426" t="s">
        <v>146</v>
      </c>
      <c r="J426" t="s">
        <v>31</v>
      </c>
    </row>
    <row r="427" spans="1:15" x14ac:dyDescent="0.3">
      <c r="A427" t="str">
        <f>"27744485"</f>
        <v>27744485</v>
      </c>
      <c r="B427" t="s">
        <v>1057</v>
      </c>
      <c r="C427" t="str">
        <f>"141"</f>
        <v>141</v>
      </c>
      <c r="D427" t="s">
        <v>112</v>
      </c>
      <c r="E427" t="s">
        <v>23</v>
      </c>
      <c r="F427" t="s">
        <v>23</v>
      </c>
      <c r="G427" t="s">
        <v>1058</v>
      </c>
      <c r="H427" t="str">
        <f>"74"</f>
        <v>74</v>
      </c>
      <c r="I427" t="s">
        <v>423</v>
      </c>
      <c r="J427" t="s">
        <v>1059</v>
      </c>
      <c r="K427" t="s">
        <v>595</v>
      </c>
      <c r="L427" t="s">
        <v>1060</v>
      </c>
      <c r="M427" t="s">
        <v>598</v>
      </c>
      <c r="N427" t="s">
        <v>146</v>
      </c>
      <c r="O427" t="s">
        <v>1061</v>
      </c>
    </row>
    <row r="428" spans="1:15" x14ac:dyDescent="0.3">
      <c r="A428" t="str">
        <f>"17996406"</f>
        <v>17996406</v>
      </c>
      <c r="B428" t="s">
        <v>1062</v>
      </c>
      <c r="C428" t="str">
        <f>"706"</f>
        <v>706</v>
      </c>
      <c r="D428" t="s">
        <v>28</v>
      </c>
      <c r="E428" t="s">
        <v>23</v>
      </c>
      <c r="F428" t="s">
        <v>1063</v>
      </c>
      <c r="G428" t="s">
        <v>1064</v>
      </c>
      <c r="H428" t="str">
        <f>"9499"</f>
        <v>9499</v>
      </c>
      <c r="I428" t="s">
        <v>31</v>
      </c>
    </row>
    <row r="429" spans="1:15" x14ac:dyDescent="0.3">
      <c r="A429" t="str">
        <f>"22878408"</f>
        <v>22878408</v>
      </c>
      <c r="B429" t="s">
        <v>1065</v>
      </c>
      <c r="C429" t="str">
        <f>"141"</f>
        <v>141</v>
      </c>
      <c r="D429" t="s">
        <v>112</v>
      </c>
      <c r="E429" t="s">
        <v>23</v>
      </c>
      <c r="F429" t="s">
        <v>23</v>
      </c>
      <c r="G429" t="s">
        <v>279</v>
      </c>
      <c r="H429" t="str">
        <f>"855"</f>
        <v>855</v>
      </c>
      <c r="I429" t="s">
        <v>146</v>
      </c>
      <c r="J429" t="s">
        <v>1066</v>
      </c>
      <c r="K429" t="s">
        <v>1067</v>
      </c>
      <c r="L429" t="s">
        <v>241</v>
      </c>
    </row>
    <row r="430" spans="1:15" x14ac:dyDescent="0.3">
      <c r="A430" t="str">
        <f>"26635381"</f>
        <v>26635381</v>
      </c>
      <c r="B430" t="s">
        <v>1068</v>
      </c>
      <c r="C430" t="str">
        <f t="shared" ref="C430:C435" si="26">"706"</f>
        <v>706</v>
      </c>
      <c r="D430" t="s">
        <v>28</v>
      </c>
      <c r="E430" t="s">
        <v>23</v>
      </c>
      <c r="F430" t="s">
        <v>23</v>
      </c>
      <c r="G430" t="s">
        <v>1069</v>
      </c>
      <c r="H430" t="str">
        <f>"93110"</f>
        <v>93110</v>
      </c>
      <c r="I430" t="s">
        <v>92</v>
      </c>
    </row>
    <row r="431" spans="1:15" x14ac:dyDescent="0.3">
      <c r="A431" t="str">
        <f>"22693173"</f>
        <v>22693173</v>
      </c>
      <c r="B431" t="s">
        <v>1070</v>
      </c>
      <c r="C431" t="str">
        <f t="shared" si="26"/>
        <v>706</v>
      </c>
      <c r="D431" t="s">
        <v>28</v>
      </c>
      <c r="E431" t="s">
        <v>52</v>
      </c>
      <c r="F431" t="s">
        <v>612</v>
      </c>
      <c r="G431" t="s">
        <v>963</v>
      </c>
      <c r="H431" t="str">
        <f>"9499"</f>
        <v>9499</v>
      </c>
      <c r="I431" t="s">
        <v>31</v>
      </c>
    </row>
    <row r="432" spans="1:15" x14ac:dyDescent="0.3">
      <c r="A432" t="str">
        <f>"11855568"</f>
        <v>11855568</v>
      </c>
      <c r="B432" t="s">
        <v>1071</v>
      </c>
      <c r="C432" t="str">
        <f t="shared" si="26"/>
        <v>706</v>
      </c>
      <c r="D432" t="s">
        <v>28</v>
      </c>
      <c r="E432" t="s">
        <v>83</v>
      </c>
      <c r="F432" t="s">
        <v>537</v>
      </c>
      <c r="G432" t="s">
        <v>1072</v>
      </c>
      <c r="H432" t="str">
        <f>"93190"</f>
        <v>93190</v>
      </c>
      <c r="I432" t="s">
        <v>59</v>
      </c>
    </row>
    <row r="433" spans="1:22" x14ac:dyDescent="0.3">
      <c r="A433" t="str">
        <f>"09719067"</f>
        <v>09719067</v>
      </c>
      <c r="B433" t="s">
        <v>1073</v>
      </c>
      <c r="C433" t="str">
        <f t="shared" si="26"/>
        <v>706</v>
      </c>
      <c r="D433" t="s">
        <v>28</v>
      </c>
      <c r="E433" t="s">
        <v>52</v>
      </c>
      <c r="F433" t="s">
        <v>379</v>
      </c>
      <c r="G433" t="s">
        <v>1074</v>
      </c>
      <c r="H433" t="str">
        <f>"9499"</f>
        <v>9499</v>
      </c>
      <c r="I433" t="s">
        <v>31</v>
      </c>
    </row>
    <row r="434" spans="1:22" x14ac:dyDescent="0.3">
      <c r="A434" t="str">
        <f>"27060306"</f>
        <v>27060306</v>
      </c>
      <c r="B434" t="s">
        <v>1075</v>
      </c>
      <c r="C434" t="str">
        <f t="shared" si="26"/>
        <v>706</v>
      </c>
      <c r="D434" t="s">
        <v>28</v>
      </c>
      <c r="E434" t="s">
        <v>52</v>
      </c>
      <c r="F434" t="s">
        <v>144</v>
      </c>
      <c r="G434" t="s">
        <v>1076</v>
      </c>
      <c r="H434" t="str">
        <f>"9499"</f>
        <v>9499</v>
      </c>
      <c r="I434" t="s">
        <v>31</v>
      </c>
    </row>
    <row r="435" spans="1:22" x14ac:dyDescent="0.3">
      <c r="A435" t="str">
        <f>"22714332"</f>
        <v>22714332</v>
      </c>
      <c r="B435" t="s">
        <v>1077</v>
      </c>
      <c r="C435" t="str">
        <f t="shared" si="26"/>
        <v>706</v>
      </c>
      <c r="D435" t="s">
        <v>28</v>
      </c>
      <c r="E435" t="s">
        <v>52</v>
      </c>
      <c r="F435" t="s">
        <v>1078</v>
      </c>
      <c r="G435" t="s">
        <v>1079</v>
      </c>
      <c r="H435" t="str">
        <f>"94991"</f>
        <v>94991</v>
      </c>
      <c r="I435" t="s">
        <v>433</v>
      </c>
    </row>
    <row r="436" spans="1:22" x14ac:dyDescent="0.3">
      <c r="A436" t="str">
        <f>"04558359"</f>
        <v>04558359</v>
      </c>
      <c r="B436" t="s">
        <v>1080</v>
      </c>
      <c r="C436" t="str">
        <f>"161"</f>
        <v>161</v>
      </c>
      <c r="D436" t="s">
        <v>152</v>
      </c>
      <c r="E436" t="s">
        <v>23</v>
      </c>
      <c r="F436" t="s">
        <v>23</v>
      </c>
      <c r="G436" t="s">
        <v>1081</v>
      </c>
      <c r="H436" t="str">
        <f t="shared" ref="H436:H448" si="27">"9499"</f>
        <v>9499</v>
      </c>
      <c r="I436" t="s">
        <v>31</v>
      </c>
      <c r="J436" t="s">
        <v>258</v>
      </c>
      <c r="K436" t="s">
        <v>159</v>
      </c>
      <c r="L436" t="s">
        <v>498</v>
      </c>
      <c r="M436" t="s">
        <v>260</v>
      </c>
      <c r="N436" t="s">
        <v>146</v>
      </c>
      <c r="O436" t="s">
        <v>160</v>
      </c>
      <c r="P436" t="s">
        <v>313</v>
      </c>
      <c r="Q436" t="s">
        <v>262</v>
      </c>
      <c r="R436" t="s">
        <v>162</v>
      </c>
      <c r="S436" t="s">
        <v>263</v>
      </c>
      <c r="T436" t="s">
        <v>163</v>
      </c>
      <c r="U436" t="s">
        <v>59</v>
      </c>
      <c r="V436" t="s">
        <v>148</v>
      </c>
    </row>
    <row r="437" spans="1:22" x14ac:dyDescent="0.3">
      <c r="A437" t="str">
        <f>"02235269"</f>
        <v>02235269</v>
      </c>
      <c r="B437" t="s">
        <v>1082</v>
      </c>
      <c r="C437" t="str">
        <f t="shared" ref="C437:C454" si="28">"706"</f>
        <v>706</v>
      </c>
      <c r="D437" t="s">
        <v>28</v>
      </c>
      <c r="E437" t="s">
        <v>83</v>
      </c>
      <c r="F437" t="s">
        <v>83</v>
      </c>
      <c r="G437" t="s">
        <v>1083</v>
      </c>
      <c r="H437" t="str">
        <f t="shared" si="27"/>
        <v>9499</v>
      </c>
      <c r="I437" t="s">
        <v>31</v>
      </c>
    </row>
    <row r="438" spans="1:22" x14ac:dyDescent="0.3">
      <c r="A438" t="str">
        <f>"22869719"</f>
        <v>22869719</v>
      </c>
      <c r="B438" t="s">
        <v>1084</v>
      </c>
      <c r="C438" t="str">
        <f t="shared" si="28"/>
        <v>706</v>
      </c>
      <c r="D438" t="s">
        <v>28</v>
      </c>
      <c r="E438" t="s">
        <v>52</v>
      </c>
      <c r="F438" t="s">
        <v>334</v>
      </c>
      <c r="G438" t="s">
        <v>1085</v>
      </c>
      <c r="H438" t="str">
        <f t="shared" si="27"/>
        <v>9499</v>
      </c>
      <c r="I438" t="s">
        <v>31</v>
      </c>
    </row>
    <row r="439" spans="1:22" x14ac:dyDescent="0.3">
      <c r="A439" t="str">
        <f>"01641310"</f>
        <v>01641310</v>
      </c>
      <c r="B439" t="s">
        <v>1086</v>
      </c>
      <c r="C439" t="str">
        <f t="shared" si="28"/>
        <v>706</v>
      </c>
      <c r="D439" t="s">
        <v>28</v>
      </c>
      <c r="E439" t="s">
        <v>23</v>
      </c>
      <c r="F439" t="s">
        <v>23</v>
      </c>
      <c r="G439" t="s">
        <v>1087</v>
      </c>
      <c r="H439" t="str">
        <f t="shared" si="27"/>
        <v>9499</v>
      </c>
      <c r="I439" t="s">
        <v>31</v>
      </c>
    </row>
    <row r="440" spans="1:22" x14ac:dyDescent="0.3">
      <c r="A440" t="str">
        <f>"26567083"</f>
        <v>26567083</v>
      </c>
      <c r="B440" t="s">
        <v>1088</v>
      </c>
      <c r="C440" t="str">
        <f t="shared" si="28"/>
        <v>706</v>
      </c>
      <c r="D440" t="s">
        <v>28</v>
      </c>
      <c r="E440" t="s">
        <v>23</v>
      </c>
      <c r="F440" t="s">
        <v>23</v>
      </c>
      <c r="G440" t="s">
        <v>1089</v>
      </c>
      <c r="H440" t="str">
        <f t="shared" si="27"/>
        <v>9499</v>
      </c>
      <c r="I440" t="s">
        <v>31</v>
      </c>
    </row>
    <row r="441" spans="1:22" x14ac:dyDescent="0.3">
      <c r="A441" t="str">
        <f>"22881433"</f>
        <v>22881433</v>
      </c>
      <c r="B441" t="s">
        <v>1090</v>
      </c>
      <c r="C441" t="str">
        <f t="shared" si="28"/>
        <v>706</v>
      </c>
      <c r="D441" t="s">
        <v>28</v>
      </c>
      <c r="E441" t="s">
        <v>52</v>
      </c>
      <c r="F441" t="s">
        <v>234</v>
      </c>
      <c r="G441" t="s">
        <v>1091</v>
      </c>
      <c r="H441" t="str">
        <f t="shared" si="27"/>
        <v>9499</v>
      </c>
      <c r="I441" t="s">
        <v>31</v>
      </c>
    </row>
    <row r="442" spans="1:22" x14ac:dyDescent="0.3">
      <c r="A442" t="str">
        <f>"22711201"</f>
        <v>22711201</v>
      </c>
      <c r="B442" t="s">
        <v>1092</v>
      </c>
      <c r="C442" t="str">
        <f t="shared" si="28"/>
        <v>706</v>
      </c>
      <c r="D442" t="s">
        <v>28</v>
      </c>
      <c r="E442" t="s">
        <v>29</v>
      </c>
      <c r="F442" t="s">
        <v>195</v>
      </c>
      <c r="G442" t="s">
        <v>1093</v>
      </c>
      <c r="H442" t="str">
        <f t="shared" si="27"/>
        <v>9499</v>
      </c>
      <c r="I442" t="s">
        <v>31</v>
      </c>
    </row>
    <row r="443" spans="1:22" x14ac:dyDescent="0.3">
      <c r="A443" t="str">
        <f>"27033261"</f>
        <v>27033261</v>
      </c>
      <c r="B443" t="s">
        <v>1094</v>
      </c>
      <c r="C443" t="str">
        <f t="shared" si="28"/>
        <v>706</v>
      </c>
      <c r="D443" t="s">
        <v>28</v>
      </c>
      <c r="E443" t="s">
        <v>23</v>
      </c>
      <c r="F443" t="s">
        <v>23</v>
      </c>
      <c r="G443" t="s">
        <v>1095</v>
      </c>
      <c r="H443" t="str">
        <f t="shared" si="27"/>
        <v>9499</v>
      </c>
      <c r="I443" t="s">
        <v>31</v>
      </c>
    </row>
    <row r="444" spans="1:22" x14ac:dyDescent="0.3">
      <c r="A444" t="str">
        <f>"26609908"</f>
        <v>26609908</v>
      </c>
      <c r="B444" t="s">
        <v>1096</v>
      </c>
      <c r="C444" t="str">
        <f t="shared" si="28"/>
        <v>706</v>
      </c>
      <c r="D444" t="s">
        <v>28</v>
      </c>
      <c r="E444" t="s">
        <v>52</v>
      </c>
      <c r="F444" t="s">
        <v>113</v>
      </c>
      <c r="G444" t="s">
        <v>1097</v>
      </c>
      <c r="H444" t="str">
        <f t="shared" si="27"/>
        <v>9499</v>
      </c>
      <c r="I444" t="s">
        <v>31</v>
      </c>
    </row>
    <row r="445" spans="1:22" x14ac:dyDescent="0.3">
      <c r="A445" t="str">
        <f>"22846310"</f>
        <v>22846310</v>
      </c>
      <c r="B445" t="s">
        <v>1098</v>
      </c>
      <c r="C445" t="str">
        <f t="shared" si="28"/>
        <v>706</v>
      </c>
      <c r="D445" t="s">
        <v>28</v>
      </c>
      <c r="E445" t="s">
        <v>29</v>
      </c>
      <c r="F445" t="s">
        <v>29</v>
      </c>
      <c r="G445" t="s">
        <v>1099</v>
      </c>
      <c r="H445" t="str">
        <f t="shared" si="27"/>
        <v>9499</v>
      </c>
      <c r="I445" t="s">
        <v>31</v>
      </c>
    </row>
    <row r="446" spans="1:22" x14ac:dyDescent="0.3">
      <c r="A446" t="str">
        <f>"07681712"</f>
        <v>07681712</v>
      </c>
      <c r="B446" t="s">
        <v>1100</v>
      </c>
      <c r="C446" t="str">
        <f t="shared" si="28"/>
        <v>706</v>
      </c>
      <c r="D446" t="s">
        <v>28</v>
      </c>
      <c r="E446" t="s">
        <v>83</v>
      </c>
      <c r="F446" t="s">
        <v>83</v>
      </c>
      <c r="G446" t="s">
        <v>1101</v>
      </c>
      <c r="H446" t="str">
        <f t="shared" si="27"/>
        <v>9499</v>
      </c>
      <c r="I446" t="s">
        <v>31</v>
      </c>
    </row>
    <row r="447" spans="1:22" x14ac:dyDescent="0.3">
      <c r="A447" t="str">
        <f>"22843477"</f>
        <v>22843477</v>
      </c>
      <c r="B447" t="s">
        <v>1103</v>
      </c>
      <c r="C447" t="str">
        <f t="shared" si="28"/>
        <v>706</v>
      </c>
      <c r="D447" t="s">
        <v>28</v>
      </c>
      <c r="E447" t="s">
        <v>52</v>
      </c>
      <c r="F447" t="s">
        <v>113</v>
      </c>
      <c r="G447" t="s">
        <v>1104</v>
      </c>
      <c r="H447" t="str">
        <f t="shared" si="27"/>
        <v>9499</v>
      </c>
      <c r="I447" t="s">
        <v>31</v>
      </c>
    </row>
    <row r="448" spans="1:22" x14ac:dyDescent="0.3">
      <c r="A448" t="str">
        <f>"22853006"</f>
        <v>22853006</v>
      </c>
      <c r="B448" t="s">
        <v>1105</v>
      </c>
      <c r="C448" t="str">
        <f t="shared" si="28"/>
        <v>706</v>
      </c>
      <c r="D448" t="s">
        <v>28</v>
      </c>
      <c r="E448" t="s">
        <v>23</v>
      </c>
      <c r="F448" t="s">
        <v>107</v>
      </c>
      <c r="G448" t="s">
        <v>1106</v>
      </c>
      <c r="H448" t="str">
        <f t="shared" si="27"/>
        <v>9499</v>
      </c>
      <c r="I448" t="s">
        <v>31</v>
      </c>
    </row>
    <row r="449" spans="1:19" x14ac:dyDescent="0.3">
      <c r="A449" t="str">
        <f>"01170686"</f>
        <v>01170686</v>
      </c>
      <c r="B449" t="s">
        <v>1107</v>
      </c>
      <c r="C449" t="str">
        <f t="shared" si="28"/>
        <v>706</v>
      </c>
      <c r="D449" t="s">
        <v>28</v>
      </c>
      <c r="E449" t="s">
        <v>29</v>
      </c>
      <c r="F449" t="s">
        <v>852</v>
      </c>
      <c r="G449" t="s">
        <v>1108</v>
      </c>
      <c r="H449" t="str">
        <f>"94991"</f>
        <v>94991</v>
      </c>
      <c r="I449" t="s">
        <v>433</v>
      </c>
    </row>
    <row r="450" spans="1:19" x14ac:dyDescent="0.3">
      <c r="A450" t="str">
        <f>"22856919"</f>
        <v>22856919</v>
      </c>
      <c r="B450" t="s">
        <v>1109</v>
      </c>
      <c r="C450" t="str">
        <f t="shared" si="28"/>
        <v>706</v>
      </c>
      <c r="D450" t="s">
        <v>28</v>
      </c>
      <c r="E450" t="s">
        <v>23</v>
      </c>
      <c r="F450" t="s">
        <v>68</v>
      </c>
      <c r="G450" t="s">
        <v>1110</v>
      </c>
      <c r="H450" t="str">
        <f>"9499"</f>
        <v>9499</v>
      </c>
      <c r="I450" t="s">
        <v>31</v>
      </c>
    </row>
    <row r="451" spans="1:19" x14ac:dyDescent="0.3">
      <c r="A451" t="str">
        <f>"05362512"</f>
        <v>05362512</v>
      </c>
      <c r="B451" t="s">
        <v>1111</v>
      </c>
      <c r="C451" t="str">
        <f t="shared" si="28"/>
        <v>706</v>
      </c>
      <c r="D451" t="s">
        <v>28</v>
      </c>
      <c r="E451" t="s">
        <v>29</v>
      </c>
      <c r="F451" t="s">
        <v>29</v>
      </c>
      <c r="G451" t="s">
        <v>1099</v>
      </c>
      <c r="H451" t="str">
        <f>"9499"</f>
        <v>9499</v>
      </c>
      <c r="I451" t="s">
        <v>31</v>
      </c>
    </row>
    <row r="452" spans="1:19" x14ac:dyDescent="0.3">
      <c r="A452" t="str">
        <f>"48473936"</f>
        <v>48473936</v>
      </c>
      <c r="B452" t="s">
        <v>1112</v>
      </c>
      <c r="C452" t="str">
        <f t="shared" si="28"/>
        <v>706</v>
      </c>
      <c r="D452" t="s">
        <v>28</v>
      </c>
      <c r="E452" t="s">
        <v>23</v>
      </c>
      <c r="F452" t="s">
        <v>23</v>
      </c>
      <c r="G452" t="s">
        <v>1113</v>
      </c>
      <c r="H452" t="str">
        <f>"9499"</f>
        <v>9499</v>
      </c>
      <c r="I452" t="s">
        <v>31</v>
      </c>
    </row>
    <row r="453" spans="1:19" x14ac:dyDescent="0.3">
      <c r="A453" t="str">
        <f>"27058506"</f>
        <v>27058506</v>
      </c>
      <c r="B453" t="s">
        <v>1114</v>
      </c>
      <c r="C453" t="str">
        <f t="shared" si="28"/>
        <v>706</v>
      </c>
      <c r="D453" t="s">
        <v>28</v>
      </c>
      <c r="E453" t="s">
        <v>52</v>
      </c>
      <c r="F453" t="s">
        <v>113</v>
      </c>
      <c r="G453" t="s">
        <v>1115</v>
      </c>
      <c r="H453" t="str">
        <f>"94"</f>
        <v>94</v>
      </c>
      <c r="I453" t="s">
        <v>1016</v>
      </c>
    </row>
    <row r="454" spans="1:19" x14ac:dyDescent="0.3">
      <c r="A454" t="str">
        <f>"26990717"</f>
        <v>26990717</v>
      </c>
      <c r="B454" t="s">
        <v>1116</v>
      </c>
      <c r="C454" t="str">
        <f t="shared" si="28"/>
        <v>706</v>
      </c>
      <c r="D454" t="s">
        <v>28</v>
      </c>
      <c r="E454" t="s">
        <v>83</v>
      </c>
      <c r="F454" t="s">
        <v>83</v>
      </c>
      <c r="G454" t="s">
        <v>767</v>
      </c>
      <c r="H454" t="str">
        <f>"94996"</f>
        <v>94996</v>
      </c>
      <c r="I454" t="s">
        <v>47</v>
      </c>
    </row>
    <row r="455" spans="1:19" x14ac:dyDescent="0.3">
      <c r="A455" t="str">
        <f>"29295327"</f>
        <v>29295327</v>
      </c>
      <c r="B455" t="s">
        <v>1117</v>
      </c>
      <c r="C455" t="str">
        <f>"141"</f>
        <v>141</v>
      </c>
      <c r="D455" t="s">
        <v>112</v>
      </c>
      <c r="E455" t="s">
        <v>83</v>
      </c>
      <c r="F455" t="s">
        <v>175</v>
      </c>
      <c r="G455" t="s">
        <v>1118</v>
      </c>
      <c r="H455" t="str">
        <f>"8730"</f>
        <v>8730</v>
      </c>
      <c r="I455" t="s">
        <v>1119</v>
      </c>
      <c r="J455" t="s">
        <v>499</v>
      </c>
      <c r="K455" t="s">
        <v>146</v>
      </c>
      <c r="L455" t="s">
        <v>622</v>
      </c>
      <c r="M455" t="s">
        <v>1120</v>
      </c>
      <c r="N455" t="s">
        <v>161</v>
      </c>
    </row>
    <row r="456" spans="1:19" x14ac:dyDescent="0.3">
      <c r="A456" t="str">
        <f>"02506424"</f>
        <v>02506424</v>
      </c>
      <c r="B456" t="s">
        <v>1122</v>
      </c>
      <c r="C456" t="str">
        <f>"706"</f>
        <v>706</v>
      </c>
      <c r="D456" t="s">
        <v>28</v>
      </c>
      <c r="E456" t="s">
        <v>29</v>
      </c>
      <c r="F456" t="s">
        <v>195</v>
      </c>
      <c r="G456" t="s">
        <v>1123</v>
      </c>
      <c r="H456" t="str">
        <f>"9499"</f>
        <v>9499</v>
      </c>
      <c r="I456" t="s">
        <v>31</v>
      </c>
    </row>
    <row r="457" spans="1:19" x14ac:dyDescent="0.3">
      <c r="A457" t="str">
        <f>"26593823"</f>
        <v>26593823</v>
      </c>
      <c r="B457" t="s">
        <v>1124</v>
      </c>
      <c r="C457" t="str">
        <f>"141"</f>
        <v>141</v>
      </c>
      <c r="D457" t="s">
        <v>112</v>
      </c>
      <c r="E457" t="s">
        <v>23</v>
      </c>
      <c r="F457" t="s">
        <v>23</v>
      </c>
      <c r="G457" t="s">
        <v>280</v>
      </c>
      <c r="H457" t="str">
        <f>"9499"</f>
        <v>9499</v>
      </c>
      <c r="I457" t="s">
        <v>31</v>
      </c>
      <c r="J457" t="s">
        <v>1125</v>
      </c>
    </row>
    <row r="458" spans="1:19" x14ac:dyDescent="0.3">
      <c r="A458" t="str">
        <f>"02444232"</f>
        <v>02444232</v>
      </c>
      <c r="B458" t="s">
        <v>1124</v>
      </c>
      <c r="C458" t="str">
        <f>"141"</f>
        <v>141</v>
      </c>
      <c r="D458" t="s">
        <v>112</v>
      </c>
      <c r="E458" t="s">
        <v>23</v>
      </c>
      <c r="F458" t="s">
        <v>23</v>
      </c>
      <c r="G458" t="s">
        <v>23</v>
      </c>
      <c r="H458" t="str">
        <f>"8690"</f>
        <v>8690</v>
      </c>
      <c r="I458" t="s">
        <v>1120</v>
      </c>
      <c r="J458" t="s">
        <v>160</v>
      </c>
    </row>
    <row r="459" spans="1:19" x14ac:dyDescent="0.3">
      <c r="A459" t="str">
        <f>"22748211"</f>
        <v>22748211</v>
      </c>
      <c r="B459" t="s">
        <v>1126</v>
      </c>
      <c r="C459" t="str">
        <f>"706"</f>
        <v>706</v>
      </c>
      <c r="D459" t="s">
        <v>28</v>
      </c>
      <c r="E459" t="s">
        <v>52</v>
      </c>
      <c r="F459" t="s">
        <v>113</v>
      </c>
      <c r="G459" t="s">
        <v>1127</v>
      </c>
      <c r="H459" t="str">
        <f>"9499"</f>
        <v>9499</v>
      </c>
      <c r="I459" t="s">
        <v>31</v>
      </c>
    </row>
    <row r="460" spans="1:19" x14ac:dyDescent="0.3">
      <c r="A460" t="str">
        <f>"02200651"</f>
        <v>02200651</v>
      </c>
      <c r="B460" t="s">
        <v>1128</v>
      </c>
      <c r="C460" t="str">
        <f>"706"</f>
        <v>706</v>
      </c>
      <c r="D460" t="s">
        <v>28</v>
      </c>
      <c r="E460" t="s">
        <v>23</v>
      </c>
      <c r="F460" t="s">
        <v>23</v>
      </c>
      <c r="G460" t="s">
        <v>1129</v>
      </c>
      <c r="H460" t="str">
        <f>"9499"</f>
        <v>9499</v>
      </c>
      <c r="I460" t="s">
        <v>31</v>
      </c>
    </row>
    <row r="461" spans="1:19" x14ac:dyDescent="0.3">
      <c r="A461" t="str">
        <f>"25300083"</f>
        <v>25300083</v>
      </c>
      <c r="B461" t="s">
        <v>1130</v>
      </c>
      <c r="C461" t="str">
        <f>"141"</f>
        <v>141</v>
      </c>
      <c r="D461" t="s">
        <v>112</v>
      </c>
      <c r="E461" t="s">
        <v>23</v>
      </c>
      <c r="F461" t="s">
        <v>23</v>
      </c>
      <c r="G461" t="s">
        <v>1131</v>
      </c>
      <c r="H461" t="str">
        <f>"88102"</f>
        <v>88102</v>
      </c>
      <c r="I461" t="s">
        <v>1125</v>
      </c>
      <c r="J461" t="s">
        <v>155</v>
      </c>
      <c r="K461" t="s">
        <v>1132</v>
      </c>
      <c r="L461" t="s">
        <v>423</v>
      </c>
      <c r="M461" t="s">
        <v>1133</v>
      </c>
      <c r="N461" t="s">
        <v>260</v>
      </c>
      <c r="O461" t="s">
        <v>1120</v>
      </c>
      <c r="P461" t="s">
        <v>1134</v>
      </c>
      <c r="Q461" t="s">
        <v>1135</v>
      </c>
      <c r="R461" t="s">
        <v>1136</v>
      </c>
      <c r="S461" t="s">
        <v>354</v>
      </c>
    </row>
    <row r="462" spans="1:19" x14ac:dyDescent="0.3">
      <c r="A462" t="str">
        <f>"22904905"</f>
        <v>22904905</v>
      </c>
      <c r="B462" t="s">
        <v>1137</v>
      </c>
      <c r="C462" t="str">
        <f>"706"</f>
        <v>706</v>
      </c>
      <c r="D462" t="s">
        <v>28</v>
      </c>
      <c r="E462" t="s">
        <v>23</v>
      </c>
      <c r="F462" t="s">
        <v>23</v>
      </c>
      <c r="G462" t="s">
        <v>1138</v>
      </c>
      <c r="H462" t="str">
        <f>"94999"</f>
        <v>94999</v>
      </c>
      <c r="I462" t="s">
        <v>202</v>
      </c>
    </row>
    <row r="463" spans="1:19" x14ac:dyDescent="0.3">
      <c r="A463" t="str">
        <f>"26223694"</f>
        <v>26223694</v>
      </c>
      <c r="B463" t="s">
        <v>1139</v>
      </c>
      <c r="C463" t="str">
        <f>"141"</f>
        <v>141</v>
      </c>
      <c r="D463" t="s">
        <v>112</v>
      </c>
      <c r="E463" t="s">
        <v>83</v>
      </c>
      <c r="F463" t="s">
        <v>537</v>
      </c>
      <c r="G463" t="s">
        <v>1140</v>
      </c>
      <c r="H463" t="str">
        <f>"855"</f>
        <v>855</v>
      </c>
      <c r="I463" t="s">
        <v>146</v>
      </c>
    </row>
    <row r="464" spans="1:19" x14ac:dyDescent="0.3">
      <c r="A464" t="str">
        <f>"27001997"</f>
        <v>27001997</v>
      </c>
      <c r="B464" t="s">
        <v>1142</v>
      </c>
      <c r="C464" t="str">
        <f>"706"</f>
        <v>706</v>
      </c>
      <c r="D464" t="s">
        <v>28</v>
      </c>
      <c r="E464" t="s">
        <v>23</v>
      </c>
      <c r="F464" t="s">
        <v>23</v>
      </c>
      <c r="G464" t="s">
        <v>1143</v>
      </c>
      <c r="H464" t="str">
        <f>"9499"</f>
        <v>9499</v>
      </c>
      <c r="I464" t="s">
        <v>31</v>
      </c>
    </row>
    <row r="465" spans="1:14" x14ac:dyDescent="0.3">
      <c r="A465" t="str">
        <f>"11931302"</f>
        <v>11931302</v>
      </c>
      <c r="B465" t="s">
        <v>1144</v>
      </c>
      <c r="C465" t="str">
        <f>"161"</f>
        <v>161</v>
      </c>
      <c r="D465" t="s">
        <v>152</v>
      </c>
      <c r="E465" t="s">
        <v>23</v>
      </c>
      <c r="F465" t="s">
        <v>23</v>
      </c>
      <c r="G465" t="s">
        <v>1145</v>
      </c>
      <c r="H465" t="str">
        <f>"9499"</f>
        <v>9499</v>
      </c>
      <c r="I465" t="s">
        <v>31</v>
      </c>
    </row>
    <row r="466" spans="1:14" x14ac:dyDescent="0.3">
      <c r="A466" t="str">
        <f>"26638681"</f>
        <v>26638681</v>
      </c>
      <c r="B466" t="s">
        <v>1146</v>
      </c>
      <c r="C466" t="str">
        <f t="shared" ref="C466:C477" si="29">"706"</f>
        <v>706</v>
      </c>
      <c r="D466" t="s">
        <v>28</v>
      </c>
      <c r="E466" t="s">
        <v>52</v>
      </c>
      <c r="F466" t="s">
        <v>113</v>
      </c>
      <c r="G466" t="s">
        <v>1147</v>
      </c>
      <c r="H466" t="str">
        <f>"9499"</f>
        <v>9499</v>
      </c>
      <c r="I466" t="s">
        <v>31</v>
      </c>
    </row>
    <row r="467" spans="1:14" x14ac:dyDescent="0.3">
      <c r="A467" t="str">
        <f>"03029620"</f>
        <v>03029620</v>
      </c>
      <c r="B467" t="s">
        <v>1148</v>
      </c>
      <c r="C467" t="str">
        <f t="shared" si="29"/>
        <v>706</v>
      </c>
      <c r="D467" t="s">
        <v>28</v>
      </c>
      <c r="E467" t="s">
        <v>23</v>
      </c>
      <c r="F467" t="s">
        <v>975</v>
      </c>
      <c r="G467" t="s">
        <v>1149</v>
      </c>
      <c r="H467" t="str">
        <f>"94993"</f>
        <v>94993</v>
      </c>
      <c r="I467" t="s">
        <v>50</v>
      </c>
    </row>
    <row r="468" spans="1:14" x14ac:dyDescent="0.3">
      <c r="A468" t="str">
        <f>"60575981"</f>
        <v>60575981</v>
      </c>
      <c r="B468" t="s">
        <v>1150</v>
      </c>
      <c r="C468" t="str">
        <f t="shared" si="29"/>
        <v>706</v>
      </c>
      <c r="D468" t="s">
        <v>28</v>
      </c>
      <c r="E468" t="s">
        <v>83</v>
      </c>
      <c r="F468" t="s">
        <v>83</v>
      </c>
      <c r="G468" t="s">
        <v>1151</v>
      </c>
      <c r="H468" t="str">
        <f>"94993"</f>
        <v>94993</v>
      </c>
      <c r="I468" t="s">
        <v>50</v>
      </c>
    </row>
    <row r="469" spans="1:14" x14ac:dyDescent="0.3">
      <c r="A469" t="str">
        <f>"04337387"</f>
        <v>04337387</v>
      </c>
      <c r="B469" t="s">
        <v>1152</v>
      </c>
      <c r="C469" t="str">
        <f t="shared" si="29"/>
        <v>706</v>
      </c>
      <c r="D469" t="s">
        <v>28</v>
      </c>
      <c r="E469" t="s">
        <v>29</v>
      </c>
      <c r="F469" t="s">
        <v>38</v>
      </c>
      <c r="G469" t="s">
        <v>1153</v>
      </c>
      <c r="H469" t="str">
        <f>"9499"</f>
        <v>9499</v>
      </c>
      <c r="I469" t="s">
        <v>31</v>
      </c>
    </row>
    <row r="470" spans="1:14" x14ac:dyDescent="0.3">
      <c r="A470" t="str">
        <f>"10778403"</f>
        <v>10778403</v>
      </c>
      <c r="B470" t="s">
        <v>1155</v>
      </c>
      <c r="C470" t="str">
        <f t="shared" si="29"/>
        <v>706</v>
      </c>
      <c r="D470" t="s">
        <v>28</v>
      </c>
      <c r="E470" t="s">
        <v>23</v>
      </c>
      <c r="F470" t="s">
        <v>24</v>
      </c>
      <c r="G470" t="s">
        <v>1156</v>
      </c>
      <c r="H470" t="str">
        <f>"9499"</f>
        <v>9499</v>
      </c>
      <c r="I470" t="s">
        <v>31</v>
      </c>
    </row>
    <row r="471" spans="1:14" x14ac:dyDescent="0.3">
      <c r="A471" t="str">
        <f>"06868622"</f>
        <v>06868622</v>
      </c>
      <c r="B471" t="s">
        <v>1157</v>
      </c>
      <c r="C471" t="str">
        <f t="shared" si="29"/>
        <v>706</v>
      </c>
      <c r="D471" t="s">
        <v>28</v>
      </c>
      <c r="E471" t="s">
        <v>23</v>
      </c>
      <c r="F471" t="s">
        <v>24</v>
      </c>
      <c r="G471" t="s">
        <v>850</v>
      </c>
      <c r="H471" t="str">
        <f>"9499"</f>
        <v>9499</v>
      </c>
      <c r="I471" t="s">
        <v>31</v>
      </c>
    </row>
    <row r="472" spans="1:14" x14ac:dyDescent="0.3">
      <c r="A472" t="str">
        <f>"04302362"</f>
        <v>04302362</v>
      </c>
      <c r="B472" t="s">
        <v>1158</v>
      </c>
      <c r="C472" t="str">
        <f t="shared" si="29"/>
        <v>706</v>
      </c>
      <c r="D472" t="s">
        <v>28</v>
      </c>
      <c r="E472" t="s">
        <v>52</v>
      </c>
      <c r="F472" t="s">
        <v>52</v>
      </c>
      <c r="G472" t="s">
        <v>1159</v>
      </c>
      <c r="H472" t="str">
        <f>"94999"</f>
        <v>94999</v>
      </c>
      <c r="I472" t="s">
        <v>202</v>
      </c>
      <c r="J472" t="s">
        <v>159</v>
      </c>
      <c r="K472" t="s">
        <v>498</v>
      </c>
      <c r="L472" t="s">
        <v>260</v>
      </c>
      <c r="M472" t="s">
        <v>598</v>
      </c>
      <c r="N472" t="s">
        <v>1160</v>
      </c>
    </row>
    <row r="473" spans="1:14" x14ac:dyDescent="0.3">
      <c r="A473" t="str">
        <f>"07637705"</f>
        <v>07637705</v>
      </c>
      <c r="B473" t="s">
        <v>1161</v>
      </c>
      <c r="C473" t="str">
        <f t="shared" si="29"/>
        <v>706</v>
      </c>
      <c r="D473" t="s">
        <v>28</v>
      </c>
      <c r="E473" t="s">
        <v>83</v>
      </c>
      <c r="F473" t="s">
        <v>83</v>
      </c>
      <c r="G473" t="s">
        <v>1162</v>
      </c>
      <c r="H473" t="str">
        <f>"94996"</f>
        <v>94996</v>
      </c>
      <c r="I473" t="s">
        <v>47</v>
      </c>
    </row>
    <row r="474" spans="1:14" x14ac:dyDescent="0.3">
      <c r="A474" t="str">
        <f>"22688889"</f>
        <v>22688889</v>
      </c>
      <c r="B474" t="s">
        <v>1163</v>
      </c>
      <c r="C474" t="str">
        <f t="shared" si="29"/>
        <v>706</v>
      </c>
      <c r="D474" t="s">
        <v>28</v>
      </c>
      <c r="E474" t="s">
        <v>23</v>
      </c>
      <c r="F474" t="s">
        <v>23</v>
      </c>
      <c r="G474" t="s">
        <v>1164</v>
      </c>
      <c r="H474" t="str">
        <f>"9499"</f>
        <v>9499</v>
      </c>
      <c r="I474" t="s">
        <v>31</v>
      </c>
    </row>
    <row r="475" spans="1:14" x14ac:dyDescent="0.3">
      <c r="A475" t="str">
        <f>"26542889"</f>
        <v>26542889</v>
      </c>
      <c r="B475" t="s">
        <v>1165</v>
      </c>
      <c r="C475" t="str">
        <f t="shared" si="29"/>
        <v>706</v>
      </c>
      <c r="D475" t="s">
        <v>28</v>
      </c>
      <c r="E475" t="s">
        <v>23</v>
      </c>
      <c r="F475" t="s">
        <v>23</v>
      </c>
      <c r="G475" t="s">
        <v>1166</v>
      </c>
      <c r="H475" t="str">
        <f>"9499"</f>
        <v>9499</v>
      </c>
      <c r="I475" t="s">
        <v>31</v>
      </c>
    </row>
    <row r="476" spans="1:14" x14ac:dyDescent="0.3">
      <c r="A476" t="str">
        <f>"06297498"</f>
        <v>06297498</v>
      </c>
      <c r="B476" t="s">
        <v>1167</v>
      </c>
      <c r="C476" t="str">
        <f t="shared" si="29"/>
        <v>706</v>
      </c>
      <c r="D476" t="s">
        <v>28</v>
      </c>
      <c r="E476" t="s">
        <v>29</v>
      </c>
      <c r="F476" t="s">
        <v>29</v>
      </c>
      <c r="G476" t="s">
        <v>1168</v>
      </c>
      <c r="H476" t="str">
        <f>"9499"</f>
        <v>9499</v>
      </c>
      <c r="I476" t="s">
        <v>31</v>
      </c>
    </row>
    <row r="477" spans="1:14" x14ac:dyDescent="0.3">
      <c r="A477" t="str">
        <f>"19702914"</f>
        <v>19702914</v>
      </c>
      <c r="B477" t="s">
        <v>1169</v>
      </c>
      <c r="C477" t="str">
        <f t="shared" si="29"/>
        <v>706</v>
      </c>
      <c r="D477" t="s">
        <v>28</v>
      </c>
      <c r="E477" t="s">
        <v>52</v>
      </c>
      <c r="F477" t="s">
        <v>1170</v>
      </c>
      <c r="G477" t="s">
        <v>1171</v>
      </c>
      <c r="H477" t="str">
        <f>"9499"</f>
        <v>9499</v>
      </c>
      <c r="I477" t="s">
        <v>31</v>
      </c>
    </row>
    <row r="478" spans="1:14" x14ac:dyDescent="0.3">
      <c r="A478" t="str">
        <f>"47930560"</f>
        <v>47930560</v>
      </c>
      <c r="B478" t="s">
        <v>1172</v>
      </c>
      <c r="C478" t="str">
        <f t="shared" ref="C478:C490" si="30">"722"</f>
        <v>722</v>
      </c>
      <c r="D478" t="s">
        <v>315</v>
      </c>
      <c r="E478" t="s">
        <v>83</v>
      </c>
      <c r="F478" t="s">
        <v>175</v>
      </c>
      <c r="G478" t="s">
        <v>1173</v>
      </c>
      <c r="H478" t="str">
        <f>"8899"</f>
        <v>8899</v>
      </c>
      <c r="I478" t="s">
        <v>40</v>
      </c>
    </row>
    <row r="479" spans="1:14" x14ac:dyDescent="0.3">
      <c r="A479" t="str">
        <f>"47930063"</f>
        <v>47930063</v>
      </c>
      <c r="B479" t="s">
        <v>1174</v>
      </c>
      <c r="C479" t="str">
        <f t="shared" si="30"/>
        <v>722</v>
      </c>
      <c r="D479" t="s">
        <v>315</v>
      </c>
      <c r="E479" t="s">
        <v>83</v>
      </c>
      <c r="F479" t="s">
        <v>183</v>
      </c>
      <c r="G479" t="s">
        <v>1175</v>
      </c>
      <c r="H479" t="str">
        <f>"8899"</f>
        <v>8899</v>
      </c>
      <c r="I479" t="s">
        <v>40</v>
      </c>
      <c r="J479" t="s">
        <v>1134</v>
      </c>
      <c r="K479" t="s">
        <v>1176</v>
      </c>
    </row>
    <row r="480" spans="1:14" x14ac:dyDescent="0.3">
      <c r="A480" t="str">
        <f>"18189750"</f>
        <v>18189750</v>
      </c>
      <c r="B480" t="s">
        <v>1177</v>
      </c>
      <c r="C480" t="str">
        <f t="shared" si="30"/>
        <v>722</v>
      </c>
      <c r="D480" t="s">
        <v>315</v>
      </c>
      <c r="E480" t="s">
        <v>83</v>
      </c>
      <c r="F480" t="s">
        <v>83</v>
      </c>
      <c r="G480" t="s">
        <v>1178</v>
      </c>
      <c r="H480" t="str">
        <f>"8690"</f>
        <v>8690</v>
      </c>
      <c r="I480" t="s">
        <v>1120</v>
      </c>
      <c r="J480" t="s">
        <v>154</v>
      </c>
      <c r="K480" t="s">
        <v>1134</v>
      </c>
    </row>
    <row r="481" spans="1:14" x14ac:dyDescent="0.3">
      <c r="A481" t="str">
        <f>"73633071"</f>
        <v>73633071</v>
      </c>
      <c r="B481" t="s">
        <v>1179</v>
      </c>
      <c r="C481" t="str">
        <f t="shared" si="30"/>
        <v>722</v>
      </c>
      <c r="D481" t="s">
        <v>315</v>
      </c>
      <c r="E481" t="s">
        <v>23</v>
      </c>
      <c r="F481" t="s">
        <v>99</v>
      </c>
      <c r="G481" t="s">
        <v>1180</v>
      </c>
      <c r="H481" t="str">
        <f>"88"</f>
        <v>88</v>
      </c>
      <c r="I481" t="s">
        <v>154</v>
      </c>
      <c r="J481" t="s">
        <v>1176</v>
      </c>
    </row>
    <row r="482" spans="1:14" x14ac:dyDescent="0.3">
      <c r="A482" t="str">
        <f>"48773514"</f>
        <v>48773514</v>
      </c>
      <c r="B482" t="s">
        <v>1181</v>
      </c>
      <c r="C482" t="str">
        <f t="shared" si="30"/>
        <v>722</v>
      </c>
      <c r="D482" t="s">
        <v>315</v>
      </c>
      <c r="E482" t="s">
        <v>29</v>
      </c>
      <c r="F482" t="s">
        <v>117</v>
      </c>
      <c r="G482" t="s">
        <v>1182</v>
      </c>
      <c r="H482" t="str">
        <f>"88102"</f>
        <v>88102</v>
      </c>
      <c r="I482" t="s">
        <v>1125</v>
      </c>
      <c r="J482" t="s">
        <v>1183</v>
      </c>
    </row>
    <row r="483" spans="1:14" x14ac:dyDescent="0.3">
      <c r="A483" t="str">
        <f>"46276262"</f>
        <v>46276262</v>
      </c>
      <c r="B483" t="s">
        <v>1184</v>
      </c>
      <c r="C483" t="str">
        <f t="shared" si="30"/>
        <v>722</v>
      </c>
      <c r="D483" t="s">
        <v>315</v>
      </c>
      <c r="E483" t="s">
        <v>23</v>
      </c>
      <c r="F483" t="s">
        <v>24</v>
      </c>
      <c r="G483" t="s">
        <v>1185</v>
      </c>
      <c r="H483" t="str">
        <f>"87301"</f>
        <v>87301</v>
      </c>
      <c r="I483" t="s">
        <v>1186</v>
      </c>
      <c r="J483" t="s">
        <v>1187</v>
      </c>
      <c r="K483" t="s">
        <v>1125</v>
      </c>
      <c r="L483" t="s">
        <v>221</v>
      </c>
      <c r="M483" t="s">
        <v>1188</v>
      </c>
      <c r="N483" t="s">
        <v>354</v>
      </c>
    </row>
    <row r="484" spans="1:14" x14ac:dyDescent="0.3">
      <c r="A484" t="str">
        <f>"70435618"</f>
        <v>70435618</v>
      </c>
      <c r="B484" t="s">
        <v>1189</v>
      </c>
      <c r="C484" t="str">
        <f t="shared" si="30"/>
        <v>722</v>
      </c>
      <c r="D484" t="s">
        <v>315</v>
      </c>
      <c r="E484" t="s">
        <v>23</v>
      </c>
      <c r="F484" t="s">
        <v>350</v>
      </c>
      <c r="G484" t="s">
        <v>1190</v>
      </c>
      <c r="H484" t="str">
        <f>"88"</f>
        <v>88</v>
      </c>
      <c r="I484" t="s">
        <v>154</v>
      </c>
      <c r="J484" t="s">
        <v>1176</v>
      </c>
    </row>
    <row r="485" spans="1:14" x14ac:dyDescent="0.3">
      <c r="A485" t="str">
        <f>"44018886"</f>
        <v>44018886</v>
      </c>
      <c r="B485" t="s">
        <v>1191</v>
      </c>
      <c r="C485" t="str">
        <f t="shared" si="30"/>
        <v>722</v>
      </c>
      <c r="D485" t="s">
        <v>315</v>
      </c>
      <c r="E485" t="s">
        <v>52</v>
      </c>
      <c r="F485" t="s">
        <v>52</v>
      </c>
      <c r="G485" t="s">
        <v>1192</v>
      </c>
      <c r="H485" t="str">
        <f>"88"</f>
        <v>88</v>
      </c>
      <c r="I485" t="s">
        <v>154</v>
      </c>
      <c r="J485" t="s">
        <v>498</v>
      </c>
      <c r="K485" t="s">
        <v>1120</v>
      </c>
      <c r="L485" t="s">
        <v>1193</v>
      </c>
      <c r="M485" t="s">
        <v>1136</v>
      </c>
    </row>
    <row r="486" spans="1:14" x14ac:dyDescent="0.3">
      <c r="A486" t="str">
        <f>"48489336"</f>
        <v>48489336</v>
      </c>
      <c r="B486" t="s">
        <v>1194</v>
      </c>
      <c r="C486" t="str">
        <f t="shared" si="30"/>
        <v>722</v>
      </c>
      <c r="D486" t="s">
        <v>315</v>
      </c>
      <c r="E486" t="s">
        <v>52</v>
      </c>
      <c r="F486" t="s">
        <v>113</v>
      </c>
      <c r="G486" t="s">
        <v>1195</v>
      </c>
      <c r="H486" t="str">
        <f>"8899"</f>
        <v>8899</v>
      </c>
      <c r="I486" t="s">
        <v>40</v>
      </c>
      <c r="J486" t="s">
        <v>1120</v>
      </c>
      <c r="K486" t="s">
        <v>1134</v>
      </c>
      <c r="L486" t="s">
        <v>1186</v>
      </c>
      <c r="M486" t="s">
        <v>1187</v>
      </c>
    </row>
    <row r="487" spans="1:14" x14ac:dyDescent="0.3">
      <c r="A487" t="str">
        <f>"73633607"</f>
        <v>73633607</v>
      </c>
      <c r="B487" t="s">
        <v>1196</v>
      </c>
      <c r="C487" t="str">
        <f t="shared" si="30"/>
        <v>722</v>
      </c>
      <c r="D487" t="s">
        <v>315</v>
      </c>
      <c r="E487" t="s">
        <v>23</v>
      </c>
      <c r="F487" t="s">
        <v>107</v>
      </c>
      <c r="G487" t="s">
        <v>1197</v>
      </c>
      <c r="H487" t="str">
        <f>"88"</f>
        <v>88</v>
      </c>
      <c r="I487" t="s">
        <v>154</v>
      </c>
    </row>
    <row r="488" spans="1:14" x14ac:dyDescent="0.3">
      <c r="A488" t="str">
        <f>"47997885"</f>
        <v>47997885</v>
      </c>
      <c r="B488" t="s">
        <v>1198</v>
      </c>
      <c r="C488" t="str">
        <f t="shared" si="30"/>
        <v>722</v>
      </c>
      <c r="D488" t="s">
        <v>315</v>
      </c>
      <c r="E488" t="s">
        <v>29</v>
      </c>
      <c r="F488" t="s">
        <v>195</v>
      </c>
      <c r="G488" t="s">
        <v>1199</v>
      </c>
      <c r="H488" t="str">
        <f>"8899"</f>
        <v>8899</v>
      </c>
      <c r="I488" t="s">
        <v>40</v>
      </c>
      <c r="J488" t="s">
        <v>1186</v>
      </c>
      <c r="K488" t="s">
        <v>1183</v>
      </c>
      <c r="L488" t="s">
        <v>1125</v>
      </c>
      <c r="M488" t="s">
        <v>221</v>
      </c>
      <c r="N488" t="s">
        <v>316</v>
      </c>
    </row>
    <row r="489" spans="1:14" x14ac:dyDescent="0.3">
      <c r="A489" t="str">
        <f>"44740778"</f>
        <v>44740778</v>
      </c>
      <c r="B489" t="s">
        <v>1200</v>
      </c>
      <c r="C489" t="str">
        <f t="shared" si="30"/>
        <v>722</v>
      </c>
      <c r="D489" t="s">
        <v>315</v>
      </c>
      <c r="E489" t="s">
        <v>29</v>
      </c>
      <c r="F489" t="s">
        <v>29</v>
      </c>
      <c r="G489" t="s">
        <v>1201</v>
      </c>
      <c r="H489" t="str">
        <f>"88"</f>
        <v>88</v>
      </c>
      <c r="I489" t="s">
        <v>154</v>
      </c>
      <c r="J489" t="s">
        <v>1120</v>
      </c>
    </row>
    <row r="490" spans="1:14" x14ac:dyDescent="0.3">
      <c r="A490" t="str">
        <f>"44117434"</f>
        <v>44117434</v>
      </c>
      <c r="B490" t="s">
        <v>1202</v>
      </c>
      <c r="C490" t="str">
        <f t="shared" si="30"/>
        <v>722</v>
      </c>
      <c r="D490" t="s">
        <v>315</v>
      </c>
      <c r="E490" t="s">
        <v>23</v>
      </c>
      <c r="F490" t="s">
        <v>23</v>
      </c>
      <c r="G490" t="s">
        <v>1203</v>
      </c>
      <c r="H490" t="str">
        <f>"88"</f>
        <v>88</v>
      </c>
      <c r="I490" t="s">
        <v>154</v>
      </c>
      <c r="J490" t="s">
        <v>1120</v>
      </c>
    </row>
    <row r="491" spans="1:14" x14ac:dyDescent="0.3">
      <c r="A491" t="str">
        <f>"67028721"</f>
        <v>67028721</v>
      </c>
      <c r="B491" t="s">
        <v>1204</v>
      </c>
      <c r="C491" t="str">
        <f t="shared" ref="C491:C540" si="31">"706"</f>
        <v>706</v>
      </c>
      <c r="D491" t="s">
        <v>28</v>
      </c>
      <c r="E491" t="s">
        <v>23</v>
      </c>
      <c r="F491" t="s">
        <v>459</v>
      </c>
      <c r="G491" t="s">
        <v>1205</v>
      </c>
      <c r="H491" t="str">
        <f>"9499"</f>
        <v>9499</v>
      </c>
      <c r="I491" t="s">
        <v>31</v>
      </c>
    </row>
    <row r="492" spans="1:14" x14ac:dyDescent="0.3">
      <c r="A492" t="str">
        <f>"22504419"</f>
        <v>22504419</v>
      </c>
      <c r="B492" t="s">
        <v>1206</v>
      </c>
      <c r="C492" t="str">
        <f t="shared" si="31"/>
        <v>706</v>
      </c>
      <c r="D492" t="s">
        <v>28</v>
      </c>
      <c r="E492" t="s">
        <v>23</v>
      </c>
      <c r="F492" t="s">
        <v>975</v>
      </c>
      <c r="G492" t="s">
        <v>1207</v>
      </c>
      <c r="H492" t="str">
        <f>"9499"</f>
        <v>9499</v>
      </c>
      <c r="I492" t="s">
        <v>31</v>
      </c>
    </row>
    <row r="493" spans="1:14" x14ac:dyDescent="0.3">
      <c r="A493" t="str">
        <f>"26518732"</f>
        <v>26518732</v>
      </c>
      <c r="B493" t="s">
        <v>1208</v>
      </c>
      <c r="C493" t="str">
        <f t="shared" si="31"/>
        <v>706</v>
      </c>
      <c r="D493" t="s">
        <v>28</v>
      </c>
      <c r="E493" t="s">
        <v>23</v>
      </c>
      <c r="F493" t="s">
        <v>688</v>
      </c>
      <c r="G493" t="s">
        <v>1209</v>
      </c>
      <c r="H493" t="str">
        <f>"9499"</f>
        <v>9499</v>
      </c>
      <c r="I493" t="s">
        <v>31</v>
      </c>
    </row>
    <row r="494" spans="1:14" x14ac:dyDescent="0.3">
      <c r="A494" t="str">
        <f>"05174708"</f>
        <v>05174708</v>
      </c>
      <c r="B494" t="s">
        <v>1210</v>
      </c>
      <c r="C494" t="str">
        <f t="shared" si="31"/>
        <v>706</v>
      </c>
      <c r="D494" t="s">
        <v>28</v>
      </c>
      <c r="E494" t="s">
        <v>23</v>
      </c>
      <c r="F494" t="s">
        <v>23</v>
      </c>
      <c r="G494" t="s">
        <v>204</v>
      </c>
      <c r="H494" t="str">
        <f>"93190"</f>
        <v>93190</v>
      </c>
      <c r="I494" t="s">
        <v>59</v>
      </c>
    </row>
    <row r="495" spans="1:14" x14ac:dyDescent="0.3">
      <c r="A495" t="str">
        <f>"17310393"</f>
        <v>17310393</v>
      </c>
      <c r="B495" t="s">
        <v>1211</v>
      </c>
      <c r="C495" t="str">
        <f t="shared" si="31"/>
        <v>706</v>
      </c>
      <c r="D495" t="s">
        <v>28</v>
      </c>
      <c r="E495" t="s">
        <v>52</v>
      </c>
      <c r="F495" t="s">
        <v>1212</v>
      </c>
      <c r="G495" t="s">
        <v>1213</v>
      </c>
      <c r="H495" t="str">
        <f>"9499"</f>
        <v>9499</v>
      </c>
      <c r="I495" t="s">
        <v>31</v>
      </c>
    </row>
    <row r="496" spans="1:14" x14ac:dyDescent="0.3">
      <c r="A496" t="str">
        <f>"26999722"</f>
        <v>26999722</v>
      </c>
      <c r="B496" t="s">
        <v>1214</v>
      </c>
      <c r="C496" t="str">
        <f t="shared" si="31"/>
        <v>706</v>
      </c>
      <c r="D496" t="s">
        <v>28</v>
      </c>
      <c r="E496" t="s">
        <v>29</v>
      </c>
      <c r="F496" t="s">
        <v>852</v>
      </c>
      <c r="G496" t="s">
        <v>1215</v>
      </c>
      <c r="H496" t="str">
        <f>"9499"</f>
        <v>9499</v>
      </c>
      <c r="I496" t="s">
        <v>31</v>
      </c>
    </row>
    <row r="497" spans="1:9" x14ac:dyDescent="0.3">
      <c r="A497" t="str">
        <f>"27059839"</f>
        <v>27059839</v>
      </c>
      <c r="B497" t="s">
        <v>1216</v>
      </c>
      <c r="C497" t="str">
        <f t="shared" si="31"/>
        <v>706</v>
      </c>
      <c r="D497" t="s">
        <v>28</v>
      </c>
      <c r="E497" t="s">
        <v>29</v>
      </c>
      <c r="F497" t="s">
        <v>38</v>
      </c>
      <c r="G497" t="s">
        <v>1217</v>
      </c>
      <c r="H497" t="str">
        <f>"9499"</f>
        <v>9499</v>
      </c>
      <c r="I497" t="s">
        <v>31</v>
      </c>
    </row>
    <row r="498" spans="1:9" x14ac:dyDescent="0.3">
      <c r="A498" t="str">
        <f>"22667024"</f>
        <v>22667024</v>
      </c>
      <c r="B498" t="s">
        <v>1218</v>
      </c>
      <c r="C498" t="str">
        <f t="shared" si="31"/>
        <v>706</v>
      </c>
      <c r="D498" t="s">
        <v>28</v>
      </c>
      <c r="E498" t="s">
        <v>29</v>
      </c>
      <c r="F498" t="s">
        <v>544</v>
      </c>
      <c r="G498" t="s">
        <v>1219</v>
      </c>
      <c r="H498" t="str">
        <f>"9499"</f>
        <v>9499</v>
      </c>
      <c r="I498" t="s">
        <v>31</v>
      </c>
    </row>
    <row r="499" spans="1:9" x14ac:dyDescent="0.3">
      <c r="A499" t="str">
        <f>"17117691"</f>
        <v>17117691</v>
      </c>
      <c r="B499" t="s">
        <v>1220</v>
      </c>
      <c r="C499" t="str">
        <f t="shared" si="31"/>
        <v>706</v>
      </c>
      <c r="D499" t="s">
        <v>28</v>
      </c>
      <c r="E499" t="s">
        <v>29</v>
      </c>
      <c r="F499" t="s">
        <v>1221</v>
      </c>
      <c r="G499" t="s">
        <v>1222</v>
      </c>
      <c r="H499" t="str">
        <f>"9499"</f>
        <v>9499</v>
      </c>
      <c r="I499" t="s">
        <v>31</v>
      </c>
    </row>
    <row r="500" spans="1:9" x14ac:dyDescent="0.3">
      <c r="A500" t="str">
        <f>"22769421"</f>
        <v>22769421</v>
      </c>
      <c r="B500" t="s">
        <v>1223</v>
      </c>
      <c r="C500" t="str">
        <f t="shared" si="31"/>
        <v>706</v>
      </c>
      <c r="D500" t="s">
        <v>28</v>
      </c>
      <c r="E500" t="s">
        <v>23</v>
      </c>
      <c r="F500" t="s">
        <v>23</v>
      </c>
      <c r="G500" t="s">
        <v>752</v>
      </c>
      <c r="H500" t="str">
        <f>"94995"</f>
        <v>94995</v>
      </c>
      <c r="I500" t="s">
        <v>232</v>
      </c>
    </row>
    <row r="501" spans="1:9" x14ac:dyDescent="0.3">
      <c r="A501" t="str">
        <f>"22675582"</f>
        <v>22675582</v>
      </c>
      <c r="B501" t="s">
        <v>1224</v>
      </c>
      <c r="C501" t="str">
        <f t="shared" si="31"/>
        <v>706</v>
      </c>
      <c r="D501" t="s">
        <v>28</v>
      </c>
      <c r="E501" t="s">
        <v>23</v>
      </c>
      <c r="F501" t="s">
        <v>721</v>
      </c>
      <c r="G501" t="s">
        <v>1225</v>
      </c>
      <c r="H501" t="str">
        <f>"9499"</f>
        <v>9499</v>
      </c>
      <c r="I501" t="s">
        <v>31</v>
      </c>
    </row>
    <row r="502" spans="1:9" x14ac:dyDescent="0.3">
      <c r="A502" t="str">
        <f>"02676281"</f>
        <v>02676281</v>
      </c>
      <c r="B502" t="s">
        <v>1226</v>
      </c>
      <c r="C502" t="str">
        <f t="shared" si="31"/>
        <v>706</v>
      </c>
      <c r="D502" t="s">
        <v>28</v>
      </c>
      <c r="E502" t="s">
        <v>52</v>
      </c>
      <c r="F502" t="s">
        <v>52</v>
      </c>
      <c r="G502" t="s">
        <v>1227</v>
      </c>
      <c r="H502" t="str">
        <f>"9499"</f>
        <v>9499</v>
      </c>
      <c r="I502" t="s">
        <v>31</v>
      </c>
    </row>
    <row r="503" spans="1:9" x14ac:dyDescent="0.3">
      <c r="A503" t="str">
        <f>"22769005"</f>
        <v>22769005</v>
      </c>
      <c r="B503" t="s">
        <v>1228</v>
      </c>
      <c r="C503" t="str">
        <f t="shared" si="31"/>
        <v>706</v>
      </c>
      <c r="D503" t="s">
        <v>28</v>
      </c>
      <c r="E503" t="s">
        <v>52</v>
      </c>
      <c r="F503" t="s">
        <v>1229</v>
      </c>
      <c r="G503" t="s">
        <v>1230</v>
      </c>
      <c r="H503" t="str">
        <f>"94993"</f>
        <v>94993</v>
      </c>
      <c r="I503" t="s">
        <v>50</v>
      </c>
    </row>
    <row r="504" spans="1:9" x14ac:dyDescent="0.3">
      <c r="A504" t="str">
        <f>"01724347"</f>
        <v>01724347</v>
      </c>
      <c r="B504" t="s">
        <v>1231</v>
      </c>
      <c r="C504" t="str">
        <f t="shared" si="31"/>
        <v>706</v>
      </c>
      <c r="D504" t="s">
        <v>28</v>
      </c>
      <c r="E504" t="s">
        <v>23</v>
      </c>
      <c r="F504" t="s">
        <v>459</v>
      </c>
      <c r="G504" t="s">
        <v>1232</v>
      </c>
      <c r="H504" t="str">
        <f>"9499"</f>
        <v>9499</v>
      </c>
      <c r="I504" t="s">
        <v>31</v>
      </c>
    </row>
    <row r="505" spans="1:9" x14ac:dyDescent="0.3">
      <c r="A505" t="str">
        <f>"22888608"</f>
        <v>22888608</v>
      </c>
      <c r="B505" t="s">
        <v>1233</v>
      </c>
      <c r="C505" t="str">
        <f t="shared" si="31"/>
        <v>706</v>
      </c>
      <c r="D505" t="s">
        <v>28</v>
      </c>
      <c r="E505" t="s">
        <v>52</v>
      </c>
      <c r="F505" t="s">
        <v>631</v>
      </c>
      <c r="G505" t="s">
        <v>1234</v>
      </c>
      <c r="H505" t="str">
        <f>"9499"</f>
        <v>9499</v>
      </c>
      <c r="I505" t="s">
        <v>31</v>
      </c>
    </row>
    <row r="506" spans="1:9" x14ac:dyDescent="0.3">
      <c r="A506" t="str">
        <f>"22863907"</f>
        <v>22863907</v>
      </c>
      <c r="B506" t="s">
        <v>1235</v>
      </c>
      <c r="C506" t="str">
        <f t="shared" si="31"/>
        <v>706</v>
      </c>
      <c r="D506" t="s">
        <v>28</v>
      </c>
      <c r="E506" t="s">
        <v>52</v>
      </c>
      <c r="F506" t="s">
        <v>52</v>
      </c>
      <c r="G506" t="s">
        <v>1236</v>
      </c>
      <c r="H506" t="str">
        <f>"94995"</f>
        <v>94995</v>
      </c>
      <c r="I506" t="s">
        <v>232</v>
      </c>
    </row>
    <row r="507" spans="1:9" x14ac:dyDescent="0.3">
      <c r="A507" t="str">
        <f>"06870317"</f>
        <v>06870317</v>
      </c>
      <c r="B507" t="s">
        <v>1237</v>
      </c>
      <c r="C507" t="str">
        <f t="shared" si="31"/>
        <v>706</v>
      </c>
      <c r="D507" t="s">
        <v>28</v>
      </c>
      <c r="E507" t="s">
        <v>23</v>
      </c>
      <c r="F507" t="s">
        <v>68</v>
      </c>
      <c r="G507" t="s">
        <v>1238</v>
      </c>
      <c r="H507" t="str">
        <f>"9499"</f>
        <v>9499</v>
      </c>
      <c r="I507" t="s">
        <v>31</v>
      </c>
    </row>
    <row r="508" spans="1:9" x14ac:dyDescent="0.3">
      <c r="A508" t="str">
        <f>"26523213"</f>
        <v>26523213</v>
      </c>
      <c r="B508" t="s">
        <v>1239</v>
      </c>
      <c r="C508" t="str">
        <f t="shared" si="31"/>
        <v>706</v>
      </c>
      <c r="D508" t="s">
        <v>28</v>
      </c>
      <c r="E508" t="s">
        <v>52</v>
      </c>
      <c r="F508" t="s">
        <v>52</v>
      </c>
      <c r="G508" t="s">
        <v>1240</v>
      </c>
      <c r="H508" t="str">
        <f>"9499"</f>
        <v>9499</v>
      </c>
      <c r="I508" t="s">
        <v>31</v>
      </c>
    </row>
    <row r="509" spans="1:9" x14ac:dyDescent="0.3">
      <c r="A509" t="str">
        <f>"64123367"</f>
        <v>64123367</v>
      </c>
      <c r="B509" t="s">
        <v>1241</v>
      </c>
      <c r="C509" t="str">
        <f t="shared" si="31"/>
        <v>706</v>
      </c>
      <c r="D509" t="s">
        <v>28</v>
      </c>
      <c r="E509" t="s">
        <v>29</v>
      </c>
      <c r="F509" t="s">
        <v>195</v>
      </c>
      <c r="G509" t="s">
        <v>1242</v>
      </c>
      <c r="H509" t="str">
        <f>"9499"</f>
        <v>9499</v>
      </c>
      <c r="I509" t="s">
        <v>31</v>
      </c>
    </row>
    <row r="510" spans="1:9" x14ac:dyDescent="0.3">
      <c r="A510" t="str">
        <f>"22891421"</f>
        <v>22891421</v>
      </c>
      <c r="B510" t="s">
        <v>1243</v>
      </c>
      <c r="C510" t="str">
        <f t="shared" si="31"/>
        <v>706</v>
      </c>
      <c r="D510" t="s">
        <v>28</v>
      </c>
      <c r="E510" t="s">
        <v>52</v>
      </c>
      <c r="F510" t="s">
        <v>379</v>
      </c>
      <c r="G510" t="s">
        <v>629</v>
      </c>
      <c r="H510" t="str">
        <f>"9499"</f>
        <v>9499</v>
      </c>
      <c r="I510" t="s">
        <v>31</v>
      </c>
    </row>
    <row r="511" spans="1:9" x14ac:dyDescent="0.3">
      <c r="A511" t="str">
        <f>"06893325"</f>
        <v>06893325</v>
      </c>
      <c r="B511" t="s">
        <v>1244</v>
      </c>
      <c r="C511" t="str">
        <f t="shared" si="31"/>
        <v>706</v>
      </c>
      <c r="D511" t="s">
        <v>28</v>
      </c>
      <c r="E511" t="s">
        <v>52</v>
      </c>
      <c r="F511" t="s">
        <v>612</v>
      </c>
      <c r="G511" t="s">
        <v>1245</v>
      </c>
      <c r="H511" t="str">
        <f>"9499"</f>
        <v>9499</v>
      </c>
      <c r="I511" t="s">
        <v>31</v>
      </c>
    </row>
    <row r="512" spans="1:9" x14ac:dyDescent="0.3">
      <c r="A512" t="str">
        <f>"22667296"</f>
        <v>22667296</v>
      </c>
      <c r="B512" t="s">
        <v>1246</v>
      </c>
      <c r="C512" t="str">
        <f t="shared" si="31"/>
        <v>706</v>
      </c>
      <c r="D512" t="s">
        <v>28</v>
      </c>
      <c r="E512" t="s">
        <v>83</v>
      </c>
      <c r="F512" t="s">
        <v>175</v>
      </c>
      <c r="G512" t="s">
        <v>1247</v>
      </c>
      <c r="H512" t="str">
        <f>"900"</f>
        <v>900</v>
      </c>
      <c r="I512" t="s">
        <v>500</v>
      </c>
    </row>
    <row r="513" spans="1:9" x14ac:dyDescent="0.3">
      <c r="A513" t="str">
        <f>"22819665"</f>
        <v>22819665</v>
      </c>
      <c r="B513" t="s">
        <v>1248</v>
      </c>
      <c r="C513" t="str">
        <f t="shared" si="31"/>
        <v>706</v>
      </c>
      <c r="D513" t="s">
        <v>28</v>
      </c>
      <c r="E513" t="s">
        <v>52</v>
      </c>
      <c r="F513" t="s">
        <v>920</v>
      </c>
      <c r="G513" t="s">
        <v>1249</v>
      </c>
      <c r="H513" t="str">
        <f>"94993"</f>
        <v>94993</v>
      </c>
      <c r="I513" t="s">
        <v>50</v>
      </c>
    </row>
    <row r="514" spans="1:9" x14ac:dyDescent="0.3">
      <c r="A514" t="str">
        <f>"01668927"</f>
        <v>01668927</v>
      </c>
      <c r="B514" t="s">
        <v>1250</v>
      </c>
      <c r="C514" t="str">
        <f t="shared" si="31"/>
        <v>706</v>
      </c>
      <c r="D514" t="s">
        <v>28</v>
      </c>
      <c r="E514" t="s">
        <v>52</v>
      </c>
      <c r="F514" t="s">
        <v>52</v>
      </c>
      <c r="G514" t="s">
        <v>1251</v>
      </c>
      <c r="H514" t="str">
        <f>"90030"</f>
        <v>90030</v>
      </c>
      <c r="I514" t="s">
        <v>1252</v>
      </c>
    </row>
    <row r="515" spans="1:9" x14ac:dyDescent="0.3">
      <c r="A515" t="str">
        <f>"08366721"</f>
        <v>08366721</v>
      </c>
      <c r="B515" t="s">
        <v>1253</v>
      </c>
      <c r="C515" t="str">
        <f t="shared" si="31"/>
        <v>706</v>
      </c>
      <c r="D515" t="s">
        <v>28</v>
      </c>
      <c r="E515" t="s">
        <v>23</v>
      </c>
      <c r="F515" t="s">
        <v>1254</v>
      </c>
      <c r="G515" t="s">
        <v>1255</v>
      </c>
      <c r="H515" t="str">
        <f t="shared" ref="H515:H538" si="32">"9499"</f>
        <v>9499</v>
      </c>
      <c r="I515" t="s">
        <v>31</v>
      </c>
    </row>
    <row r="516" spans="1:9" x14ac:dyDescent="0.3">
      <c r="A516" t="str">
        <f>"27039153"</f>
        <v>27039153</v>
      </c>
      <c r="B516" t="s">
        <v>1256</v>
      </c>
      <c r="C516" t="str">
        <f t="shared" si="31"/>
        <v>706</v>
      </c>
      <c r="D516" t="s">
        <v>28</v>
      </c>
      <c r="E516" t="s">
        <v>52</v>
      </c>
      <c r="F516" t="s">
        <v>1257</v>
      </c>
      <c r="G516" t="s">
        <v>1258</v>
      </c>
      <c r="H516" t="str">
        <f t="shared" si="32"/>
        <v>9499</v>
      </c>
      <c r="I516" t="s">
        <v>31</v>
      </c>
    </row>
    <row r="517" spans="1:9" x14ac:dyDescent="0.3">
      <c r="A517" t="str">
        <f>"70893080"</f>
        <v>70893080</v>
      </c>
      <c r="B517" t="s">
        <v>1259</v>
      </c>
      <c r="C517" t="str">
        <f t="shared" si="31"/>
        <v>706</v>
      </c>
      <c r="D517" t="s">
        <v>28</v>
      </c>
      <c r="E517" t="s">
        <v>52</v>
      </c>
      <c r="F517" t="s">
        <v>52</v>
      </c>
      <c r="G517" t="s">
        <v>1240</v>
      </c>
      <c r="H517" t="str">
        <f t="shared" si="32"/>
        <v>9499</v>
      </c>
      <c r="I517" t="s">
        <v>31</v>
      </c>
    </row>
    <row r="518" spans="1:9" x14ac:dyDescent="0.3">
      <c r="A518" t="str">
        <f>"22907556"</f>
        <v>22907556</v>
      </c>
      <c r="B518" t="s">
        <v>1260</v>
      </c>
      <c r="C518" t="str">
        <f t="shared" si="31"/>
        <v>706</v>
      </c>
      <c r="D518" t="s">
        <v>28</v>
      </c>
      <c r="E518" t="s">
        <v>52</v>
      </c>
      <c r="F518" t="s">
        <v>52</v>
      </c>
      <c r="G518" t="s">
        <v>1261</v>
      </c>
      <c r="H518" t="str">
        <f t="shared" si="32"/>
        <v>9499</v>
      </c>
      <c r="I518" t="s">
        <v>31</v>
      </c>
    </row>
    <row r="519" spans="1:9" x14ac:dyDescent="0.3">
      <c r="A519" t="str">
        <f>"62182196"</f>
        <v>62182196</v>
      </c>
      <c r="B519" t="s">
        <v>1262</v>
      </c>
      <c r="C519" t="str">
        <f t="shared" si="31"/>
        <v>706</v>
      </c>
      <c r="D519" t="s">
        <v>28</v>
      </c>
      <c r="E519" t="s">
        <v>23</v>
      </c>
      <c r="F519" t="s">
        <v>23</v>
      </c>
      <c r="G519" t="s">
        <v>418</v>
      </c>
      <c r="H519" t="str">
        <f t="shared" si="32"/>
        <v>9499</v>
      </c>
      <c r="I519" t="s">
        <v>31</v>
      </c>
    </row>
    <row r="520" spans="1:9" x14ac:dyDescent="0.3">
      <c r="A520" t="str">
        <f>"26645823"</f>
        <v>26645823</v>
      </c>
      <c r="B520" t="s">
        <v>1263</v>
      </c>
      <c r="C520" t="str">
        <f t="shared" si="31"/>
        <v>706</v>
      </c>
      <c r="D520" t="s">
        <v>28</v>
      </c>
      <c r="E520" t="s">
        <v>29</v>
      </c>
      <c r="F520" t="s">
        <v>574</v>
      </c>
      <c r="G520" t="s">
        <v>1264</v>
      </c>
      <c r="H520" t="str">
        <f t="shared" si="32"/>
        <v>9499</v>
      </c>
      <c r="I520" t="s">
        <v>31</v>
      </c>
    </row>
    <row r="521" spans="1:9" x14ac:dyDescent="0.3">
      <c r="A521" t="str">
        <f>"19180837"</f>
        <v>19180837</v>
      </c>
      <c r="B521" t="s">
        <v>1265</v>
      </c>
      <c r="C521" t="str">
        <f t="shared" si="31"/>
        <v>706</v>
      </c>
      <c r="D521" t="s">
        <v>28</v>
      </c>
      <c r="E521" t="s">
        <v>29</v>
      </c>
      <c r="F521" t="s">
        <v>1266</v>
      </c>
      <c r="G521" t="s">
        <v>1267</v>
      </c>
      <c r="H521" t="str">
        <f t="shared" si="32"/>
        <v>9499</v>
      </c>
      <c r="I521" t="s">
        <v>31</v>
      </c>
    </row>
    <row r="522" spans="1:9" x14ac:dyDescent="0.3">
      <c r="A522" t="str">
        <f>"26531046"</f>
        <v>26531046</v>
      </c>
      <c r="B522" t="s">
        <v>1268</v>
      </c>
      <c r="C522" t="str">
        <f t="shared" si="31"/>
        <v>706</v>
      </c>
      <c r="D522" t="s">
        <v>28</v>
      </c>
      <c r="E522" t="s">
        <v>23</v>
      </c>
      <c r="F522" t="s">
        <v>23</v>
      </c>
      <c r="G522" t="s">
        <v>1269</v>
      </c>
      <c r="H522" t="str">
        <f t="shared" si="32"/>
        <v>9499</v>
      </c>
      <c r="I522" t="s">
        <v>31</v>
      </c>
    </row>
    <row r="523" spans="1:9" x14ac:dyDescent="0.3">
      <c r="A523" t="str">
        <f>"65326482"</f>
        <v>65326482</v>
      </c>
      <c r="B523" t="s">
        <v>1270</v>
      </c>
      <c r="C523" t="str">
        <f t="shared" si="31"/>
        <v>706</v>
      </c>
      <c r="D523" t="s">
        <v>28</v>
      </c>
      <c r="E523" t="s">
        <v>52</v>
      </c>
      <c r="F523" t="s">
        <v>514</v>
      </c>
      <c r="G523" t="s">
        <v>1271</v>
      </c>
      <c r="H523" t="str">
        <f t="shared" si="32"/>
        <v>9499</v>
      </c>
      <c r="I523" t="s">
        <v>31</v>
      </c>
    </row>
    <row r="524" spans="1:9" x14ac:dyDescent="0.3">
      <c r="A524" t="str">
        <f>"65326504"</f>
        <v>65326504</v>
      </c>
      <c r="B524" t="s">
        <v>1272</v>
      </c>
      <c r="C524" t="str">
        <f t="shared" si="31"/>
        <v>706</v>
      </c>
      <c r="D524" t="s">
        <v>28</v>
      </c>
      <c r="E524" t="s">
        <v>52</v>
      </c>
      <c r="F524" t="s">
        <v>52</v>
      </c>
      <c r="G524" t="s">
        <v>1273</v>
      </c>
      <c r="H524" t="str">
        <f t="shared" si="32"/>
        <v>9499</v>
      </c>
      <c r="I524" t="s">
        <v>31</v>
      </c>
    </row>
    <row r="525" spans="1:9" x14ac:dyDescent="0.3">
      <c r="A525" t="str">
        <f>"26573831"</f>
        <v>26573831</v>
      </c>
      <c r="B525" t="s">
        <v>1274</v>
      </c>
      <c r="C525" t="str">
        <f t="shared" si="31"/>
        <v>706</v>
      </c>
      <c r="D525" t="s">
        <v>28</v>
      </c>
      <c r="E525" t="s">
        <v>52</v>
      </c>
      <c r="F525" t="s">
        <v>52</v>
      </c>
      <c r="G525" t="s">
        <v>1275</v>
      </c>
      <c r="H525" t="str">
        <f t="shared" si="32"/>
        <v>9499</v>
      </c>
      <c r="I525" t="s">
        <v>31</v>
      </c>
    </row>
    <row r="526" spans="1:9" x14ac:dyDescent="0.3">
      <c r="A526" t="str">
        <f>"26567075"</f>
        <v>26567075</v>
      </c>
      <c r="B526" t="s">
        <v>1276</v>
      </c>
      <c r="C526" t="str">
        <f t="shared" si="31"/>
        <v>706</v>
      </c>
      <c r="D526" t="s">
        <v>28</v>
      </c>
      <c r="E526" t="s">
        <v>52</v>
      </c>
      <c r="F526" t="s">
        <v>113</v>
      </c>
      <c r="G526" t="s">
        <v>570</v>
      </c>
      <c r="H526" t="str">
        <f t="shared" si="32"/>
        <v>9499</v>
      </c>
      <c r="I526" t="s">
        <v>31</v>
      </c>
    </row>
    <row r="527" spans="1:9" x14ac:dyDescent="0.3">
      <c r="A527" t="str">
        <f>"08261717"</f>
        <v>08261717</v>
      </c>
      <c r="B527" t="s">
        <v>1277</v>
      </c>
      <c r="C527" t="str">
        <f t="shared" si="31"/>
        <v>706</v>
      </c>
      <c r="D527" t="s">
        <v>28</v>
      </c>
      <c r="E527" t="s">
        <v>52</v>
      </c>
      <c r="F527" t="s">
        <v>65</v>
      </c>
      <c r="G527" t="s">
        <v>1278</v>
      </c>
      <c r="H527" t="str">
        <f t="shared" si="32"/>
        <v>9499</v>
      </c>
      <c r="I527" t="s">
        <v>31</v>
      </c>
    </row>
    <row r="528" spans="1:9" x14ac:dyDescent="0.3">
      <c r="A528" t="str">
        <f>"27052770"</f>
        <v>27052770</v>
      </c>
      <c r="B528" t="s">
        <v>1279</v>
      </c>
      <c r="C528" t="str">
        <f t="shared" si="31"/>
        <v>706</v>
      </c>
      <c r="D528" t="s">
        <v>28</v>
      </c>
      <c r="E528" t="s">
        <v>23</v>
      </c>
      <c r="F528" t="s">
        <v>23</v>
      </c>
      <c r="G528" t="s">
        <v>1280</v>
      </c>
      <c r="H528" t="str">
        <f t="shared" si="32"/>
        <v>9499</v>
      </c>
      <c r="I528" t="s">
        <v>31</v>
      </c>
    </row>
    <row r="529" spans="1:9" x14ac:dyDescent="0.3">
      <c r="A529" t="str">
        <f>"70891290"</f>
        <v>70891290</v>
      </c>
      <c r="B529" t="s">
        <v>1281</v>
      </c>
      <c r="C529" t="str">
        <f t="shared" si="31"/>
        <v>706</v>
      </c>
      <c r="D529" t="s">
        <v>28</v>
      </c>
      <c r="E529" t="s">
        <v>29</v>
      </c>
      <c r="F529" t="s">
        <v>195</v>
      </c>
      <c r="G529" t="s">
        <v>1282</v>
      </c>
      <c r="H529" t="str">
        <f t="shared" si="32"/>
        <v>9499</v>
      </c>
      <c r="I529" t="s">
        <v>31</v>
      </c>
    </row>
    <row r="530" spans="1:9" x14ac:dyDescent="0.3">
      <c r="A530" t="str">
        <f>"01363778"</f>
        <v>01363778</v>
      </c>
      <c r="B530" t="s">
        <v>1283</v>
      </c>
      <c r="C530" t="str">
        <f t="shared" si="31"/>
        <v>706</v>
      </c>
      <c r="D530" t="s">
        <v>28</v>
      </c>
      <c r="E530" t="s">
        <v>23</v>
      </c>
      <c r="F530" t="s">
        <v>23</v>
      </c>
      <c r="G530" t="s">
        <v>1284</v>
      </c>
      <c r="H530" t="str">
        <f t="shared" si="32"/>
        <v>9499</v>
      </c>
      <c r="I530" t="s">
        <v>31</v>
      </c>
    </row>
    <row r="531" spans="1:9" x14ac:dyDescent="0.3">
      <c r="A531" t="str">
        <f>"07849770"</f>
        <v>07849770</v>
      </c>
      <c r="B531" t="s">
        <v>1285</v>
      </c>
      <c r="C531" t="str">
        <f t="shared" si="31"/>
        <v>706</v>
      </c>
      <c r="D531" t="s">
        <v>28</v>
      </c>
      <c r="E531" t="s">
        <v>52</v>
      </c>
      <c r="F531" t="s">
        <v>344</v>
      </c>
      <c r="G531" t="s">
        <v>1286</v>
      </c>
      <c r="H531" t="str">
        <f t="shared" si="32"/>
        <v>9499</v>
      </c>
      <c r="I531" t="s">
        <v>31</v>
      </c>
    </row>
    <row r="532" spans="1:9" x14ac:dyDescent="0.3">
      <c r="A532" t="str">
        <f>"26674246"</f>
        <v>26674246</v>
      </c>
      <c r="B532" t="s">
        <v>1287</v>
      </c>
      <c r="C532" t="str">
        <f t="shared" si="31"/>
        <v>706</v>
      </c>
      <c r="D532" t="s">
        <v>28</v>
      </c>
      <c r="E532" t="s">
        <v>52</v>
      </c>
      <c r="F532" t="s">
        <v>1170</v>
      </c>
      <c r="G532" t="s">
        <v>1288</v>
      </c>
      <c r="H532" t="str">
        <f t="shared" si="32"/>
        <v>9499</v>
      </c>
      <c r="I532" t="s">
        <v>31</v>
      </c>
    </row>
    <row r="533" spans="1:9" x14ac:dyDescent="0.3">
      <c r="A533" t="str">
        <f>"22736000"</f>
        <v>22736000</v>
      </c>
      <c r="B533" t="s">
        <v>1289</v>
      </c>
      <c r="C533" t="str">
        <f t="shared" si="31"/>
        <v>706</v>
      </c>
      <c r="D533" t="s">
        <v>28</v>
      </c>
      <c r="E533" t="s">
        <v>52</v>
      </c>
      <c r="F533" t="s">
        <v>52</v>
      </c>
      <c r="G533" t="s">
        <v>1290</v>
      </c>
      <c r="H533" t="str">
        <f t="shared" si="32"/>
        <v>9499</v>
      </c>
      <c r="I533" t="s">
        <v>31</v>
      </c>
    </row>
    <row r="534" spans="1:9" x14ac:dyDescent="0.3">
      <c r="A534" t="str">
        <f>"46308725"</f>
        <v>46308725</v>
      </c>
      <c r="B534" t="s">
        <v>1291</v>
      </c>
      <c r="C534" t="str">
        <f t="shared" si="31"/>
        <v>706</v>
      </c>
      <c r="D534" t="s">
        <v>28</v>
      </c>
      <c r="E534" t="s">
        <v>23</v>
      </c>
      <c r="F534" t="s">
        <v>23</v>
      </c>
      <c r="G534" t="s">
        <v>1292</v>
      </c>
      <c r="H534" t="str">
        <f t="shared" si="32"/>
        <v>9499</v>
      </c>
      <c r="I534" t="s">
        <v>31</v>
      </c>
    </row>
    <row r="535" spans="1:9" x14ac:dyDescent="0.3">
      <c r="A535" t="str">
        <f>"26991438"</f>
        <v>26991438</v>
      </c>
      <c r="B535" t="s">
        <v>1293</v>
      </c>
      <c r="C535" t="str">
        <f t="shared" si="31"/>
        <v>706</v>
      </c>
      <c r="D535" t="s">
        <v>28</v>
      </c>
      <c r="E535" t="s">
        <v>52</v>
      </c>
      <c r="F535" t="s">
        <v>673</v>
      </c>
      <c r="G535" t="s">
        <v>1294</v>
      </c>
      <c r="H535" t="str">
        <f t="shared" si="32"/>
        <v>9499</v>
      </c>
      <c r="I535" t="s">
        <v>31</v>
      </c>
    </row>
    <row r="536" spans="1:9" x14ac:dyDescent="0.3">
      <c r="A536" t="str">
        <f>"26532841"</f>
        <v>26532841</v>
      </c>
      <c r="B536" t="s">
        <v>1295</v>
      </c>
      <c r="C536" t="str">
        <f t="shared" si="31"/>
        <v>706</v>
      </c>
      <c r="D536" t="s">
        <v>28</v>
      </c>
      <c r="E536" t="s">
        <v>52</v>
      </c>
      <c r="F536" t="s">
        <v>52</v>
      </c>
      <c r="G536" t="s">
        <v>1240</v>
      </c>
      <c r="H536" t="str">
        <f t="shared" si="32"/>
        <v>9499</v>
      </c>
      <c r="I536" t="s">
        <v>31</v>
      </c>
    </row>
    <row r="537" spans="1:9" x14ac:dyDescent="0.3">
      <c r="A537" t="str">
        <f>"22763589"</f>
        <v>22763589</v>
      </c>
      <c r="B537" t="s">
        <v>1296</v>
      </c>
      <c r="C537" t="str">
        <f t="shared" si="31"/>
        <v>706</v>
      </c>
      <c r="D537" t="s">
        <v>28</v>
      </c>
      <c r="E537" t="s">
        <v>23</v>
      </c>
      <c r="F537" t="s">
        <v>107</v>
      </c>
      <c r="G537" t="s">
        <v>1297</v>
      </c>
      <c r="H537" t="str">
        <f t="shared" si="32"/>
        <v>9499</v>
      </c>
      <c r="I537" t="s">
        <v>31</v>
      </c>
    </row>
    <row r="538" spans="1:9" x14ac:dyDescent="0.3">
      <c r="A538" t="str">
        <f>"70881464"</f>
        <v>70881464</v>
      </c>
      <c r="B538" t="s">
        <v>1298</v>
      </c>
      <c r="C538" t="str">
        <f t="shared" si="31"/>
        <v>706</v>
      </c>
      <c r="D538" t="s">
        <v>28</v>
      </c>
      <c r="E538" t="s">
        <v>23</v>
      </c>
      <c r="F538" t="s">
        <v>68</v>
      </c>
      <c r="G538" t="s">
        <v>1299</v>
      </c>
      <c r="H538" t="str">
        <f t="shared" si="32"/>
        <v>9499</v>
      </c>
      <c r="I538" t="s">
        <v>31</v>
      </c>
    </row>
    <row r="539" spans="1:9" x14ac:dyDescent="0.3">
      <c r="A539" t="str">
        <f>"22817221"</f>
        <v>22817221</v>
      </c>
      <c r="B539" t="s">
        <v>1300</v>
      </c>
      <c r="C539" t="str">
        <f t="shared" si="31"/>
        <v>706</v>
      </c>
      <c r="D539" t="s">
        <v>28</v>
      </c>
      <c r="E539" t="s">
        <v>83</v>
      </c>
      <c r="F539" t="s">
        <v>175</v>
      </c>
      <c r="G539" t="s">
        <v>1301</v>
      </c>
      <c r="H539" t="str">
        <f>"93120"</f>
        <v>93120</v>
      </c>
      <c r="I539" t="s">
        <v>54</v>
      </c>
    </row>
    <row r="540" spans="1:9" x14ac:dyDescent="0.3">
      <c r="A540" t="str">
        <f>"70894159"</f>
        <v>70894159</v>
      </c>
      <c r="B540" t="s">
        <v>1302</v>
      </c>
      <c r="C540" t="str">
        <f t="shared" si="31"/>
        <v>706</v>
      </c>
      <c r="D540" t="s">
        <v>28</v>
      </c>
      <c r="E540" t="s">
        <v>29</v>
      </c>
      <c r="F540" t="s">
        <v>29</v>
      </c>
      <c r="G540" t="s">
        <v>1303</v>
      </c>
      <c r="H540" t="str">
        <f>"931"</f>
        <v>931</v>
      </c>
      <c r="I540" t="s">
        <v>26</v>
      </c>
    </row>
    <row r="541" spans="1:9" x14ac:dyDescent="0.3">
      <c r="A541" t="str">
        <f>"73634964"</f>
        <v>73634964</v>
      </c>
      <c r="B541" t="s">
        <v>1304</v>
      </c>
      <c r="C541" t="str">
        <f>"722"</f>
        <v>722</v>
      </c>
      <c r="D541" t="s">
        <v>315</v>
      </c>
      <c r="E541" t="s">
        <v>23</v>
      </c>
      <c r="F541" t="s">
        <v>23</v>
      </c>
      <c r="G541" t="s">
        <v>1305</v>
      </c>
      <c r="H541" t="str">
        <f>"94910"</f>
        <v>94910</v>
      </c>
      <c r="I541" t="s">
        <v>316</v>
      </c>
    </row>
    <row r="542" spans="1:9" x14ac:dyDescent="0.3">
      <c r="A542" t="str">
        <f>"73635243"</f>
        <v>73635243</v>
      </c>
      <c r="B542" t="s">
        <v>1306</v>
      </c>
      <c r="C542" t="str">
        <f>"722"</f>
        <v>722</v>
      </c>
      <c r="D542" t="s">
        <v>315</v>
      </c>
      <c r="E542" t="s">
        <v>83</v>
      </c>
      <c r="F542" t="s">
        <v>83</v>
      </c>
      <c r="G542" t="s">
        <v>1307</v>
      </c>
      <c r="H542" t="str">
        <f>"94910"</f>
        <v>94910</v>
      </c>
      <c r="I542" t="s">
        <v>316</v>
      </c>
    </row>
    <row r="543" spans="1:9" x14ac:dyDescent="0.3">
      <c r="A543" t="str">
        <f>"22745726"</f>
        <v>22745726</v>
      </c>
      <c r="B543" t="s">
        <v>1311</v>
      </c>
      <c r="C543" t="str">
        <f t="shared" ref="C543:C556" si="33">"706"</f>
        <v>706</v>
      </c>
      <c r="D543" t="s">
        <v>28</v>
      </c>
      <c r="E543" t="s">
        <v>52</v>
      </c>
      <c r="F543" t="s">
        <v>52</v>
      </c>
      <c r="G543" t="s">
        <v>1312</v>
      </c>
      <c r="H543" t="str">
        <f>"9499"</f>
        <v>9499</v>
      </c>
      <c r="I543" t="s">
        <v>31</v>
      </c>
    </row>
    <row r="544" spans="1:9" x14ac:dyDescent="0.3">
      <c r="A544" t="str">
        <f>"22765409"</f>
        <v>22765409</v>
      </c>
      <c r="B544" t="s">
        <v>1313</v>
      </c>
      <c r="C544" t="str">
        <f t="shared" si="33"/>
        <v>706</v>
      </c>
      <c r="D544" t="s">
        <v>28</v>
      </c>
      <c r="E544" t="s">
        <v>29</v>
      </c>
      <c r="F544" t="s">
        <v>29</v>
      </c>
      <c r="G544" t="s">
        <v>1314</v>
      </c>
      <c r="H544" t="str">
        <f>"94995"</f>
        <v>94995</v>
      </c>
      <c r="I544" t="s">
        <v>232</v>
      </c>
    </row>
    <row r="545" spans="1:13" x14ac:dyDescent="0.3">
      <c r="A545" t="str">
        <f>"08965803"</f>
        <v>08965803</v>
      </c>
      <c r="B545" t="s">
        <v>1315</v>
      </c>
      <c r="C545" t="str">
        <f t="shared" si="33"/>
        <v>706</v>
      </c>
      <c r="D545" t="s">
        <v>28</v>
      </c>
      <c r="E545" t="s">
        <v>52</v>
      </c>
      <c r="F545" t="s">
        <v>113</v>
      </c>
      <c r="G545" t="s">
        <v>1316</v>
      </c>
      <c r="H545" t="str">
        <f>"93190"</f>
        <v>93190</v>
      </c>
      <c r="I545" t="s">
        <v>59</v>
      </c>
      <c r="J545" t="s">
        <v>155</v>
      </c>
      <c r="K545" t="s">
        <v>622</v>
      </c>
      <c r="L545" t="s">
        <v>262</v>
      </c>
      <c r="M545" t="s">
        <v>92</v>
      </c>
    </row>
    <row r="546" spans="1:13" x14ac:dyDescent="0.3">
      <c r="A546" t="str">
        <f>"26995107"</f>
        <v>26995107</v>
      </c>
      <c r="B546" t="s">
        <v>1317</v>
      </c>
      <c r="C546" t="str">
        <f t="shared" si="33"/>
        <v>706</v>
      </c>
      <c r="D546" t="s">
        <v>28</v>
      </c>
      <c r="E546" t="s">
        <v>52</v>
      </c>
      <c r="F546" t="s">
        <v>113</v>
      </c>
      <c r="G546" t="s">
        <v>1318</v>
      </c>
      <c r="H546" t="str">
        <f>"9499"</f>
        <v>9499</v>
      </c>
      <c r="I546" t="s">
        <v>31</v>
      </c>
    </row>
    <row r="547" spans="1:13" x14ac:dyDescent="0.3">
      <c r="A547" t="str">
        <f>"22879064"</f>
        <v>22879064</v>
      </c>
      <c r="B547" t="s">
        <v>1319</v>
      </c>
      <c r="C547" t="str">
        <f t="shared" si="33"/>
        <v>706</v>
      </c>
      <c r="D547" t="s">
        <v>28</v>
      </c>
      <c r="E547" t="s">
        <v>83</v>
      </c>
      <c r="F547" t="s">
        <v>537</v>
      </c>
      <c r="G547" t="s">
        <v>1051</v>
      </c>
      <c r="H547" t="str">
        <f>"9499"</f>
        <v>9499</v>
      </c>
      <c r="I547" t="s">
        <v>31</v>
      </c>
    </row>
    <row r="548" spans="1:13" x14ac:dyDescent="0.3">
      <c r="A548" t="str">
        <f>"05541433"</f>
        <v>05541433</v>
      </c>
      <c r="B548" t="s">
        <v>1320</v>
      </c>
      <c r="C548" t="str">
        <f t="shared" si="33"/>
        <v>706</v>
      </c>
      <c r="D548" t="s">
        <v>28</v>
      </c>
      <c r="E548" t="s">
        <v>29</v>
      </c>
      <c r="F548" t="s">
        <v>117</v>
      </c>
      <c r="G548" t="s">
        <v>1321</v>
      </c>
      <c r="H548" t="str">
        <f>"9499"</f>
        <v>9499</v>
      </c>
      <c r="I548" t="s">
        <v>31</v>
      </c>
    </row>
    <row r="549" spans="1:13" x14ac:dyDescent="0.3">
      <c r="A549" t="str">
        <f>"26989476"</f>
        <v>26989476</v>
      </c>
      <c r="B549" t="s">
        <v>1322</v>
      </c>
      <c r="C549" t="str">
        <f t="shared" si="33"/>
        <v>706</v>
      </c>
      <c r="D549" t="s">
        <v>28</v>
      </c>
      <c r="E549" t="s">
        <v>83</v>
      </c>
      <c r="F549" t="s">
        <v>83</v>
      </c>
      <c r="G549" t="s">
        <v>1323</v>
      </c>
      <c r="H549" t="str">
        <f>"93110"</f>
        <v>93110</v>
      </c>
      <c r="I549" t="s">
        <v>92</v>
      </c>
    </row>
    <row r="550" spans="1:13" x14ac:dyDescent="0.3">
      <c r="A550" t="str">
        <f>"63414635"</f>
        <v>63414635</v>
      </c>
      <c r="B550" t="s">
        <v>1324</v>
      </c>
      <c r="C550" t="str">
        <f t="shared" si="33"/>
        <v>706</v>
      </c>
      <c r="D550" t="s">
        <v>28</v>
      </c>
      <c r="E550" t="s">
        <v>83</v>
      </c>
      <c r="F550" t="s">
        <v>83</v>
      </c>
      <c r="G550" t="s">
        <v>1325</v>
      </c>
      <c r="H550" t="str">
        <f t="shared" ref="H550:H555" si="34">"9499"</f>
        <v>9499</v>
      </c>
      <c r="I550" t="s">
        <v>31</v>
      </c>
    </row>
    <row r="551" spans="1:13" x14ac:dyDescent="0.3">
      <c r="A551" t="str">
        <f>"05519454"</f>
        <v>05519454</v>
      </c>
      <c r="B551" t="s">
        <v>1326</v>
      </c>
      <c r="C551" t="str">
        <f t="shared" si="33"/>
        <v>706</v>
      </c>
      <c r="D551" t="s">
        <v>28</v>
      </c>
      <c r="E551" t="s">
        <v>23</v>
      </c>
      <c r="F551" t="s">
        <v>23</v>
      </c>
      <c r="G551" t="s">
        <v>1327</v>
      </c>
      <c r="H551" t="str">
        <f t="shared" si="34"/>
        <v>9499</v>
      </c>
      <c r="I551" t="s">
        <v>31</v>
      </c>
    </row>
    <row r="552" spans="1:13" x14ac:dyDescent="0.3">
      <c r="A552" t="str">
        <f>"19947755"</f>
        <v>19947755</v>
      </c>
      <c r="B552" t="s">
        <v>1328</v>
      </c>
      <c r="C552" t="str">
        <f t="shared" si="33"/>
        <v>706</v>
      </c>
      <c r="D552" t="s">
        <v>28</v>
      </c>
      <c r="E552" t="s">
        <v>52</v>
      </c>
      <c r="F552" t="s">
        <v>178</v>
      </c>
      <c r="G552" t="s">
        <v>1329</v>
      </c>
      <c r="H552" t="str">
        <f t="shared" si="34"/>
        <v>9499</v>
      </c>
      <c r="I552" t="s">
        <v>31</v>
      </c>
    </row>
    <row r="553" spans="1:13" x14ac:dyDescent="0.3">
      <c r="A553" t="str">
        <f>"07783604"</f>
        <v>07783604</v>
      </c>
      <c r="B553" t="s">
        <v>1330</v>
      </c>
      <c r="C553" t="str">
        <f t="shared" si="33"/>
        <v>706</v>
      </c>
      <c r="D553" t="s">
        <v>28</v>
      </c>
      <c r="E553" t="s">
        <v>52</v>
      </c>
      <c r="F553" t="s">
        <v>144</v>
      </c>
      <c r="G553" t="s">
        <v>1331</v>
      </c>
      <c r="H553" t="str">
        <f t="shared" si="34"/>
        <v>9499</v>
      </c>
      <c r="I553" t="s">
        <v>31</v>
      </c>
    </row>
    <row r="554" spans="1:13" x14ac:dyDescent="0.3">
      <c r="A554" t="str">
        <f>"70893128"</f>
        <v>70893128</v>
      </c>
      <c r="B554" t="s">
        <v>1332</v>
      </c>
      <c r="C554" t="str">
        <f t="shared" si="33"/>
        <v>706</v>
      </c>
      <c r="D554" t="s">
        <v>28</v>
      </c>
      <c r="E554" t="s">
        <v>52</v>
      </c>
      <c r="F554" t="s">
        <v>52</v>
      </c>
      <c r="G554" t="s">
        <v>1333</v>
      </c>
      <c r="H554" t="str">
        <f t="shared" si="34"/>
        <v>9499</v>
      </c>
      <c r="I554" t="s">
        <v>31</v>
      </c>
      <c r="J554" t="s">
        <v>238</v>
      </c>
      <c r="K554" t="s">
        <v>498</v>
      </c>
      <c r="L554" t="s">
        <v>1061</v>
      </c>
      <c r="M554" t="s">
        <v>163</v>
      </c>
    </row>
    <row r="555" spans="1:13" x14ac:dyDescent="0.3">
      <c r="A555" t="str">
        <f>"05517478"</f>
        <v>05517478</v>
      </c>
      <c r="B555" t="s">
        <v>1334</v>
      </c>
      <c r="C555" t="str">
        <f t="shared" si="33"/>
        <v>706</v>
      </c>
      <c r="D555" t="s">
        <v>28</v>
      </c>
      <c r="E555" t="s">
        <v>52</v>
      </c>
      <c r="F555" t="s">
        <v>52</v>
      </c>
      <c r="G555" t="s">
        <v>1335</v>
      </c>
      <c r="H555" t="str">
        <f t="shared" si="34"/>
        <v>9499</v>
      </c>
      <c r="I555" t="s">
        <v>31</v>
      </c>
    </row>
    <row r="556" spans="1:13" x14ac:dyDescent="0.3">
      <c r="A556" t="str">
        <f>"21537224"</f>
        <v>21537224</v>
      </c>
      <c r="B556" t="s">
        <v>1336</v>
      </c>
      <c r="C556" t="str">
        <f t="shared" si="33"/>
        <v>706</v>
      </c>
      <c r="D556" t="s">
        <v>28</v>
      </c>
      <c r="E556" t="s">
        <v>29</v>
      </c>
      <c r="F556" t="s">
        <v>195</v>
      </c>
      <c r="G556" t="s">
        <v>1337</v>
      </c>
      <c r="H556" t="str">
        <f>"94999"</f>
        <v>94999</v>
      </c>
      <c r="I556" t="s">
        <v>202</v>
      </c>
    </row>
    <row r="557" spans="1:13" x14ac:dyDescent="0.3">
      <c r="A557" t="str">
        <f>"65822579"</f>
        <v>65822579</v>
      </c>
      <c r="B557" t="s">
        <v>1338</v>
      </c>
      <c r="C557" t="str">
        <f>"736"</f>
        <v>736</v>
      </c>
      <c r="D557" t="s">
        <v>22</v>
      </c>
      <c r="E557" t="s">
        <v>23</v>
      </c>
      <c r="F557" t="s">
        <v>68</v>
      </c>
      <c r="G557" t="s">
        <v>1339</v>
      </c>
      <c r="H557" t="str">
        <f t="shared" ref="H557:H562" si="35">"9499"</f>
        <v>9499</v>
      </c>
      <c r="I557" t="s">
        <v>31</v>
      </c>
    </row>
    <row r="558" spans="1:13" x14ac:dyDescent="0.3">
      <c r="A558" t="str">
        <f>"22758429"</f>
        <v>22758429</v>
      </c>
      <c r="B558" t="s">
        <v>1340</v>
      </c>
      <c r="C558" t="str">
        <f t="shared" ref="C558:C569" si="36">"706"</f>
        <v>706</v>
      </c>
      <c r="D558" t="s">
        <v>28</v>
      </c>
      <c r="E558" t="s">
        <v>83</v>
      </c>
      <c r="F558" t="s">
        <v>175</v>
      </c>
      <c r="G558" t="s">
        <v>1341</v>
      </c>
      <c r="H558" t="str">
        <f t="shared" si="35"/>
        <v>9499</v>
      </c>
      <c r="I558" t="s">
        <v>31</v>
      </c>
    </row>
    <row r="559" spans="1:13" x14ac:dyDescent="0.3">
      <c r="A559" t="str">
        <f>"22758607"</f>
        <v>22758607</v>
      </c>
      <c r="B559" t="s">
        <v>1342</v>
      </c>
      <c r="C559" t="str">
        <f t="shared" si="36"/>
        <v>706</v>
      </c>
      <c r="D559" t="s">
        <v>28</v>
      </c>
      <c r="E559" t="s">
        <v>83</v>
      </c>
      <c r="F559" t="s">
        <v>175</v>
      </c>
      <c r="G559" t="s">
        <v>1341</v>
      </c>
      <c r="H559" t="str">
        <f t="shared" si="35"/>
        <v>9499</v>
      </c>
      <c r="I559" t="s">
        <v>31</v>
      </c>
    </row>
    <row r="560" spans="1:13" x14ac:dyDescent="0.3">
      <c r="A560" t="str">
        <f>"22818359"</f>
        <v>22818359</v>
      </c>
      <c r="B560" t="s">
        <v>1343</v>
      </c>
      <c r="C560" t="str">
        <f t="shared" si="36"/>
        <v>706</v>
      </c>
      <c r="D560" t="s">
        <v>28</v>
      </c>
      <c r="E560" t="s">
        <v>83</v>
      </c>
      <c r="F560" t="s">
        <v>175</v>
      </c>
      <c r="G560" t="s">
        <v>1344</v>
      </c>
      <c r="H560" t="str">
        <f t="shared" si="35"/>
        <v>9499</v>
      </c>
      <c r="I560" t="s">
        <v>31</v>
      </c>
    </row>
    <row r="561" spans="1:9" x14ac:dyDescent="0.3">
      <c r="A561" t="str">
        <f>"06564160"</f>
        <v>06564160</v>
      </c>
      <c r="B561" t="s">
        <v>1345</v>
      </c>
      <c r="C561" t="str">
        <f t="shared" si="36"/>
        <v>706</v>
      </c>
      <c r="D561" t="s">
        <v>28</v>
      </c>
      <c r="E561" t="s">
        <v>83</v>
      </c>
      <c r="F561" t="s">
        <v>83</v>
      </c>
      <c r="G561" t="s">
        <v>1346</v>
      </c>
      <c r="H561" t="str">
        <f t="shared" si="35"/>
        <v>9499</v>
      </c>
      <c r="I561" t="s">
        <v>31</v>
      </c>
    </row>
    <row r="562" spans="1:9" x14ac:dyDescent="0.3">
      <c r="A562" t="str">
        <f>"48505391"</f>
        <v>48505391</v>
      </c>
      <c r="B562" t="s">
        <v>1347</v>
      </c>
      <c r="C562" t="str">
        <f t="shared" si="36"/>
        <v>706</v>
      </c>
      <c r="D562" t="s">
        <v>28</v>
      </c>
      <c r="E562" t="s">
        <v>52</v>
      </c>
      <c r="F562" t="s">
        <v>113</v>
      </c>
      <c r="G562" t="s">
        <v>1348</v>
      </c>
      <c r="H562" t="str">
        <f t="shared" si="35"/>
        <v>9499</v>
      </c>
      <c r="I562" t="s">
        <v>31</v>
      </c>
    </row>
    <row r="563" spans="1:9" x14ac:dyDescent="0.3">
      <c r="A563" t="str">
        <f>"67674615"</f>
        <v>67674615</v>
      </c>
      <c r="B563" t="s">
        <v>1349</v>
      </c>
      <c r="C563" t="str">
        <f t="shared" si="36"/>
        <v>706</v>
      </c>
      <c r="D563" t="s">
        <v>28</v>
      </c>
      <c r="E563" t="s">
        <v>29</v>
      </c>
      <c r="F563" t="s">
        <v>195</v>
      </c>
      <c r="G563" t="s">
        <v>1350</v>
      </c>
      <c r="H563" t="str">
        <f>"94991"</f>
        <v>94991</v>
      </c>
      <c r="I563" t="s">
        <v>433</v>
      </c>
    </row>
    <row r="564" spans="1:9" x14ac:dyDescent="0.3">
      <c r="A564" t="str">
        <f>"01963074"</f>
        <v>01963074</v>
      </c>
      <c r="B564" t="s">
        <v>1351</v>
      </c>
      <c r="C564" t="str">
        <f t="shared" si="36"/>
        <v>706</v>
      </c>
      <c r="D564" t="s">
        <v>28</v>
      </c>
      <c r="E564" t="s">
        <v>23</v>
      </c>
      <c r="F564" t="s">
        <v>24</v>
      </c>
      <c r="G564" t="s">
        <v>1352</v>
      </c>
      <c r="H564" t="str">
        <f>"9499"</f>
        <v>9499</v>
      </c>
      <c r="I564" t="s">
        <v>31</v>
      </c>
    </row>
    <row r="565" spans="1:9" x14ac:dyDescent="0.3">
      <c r="A565" t="str">
        <f>"22765051"</f>
        <v>22765051</v>
      </c>
      <c r="B565" t="s">
        <v>1353</v>
      </c>
      <c r="C565" t="str">
        <f t="shared" si="36"/>
        <v>706</v>
      </c>
      <c r="D565" t="s">
        <v>28</v>
      </c>
      <c r="E565" t="s">
        <v>23</v>
      </c>
      <c r="F565" t="s">
        <v>23</v>
      </c>
      <c r="G565" t="s">
        <v>1354</v>
      </c>
      <c r="H565" t="str">
        <f>"94995"</f>
        <v>94995</v>
      </c>
      <c r="I565" t="s">
        <v>232</v>
      </c>
    </row>
    <row r="566" spans="1:9" x14ac:dyDescent="0.3">
      <c r="A566" t="str">
        <f>"01325078"</f>
        <v>01325078</v>
      </c>
      <c r="B566" t="s">
        <v>1355</v>
      </c>
      <c r="C566" t="str">
        <f t="shared" si="36"/>
        <v>706</v>
      </c>
      <c r="D566" t="s">
        <v>28</v>
      </c>
      <c r="E566" t="s">
        <v>83</v>
      </c>
      <c r="F566" t="s">
        <v>83</v>
      </c>
      <c r="G566" t="s">
        <v>1356</v>
      </c>
      <c r="H566" t="str">
        <f>"9319"</f>
        <v>9319</v>
      </c>
      <c r="I566" t="s">
        <v>59</v>
      </c>
    </row>
    <row r="567" spans="1:9" x14ac:dyDescent="0.3">
      <c r="A567" t="str">
        <f>"02430380"</f>
        <v>02430380</v>
      </c>
      <c r="B567" t="s">
        <v>1357</v>
      </c>
      <c r="C567" t="str">
        <f t="shared" si="36"/>
        <v>706</v>
      </c>
      <c r="D567" t="s">
        <v>28</v>
      </c>
      <c r="E567" t="s">
        <v>83</v>
      </c>
      <c r="F567" t="s">
        <v>83</v>
      </c>
      <c r="G567" t="s">
        <v>1356</v>
      </c>
      <c r="H567" t="str">
        <f>"9499"</f>
        <v>9499</v>
      </c>
      <c r="I567" t="s">
        <v>31</v>
      </c>
    </row>
    <row r="568" spans="1:9" x14ac:dyDescent="0.3">
      <c r="A568" t="str">
        <f>"02430061"</f>
        <v>02430061</v>
      </c>
      <c r="B568" t="s">
        <v>1358</v>
      </c>
      <c r="C568" t="str">
        <f t="shared" si="36"/>
        <v>706</v>
      </c>
      <c r="D568" t="s">
        <v>28</v>
      </c>
      <c r="E568" t="s">
        <v>52</v>
      </c>
      <c r="F568" t="s">
        <v>920</v>
      </c>
      <c r="G568" t="s">
        <v>1359</v>
      </c>
      <c r="H568" t="str">
        <f>"9499"</f>
        <v>9499</v>
      </c>
      <c r="I568" t="s">
        <v>31</v>
      </c>
    </row>
    <row r="569" spans="1:9" x14ac:dyDescent="0.3">
      <c r="A569" t="str">
        <f>"02421950"</f>
        <v>02421950</v>
      </c>
      <c r="B569" t="s">
        <v>1360</v>
      </c>
      <c r="C569" t="str">
        <f t="shared" si="36"/>
        <v>706</v>
      </c>
      <c r="D569" t="s">
        <v>28</v>
      </c>
      <c r="E569" t="s">
        <v>23</v>
      </c>
      <c r="F569" t="s">
        <v>793</v>
      </c>
      <c r="G569" t="s">
        <v>1361</v>
      </c>
      <c r="H569" t="str">
        <f>"9499"</f>
        <v>9499</v>
      </c>
      <c r="I569" t="s">
        <v>31</v>
      </c>
    </row>
    <row r="570" spans="1:9" x14ac:dyDescent="0.3">
      <c r="A570" t="str">
        <f>"08708738"</f>
        <v>08708738</v>
      </c>
      <c r="B570" t="s">
        <v>1363</v>
      </c>
      <c r="C570" t="str">
        <f t="shared" ref="C570:C572" si="37">"706"</f>
        <v>706</v>
      </c>
      <c r="D570" t="s">
        <v>28</v>
      </c>
      <c r="E570" t="s">
        <v>83</v>
      </c>
      <c r="F570" t="s">
        <v>537</v>
      </c>
      <c r="G570" t="s">
        <v>1364</v>
      </c>
      <c r="H570" t="str">
        <f>"9499"</f>
        <v>9499</v>
      </c>
      <c r="I570" t="s">
        <v>31</v>
      </c>
    </row>
    <row r="571" spans="1:9" x14ac:dyDescent="0.3">
      <c r="A571" t="str">
        <f>"22743596"</f>
        <v>22743596</v>
      </c>
      <c r="B571" t="s">
        <v>1366</v>
      </c>
      <c r="C571" t="str">
        <f t="shared" si="37"/>
        <v>706</v>
      </c>
      <c r="D571" t="s">
        <v>28</v>
      </c>
      <c r="E571" t="s">
        <v>23</v>
      </c>
      <c r="F571" t="s">
        <v>23</v>
      </c>
      <c r="G571" t="s">
        <v>1367</v>
      </c>
      <c r="H571" t="str">
        <f>"9499"</f>
        <v>9499</v>
      </c>
      <c r="I571" t="s">
        <v>31</v>
      </c>
    </row>
    <row r="572" spans="1:9" x14ac:dyDescent="0.3">
      <c r="A572" t="str">
        <f>"09163051"</f>
        <v>09163051</v>
      </c>
      <c r="B572" t="s">
        <v>1368</v>
      </c>
      <c r="C572" t="str">
        <f t="shared" si="37"/>
        <v>706</v>
      </c>
      <c r="D572" t="s">
        <v>28</v>
      </c>
      <c r="E572" t="s">
        <v>23</v>
      </c>
      <c r="F572" t="s">
        <v>24</v>
      </c>
      <c r="G572" t="s">
        <v>1369</v>
      </c>
      <c r="H572" t="str">
        <f>"9499"</f>
        <v>9499</v>
      </c>
      <c r="I572" t="s">
        <v>31</v>
      </c>
    </row>
    <row r="573" spans="1:9" x14ac:dyDescent="0.3">
      <c r="A573" t="str">
        <f>"02950154"</f>
        <v>02950154</v>
      </c>
      <c r="B573" t="s">
        <v>1370</v>
      </c>
      <c r="C573" t="str">
        <f>"117"</f>
        <v>117</v>
      </c>
      <c r="D573" t="s">
        <v>1371</v>
      </c>
      <c r="E573" t="s">
        <v>23</v>
      </c>
      <c r="F573" t="s">
        <v>23</v>
      </c>
      <c r="G573" t="s">
        <v>1372</v>
      </c>
      <c r="H573" t="str">
        <f>"9499"</f>
        <v>9499</v>
      </c>
      <c r="I573" t="s">
        <v>31</v>
      </c>
    </row>
    <row r="574" spans="1:9" x14ac:dyDescent="0.3">
      <c r="A574" t="str">
        <f>"48773816"</f>
        <v>48773816</v>
      </c>
      <c r="B574" t="s">
        <v>1373</v>
      </c>
      <c r="C574" t="str">
        <f t="shared" ref="C574:C604" si="38">"706"</f>
        <v>706</v>
      </c>
      <c r="D574" t="s">
        <v>28</v>
      </c>
      <c r="E574" t="s">
        <v>29</v>
      </c>
      <c r="F574" t="s">
        <v>38</v>
      </c>
      <c r="G574" t="s">
        <v>1374</v>
      </c>
      <c r="H574" t="str">
        <f>"93120"</f>
        <v>93120</v>
      </c>
      <c r="I574" t="s">
        <v>54</v>
      </c>
    </row>
    <row r="575" spans="1:9" x14ac:dyDescent="0.3">
      <c r="A575" t="str">
        <f>"07498179"</f>
        <v>07498179</v>
      </c>
      <c r="B575" t="s">
        <v>1375</v>
      </c>
      <c r="C575" t="str">
        <f t="shared" si="38"/>
        <v>706</v>
      </c>
      <c r="D575" t="s">
        <v>28</v>
      </c>
      <c r="E575" t="s">
        <v>52</v>
      </c>
      <c r="F575" t="s">
        <v>113</v>
      </c>
      <c r="G575" t="s">
        <v>1376</v>
      </c>
      <c r="H575" t="str">
        <f>"93190"</f>
        <v>93190</v>
      </c>
      <c r="I575" t="s">
        <v>59</v>
      </c>
    </row>
    <row r="576" spans="1:9" x14ac:dyDescent="0.3">
      <c r="A576" t="str">
        <f>"22902422"</f>
        <v>22902422</v>
      </c>
      <c r="B576" t="s">
        <v>1377</v>
      </c>
      <c r="C576" t="str">
        <f t="shared" si="38"/>
        <v>706</v>
      </c>
      <c r="D576" t="s">
        <v>28</v>
      </c>
      <c r="E576" t="s">
        <v>83</v>
      </c>
      <c r="F576" t="s">
        <v>183</v>
      </c>
      <c r="G576" t="s">
        <v>1378</v>
      </c>
      <c r="H576" t="str">
        <f>"94993"</f>
        <v>94993</v>
      </c>
      <c r="I576" t="s">
        <v>50</v>
      </c>
    </row>
    <row r="577" spans="1:9" x14ac:dyDescent="0.3">
      <c r="A577" t="str">
        <f>"22858806"</f>
        <v>22858806</v>
      </c>
      <c r="B577" t="s">
        <v>1379</v>
      </c>
      <c r="C577" t="str">
        <f t="shared" si="38"/>
        <v>706</v>
      </c>
      <c r="D577" t="s">
        <v>28</v>
      </c>
      <c r="E577" t="s">
        <v>83</v>
      </c>
      <c r="F577" t="s">
        <v>873</v>
      </c>
      <c r="G577" t="s">
        <v>1380</v>
      </c>
      <c r="H577" t="str">
        <f>"94993"</f>
        <v>94993</v>
      </c>
      <c r="I577" t="s">
        <v>50</v>
      </c>
    </row>
    <row r="578" spans="1:9" x14ac:dyDescent="0.3">
      <c r="A578" t="str">
        <f>"65268792"</f>
        <v>65268792</v>
      </c>
      <c r="B578" t="s">
        <v>1381</v>
      </c>
      <c r="C578" t="str">
        <f t="shared" si="38"/>
        <v>706</v>
      </c>
      <c r="D578" t="s">
        <v>28</v>
      </c>
      <c r="E578" t="s">
        <v>83</v>
      </c>
      <c r="F578" t="s">
        <v>480</v>
      </c>
      <c r="G578" t="s">
        <v>1382</v>
      </c>
      <c r="H578" t="str">
        <f>"931"</f>
        <v>931</v>
      </c>
      <c r="I578" t="s">
        <v>26</v>
      </c>
    </row>
    <row r="579" spans="1:9" x14ac:dyDescent="0.3">
      <c r="A579" t="str">
        <f>"47935791"</f>
        <v>47935791</v>
      </c>
      <c r="B579" t="s">
        <v>1383</v>
      </c>
      <c r="C579" t="str">
        <f t="shared" si="38"/>
        <v>706</v>
      </c>
      <c r="D579" t="s">
        <v>28</v>
      </c>
      <c r="E579" t="s">
        <v>83</v>
      </c>
      <c r="F579" t="s">
        <v>175</v>
      </c>
      <c r="G579" t="s">
        <v>1384</v>
      </c>
      <c r="H579" t="str">
        <f>"931"</f>
        <v>931</v>
      </c>
      <c r="I579" t="s">
        <v>26</v>
      </c>
    </row>
    <row r="580" spans="1:9" x14ac:dyDescent="0.3">
      <c r="A580" t="str">
        <f>"26523868"</f>
        <v>26523868</v>
      </c>
      <c r="B580" t="s">
        <v>1385</v>
      </c>
      <c r="C580" t="str">
        <f t="shared" si="38"/>
        <v>706</v>
      </c>
      <c r="D580" t="s">
        <v>28</v>
      </c>
      <c r="E580" t="s">
        <v>23</v>
      </c>
      <c r="F580" t="s">
        <v>350</v>
      </c>
      <c r="G580" t="s">
        <v>1386</v>
      </c>
      <c r="H580" t="str">
        <f>"9499"</f>
        <v>9499</v>
      </c>
      <c r="I580" t="s">
        <v>31</v>
      </c>
    </row>
    <row r="581" spans="1:9" x14ac:dyDescent="0.3">
      <c r="A581" t="str">
        <f>"26577704"</f>
        <v>26577704</v>
      </c>
      <c r="B581" t="s">
        <v>1387</v>
      </c>
      <c r="C581" t="str">
        <f t="shared" si="38"/>
        <v>706</v>
      </c>
      <c r="D581" t="s">
        <v>28</v>
      </c>
      <c r="E581" t="s">
        <v>83</v>
      </c>
      <c r="F581" t="s">
        <v>183</v>
      </c>
      <c r="G581" t="s">
        <v>1388</v>
      </c>
      <c r="H581" t="str">
        <f>"93190"</f>
        <v>93190</v>
      </c>
      <c r="I581" t="s">
        <v>59</v>
      </c>
    </row>
    <row r="582" spans="1:9" x14ac:dyDescent="0.3">
      <c r="A582" t="str">
        <f>"02987490"</f>
        <v>02987490</v>
      </c>
      <c r="B582" t="s">
        <v>1389</v>
      </c>
      <c r="C582" t="str">
        <f t="shared" si="38"/>
        <v>706</v>
      </c>
      <c r="D582" t="s">
        <v>28</v>
      </c>
      <c r="E582" t="s">
        <v>83</v>
      </c>
      <c r="F582" t="s">
        <v>520</v>
      </c>
      <c r="G582" t="s">
        <v>1390</v>
      </c>
      <c r="H582" t="str">
        <f>"93190"</f>
        <v>93190</v>
      </c>
      <c r="I582" t="s">
        <v>59</v>
      </c>
    </row>
    <row r="583" spans="1:9" x14ac:dyDescent="0.3">
      <c r="A583" t="str">
        <f>"26526476"</f>
        <v>26526476</v>
      </c>
      <c r="B583" t="s">
        <v>1391</v>
      </c>
      <c r="C583" t="str">
        <f t="shared" si="38"/>
        <v>706</v>
      </c>
      <c r="D583" t="s">
        <v>28</v>
      </c>
      <c r="E583" t="s">
        <v>23</v>
      </c>
      <c r="F583" t="s">
        <v>68</v>
      </c>
      <c r="G583" t="s">
        <v>1392</v>
      </c>
      <c r="H583" t="str">
        <f>"9499"</f>
        <v>9499</v>
      </c>
      <c r="I583" t="s">
        <v>31</v>
      </c>
    </row>
    <row r="584" spans="1:9" x14ac:dyDescent="0.3">
      <c r="A584" t="str">
        <f>"22093109"</f>
        <v>22093109</v>
      </c>
      <c r="B584" t="s">
        <v>1393</v>
      </c>
      <c r="C584" t="str">
        <f t="shared" si="38"/>
        <v>706</v>
      </c>
      <c r="D584" t="s">
        <v>28</v>
      </c>
      <c r="E584" t="s">
        <v>23</v>
      </c>
      <c r="F584" t="s">
        <v>245</v>
      </c>
      <c r="G584" t="s">
        <v>1394</v>
      </c>
      <c r="H584" t="str">
        <f>"94993"</f>
        <v>94993</v>
      </c>
      <c r="I584" t="s">
        <v>50</v>
      </c>
    </row>
    <row r="585" spans="1:9" x14ac:dyDescent="0.3">
      <c r="A585" t="str">
        <f>"09779078"</f>
        <v>09779078</v>
      </c>
      <c r="B585" t="s">
        <v>1395</v>
      </c>
      <c r="C585" t="str">
        <f t="shared" si="38"/>
        <v>706</v>
      </c>
      <c r="D585" t="s">
        <v>28</v>
      </c>
      <c r="E585" t="s">
        <v>23</v>
      </c>
      <c r="F585" t="s">
        <v>35</v>
      </c>
      <c r="G585" t="s">
        <v>1396</v>
      </c>
      <c r="H585" t="str">
        <f>"94993"</f>
        <v>94993</v>
      </c>
      <c r="I585" t="s">
        <v>50</v>
      </c>
    </row>
    <row r="586" spans="1:9" x14ac:dyDescent="0.3">
      <c r="A586" t="str">
        <f>"05061725"</f>
        <v>05061725</v>
      </c>
      <c r="B586" t="s">
        <v>1397</v>
      </c>
      <c r="C586" t="str">
        <f t="shared" si="38"/>
        <v>706</v>
      </c>
      <c r="D586" t="s">
        <v>28</v>
      </c>
      <c r="E586" t="s">
        <v>83</v>
      </c>
      <c r="F586" t="s">
        <v>537</v>
      </c>
      <c r="G586" t="s">
        <v>1398</v>
      </c>
      <c r="H586" t="str">
        <f>"9499"</f>
        <v>9499</v>
      </c>
      <c r="I586" t="s">
        <v>31</v>
      </c>
    </row>
    <row r="587" spans="1:9" x14ac:dyDescent="0.3">
      <c r="A587" t="str">
        <f>"26658208"</f>
        <v>26658208</v>
      </c>
      <c r="B587" t="s">
        <v>1399</v>
      </c>
      <c r="C587" t="str">
        <f t="shared" si="38"/>
        <v>706</v>
      </c>
      <c r="D587" t="s">
        <v>28</v>
      </c>
      <c r="E587" t="s">
        <v>83</v>
      </c>
      <c r="F587" t="s">
        <v>183</v>
      </c>
      <c r="G587" t="s">
        <v>1400</v>
      </c>
      <c r="H587" t="str">
        <f>"9499"</f>
        <v>9499</v>
      </c>
      <c r="I587" t="s">
        <v>31</v>
      </c>
    </row>
    <row r="588" spans="1:9" x14ac:dyDescent="0.3">
      <c r="A588" t="str">
        <f>"26619199"</f>
        <v>26619199</v>
      </c>
      <c r="B588" t="s">
        <v>1401</v>
      </c>
      <c r="C588" t="str">
        <f t="shared" si="38"/>
        <v>706</v>
      </c>
      <c r="D588" t="s">
        <v>28</v>
      </c>
      <c r="E588" t="s">
        <v>83</v>
      </c>
      <c r="F588" t="s">
        <v>183</v>
      </c>
      <c r="G588" t="s">
        <v>1402</v>
      </c>
      <c r="H588" t="str">
        <f>"9499"</f>
        <v>9499</v>
      </c>
      <c r="I588" t="s">
        <v>31</v>
      </c>
    </row>
    <row r="589" spans="1:9" x14ac:dyDescent="0.3">
      <c r="A589" t="str">
        <f>"27052397"</f>
        <v>27052397</v>
      </c>
      <c r="B589" t="s">
        <v>1403</v>
      </c>
      <c r="C589" t="str">
        <f t="shared" si="38"/>
        <v>706</v>
      </c>
      <c r="D589" t="s">
        <v>28</v>
      </c>
      <c r="E589" t="s">
        <v>52</v>
      </c>
      <c r="F589" t="s">
        <v>927</v>
      </c>
      <c r="G589" t="s">
        <v>1404</v>
      </c>
      <c r="H589" t="str">
        <f>"93110"</f>
        <v>93110</v>
      </c>
      <c r="I589" t="s">
        <v>92</v>
      </c>
    </row>
    <row r="590" spans="1:9" x14ac:dyDescent="0.3">
      <c r="A590" t="str">
        <f>"46276220"</f>
        <v>46276220</v>
      </c>
      <c r="B590" t="s">
        <v>1405</v>
      </c>
      <c r="C590" t="str">
        <f t="shared" si="38"/>
        <v>706</v>
      </c>
      <c r="D590" t="s">
        <v>28</v>
      </c>
      <c r="E590" t="s">
        <v>23</v>
      </c>
      <c r="F590" t="s">
        <v>23</v>
      </c>
      <c r="G590" t="s">
        <v>1406</v>
      </c>
      <c r="H590" t="str">
        <f t="shared" ref="H590:H595" si="39">"9499"</f>
        <v>9499</v>
      </c>
      <c r="I590" t="s">
        <v>31</v>
      </c>
    </row>
    <row r="591" spans="1:9" x14ac:dyDescent="0.3">
      <c r="A591" t="str">
        <f>"70832153"</f>
        <v>70832153</v>
      </c>
      <c r="B591" t="s">
        <v>1407</v>
      </c>
      <c r="C591" t="str">
        <f t="shared" si="38"/>
        <v>706</v>
      </c>
      <c r="D591" t="s">
        <v>28</v>
      </c>
      <c r="E591" t="s">
        <v>52</v>
      </c>
      <c r="F591" t="s">
        <v>52</v>
      </c>
      <c r="G591" t="s">
        <v>1408</v>
      </c>
      <c r="H591" t="str">
        <f t="shared" si="39"/>
        <v>9499</v>
      </c>
      <c r="I591" t="s">
        <v>31</v>
      </c>
    </row>
    <row r="592" spans="1:9" x14ac:dyDescent="0.3">
      <c r="A592" t="str">
        <f>"26671875"</f>
        <v>26671875</v>
      </c>
      <c r="B592" t="s">
        <v>1409</v>
      </c>
      <c r="C592" t="str">
        <f t="shared" si="38"/>
        <v>706</v>
      </c>
      <c r="D592" t="s">
        <v>28</v>
      </c>
      <c r="E592" t="s">
        <v>83</v>
      </c>
      <c r="F592" t="s">
        <v>83</v>
      </c>
      <c r="G592" t="s">
        <v>1410</v>
      </c>
      <c r="H592" t="str">
        <f t="shared" si="39"/>
        <v>9499</v>
      </c>
      <c r="I592" t="s">
        <v>31</v>
      </c>
    </row>
    <row r="593" spans="1:10" x14ac:dyDescent="0.3">
      <c r="A593" t="str">
        <f>"26653826"</f>
        <v>26653826</v>
      </c>
      <c r="B593" t="s">
        <v>1411</v>
      </c>
      <c r="C593" t="str">
        <f t="shared" si="38"/>
        <v>706</v>
      </c>
      <c r="D593" t="s">
        <v>28</v>
      </c>
      <c r="E593" t="s">
        <v>29</v>
      </c>
      <c r="F593" t="s">
        <v>29</v>
      </c>
      <c r="G593" t="s">
        <v>1412</v>
      </c>
      <c r="H593" t="str">
        <f t="shared" si="39"/>
        <v>9499</v>
      </c>
      <c r="I593" t="s">
        <v>31</v>
      </c>
    </row>
    <row r="594" spans="1:10" x14ac:dyDescent="0.3">
      <c r="A594" t="str">
        <f>"19628421"</f>
        <v>19628421</v>
      </c>
      <c r="B594" t="s">
        <v>1413</v>
      </c>
      <c r="C594" t="str">
        <f t="shared" si="38"/>
        <v>706</v>
      </c>
      <c r="D594" t="s">
        <v>28</v>
      </c>
      <c r="E594" t="s">
        <v>52</v>
      </c>
      <c r="F594" t="s">
        <v>234</v>
      </c>
      <c r="G594" t="s">
        <v>1414</v>
      </c>
      <c r="H594" t="str">
        <f t="shared" si="39"/>
        <v>9499</v>
      </c>
      <c r="I594" t="s">
        <v>31</v>
      </c>
    </row>
    <row r="595" spans="1:10" x14ac:dyDescent="0.3">
      <c r="A595" t="str">
        <f>"05660068"</f>
        <v>05660068</v>
      </c>
      <c r="B595" t="s">
        <v>1415</v>
      </c>
      <c r="C595" t="str">
        <f t="shared" si="38"/>
        <v>706</v>
      </c>
      <c r="D595" t="s">
        <v>28</v>
      </c>
      <c r="E595" t="s">
        <v>29</v>
      </c>
      <c r="F595" t="s">
        <v>29</v>
      </c>
      <c r="G595" t="s">
        <v>1416</v>
      </c>
      <c r="H595" t="str">
        <f t="shared" si="39"/>
        <v>9499</v>
      </c>
      <c r="I595" t="s">
        <v>31</v>
      </c>
    </row>
    <row r="596" spans="1:10" x14ac:dyDescent="0.3">
      <c r="A596" t="str">
        <f>"06169261"</f>
        <v>06169261</v>
      </c>
      <c r="B596" t="s">
        <v>1417</v>
      </c>
      <c r="C596" t="str">
        <f t="shared" si="38"/>
        <v>706</v>
      </c>
      <c r="D596" t="s">
        <v>28</v>
      </c>
      <c r="E596" t="s">
        <v>23</v>
      </c>
      <c r="F596" t="s">
        <v>1418</v>
      </c>
      <c r="G596" t="s">
        <v>1419</v>
      </c>
      <c r="H596" t="str">
        <f>"93190"</f>
        <v>93190</v>
      </c>
      <c r="I596" t="s">
        <v>59</v>
      </c>
    </row>
    <row r="597" spans="1:10" x14ac:dyDescent="0.3">
      <c r="A597" t="str">
        <f>"22674209"</f>
        <v>22674209</v>
      </c>
      <c r="B597" t="s">
        <v>1420</v>
      </c>
      <c r="C597" t="str">
        <f t="shared" si="38"/>
        <v>706</v>
      </c>
      <c r="D597" t="s">
        <v>28</v>
      </c>
      <c r="E597" t="s">
        <v>29</v>
      </c>
      <c r="F597" t="s">
        <v>306</v>
      </c>
      <c r="G597" t="s">
        <v>1421</v>
      </c>
      <c r="H597" t="str">
        <f>"9499"</f>
        <v>9499</v>
      </c>
      <c r="I597" t="s">
        <v>31</v>
      </c>
    </row>
    <row r="598" spans="1:10" x14ac:dyDescent="0.3">
      <c r="A598" t="str">
        <f>"08666270"</f>
        <v>08666270</v>
      </c>
      <c r="B598" t="s">
        <v>1422</v>
      </c>
      <c r="C598" t="str">
        <f t="shared" si="38"/>
        <v>706</v>
      </c>
      <c r="D598" t="s">
        <v>28</v>
      </c>
      <c r="E598" t="s">
        <v>23</v>
      </c>
      <c r="F598" t="s">
        <v>23</v>
      </c>
      <c r="G598" t="s">
        <v>1423</v>
      </c>
      <c r="H598" t="str">
        <f>"94120"</f>
        <v>94120</v>
      </c>
      <c r="I598" t="s">
        <v>43</v>
      </c>
    </row>
    <row r="599" spans="1:10" x14ac:dyDescent="0.3">
      <c r="A599" t="str">
        <f>"01290380"</f>
        <v>01290380</v>
      </c>
      <c r="B599" t="s">
        <v>1424</v>
      </c>
      <c r="C599" t="str">
        <f t="shared" si="38"/>
        <v>706</v>
      </c>
      <c r="D599" t="s">
        <v>28</v>
      </c>
      <c r="E599" t="s">
        <v>83</v>
      </c>
      <c r="F599" t="s">
        <v>1425</v>
      </c>
      <c r="G599" t="s">
        <v>1426</v>
      </c>
      <c r="H599" t="str">
        <f>"94993"</f>
        <v>94993</v>
      </c>
      <c r="I599" t="s">
        <v>50</v>
      </c>
    </row>
    <row r="600" spans="1:10" x14ac:dyDescent="0.3">
      <c r="A600" t="str">
        <f>"27052150"</f>
        <v>27052150</v>
      </c>
      <c r="B600" t="s">
        <v>1427</v>
      </c>
      <c r="C600" t="str">
        <f t="shared" si="38"/>
        <v>706</v>
      </c>
      <c r="D600" t="s">
        <v>28</v>
      </c>
      <c r="E600" t="s">
        <v>23</v>
      </c>
      <c r="F600" t="s">
        <v>23</v>
      </c>
      <c r="G600" t="s">
        <v>1428</v>
      </c>
      <c r="H600" t="str">
        <f>"9499"</f>
        <v>9499</v>
      </c>
      <c r="I600" t="s">
        <v>31</v>
      </c>
    </row>
    <row r="601" spans="1:10" x14ac:dyDescent="0.3">
      <c r="A601" t="str">
        <f>"14003236"</f>
        <v>14003236</v>
      </c>
      <c r="B601" t="s">
        <v>1429</v>
      </c>
      <c r="C601" t="str">
        <f t="shared" si="38"/>
        <v>706</v>
      </c>
      <c r="D601" t="s">
        <v>28</v>
      </c>
      <c r="E601" t="s">
        <v>29</v>
      </c>
      <c r="F601" t="s">
        <v>1266</v>
      </c>
      <c r="G601" t="s">
        <v>1430</v>
      </c>
      <c r="H601" t="str">
        <f>"93190"</f>
        <v>93190</v>
      </c>
      <c r="I601" t="s">
        <v>59</v>
      </c>
    </row>
    <row r="602" spans="1:10" x14ac:dyDescent="0.3">
      <c r="A602" t="str">
        <f>"05942021"</f>
        <v>05942021</v>
      </c>
      <c r="B602" t="s">
        <v>1431</v>
      </c>
      <c r="C602" t="str">
        <f t="shared" si="38"/>
        <v>706</v>
      </c>
      <c r="D602" t="s">
        <v>28</v>
      </c>
      <c r="E602" t="s">
        <v>23</v>
      </c>
      <c r="F602" t="s">
        <v>23</v>
      </c>
      <c r="G602" t="s">
        <v>279</v>
      </c>
      <c r="H602" t="str">
        <f>"9499"</f>
        <v>9499</v>
      </c>
      <c r="I602" t="s">
        <v>31</v>
      </c>
    </row>
    <row r="603" spans="1:10" x14ac:dyDescent="0.3">
      <c r="A603" t="str">
        <f>"26561981"</f>
        <v>26561981</v>
      </c>
      <c r="B603" t="s">
        <v>1432</v>
      </c>
      <c r="C603" t="str">
        <f t="shared" si="38"/>
        <v>706</v>
      </c>
      <c r="D603" t="s">
        <v>28</v>
      </c>
      <c r="E603" t="s">
        <v>23</v>
      </c>
      <c r="F603" t="s">
        <v>24</v>
      </c>
      <c r="G603" t="s">
        <v>1433</v>
      </c>
      <c r="H603" t="str">
        <f>"9499"</f>
        <v>9499</v>
      </c>
      <c r="I603" t="s">
        <v>31</v>
      </c>
    </row>
    <row r="604" spans="1:10" x14ac:dyDescent="0.3">
      <c r="A604" t="str">
        <f>"17946743"</f>
        <v>17946743</v>
      </c>
      <c r="B604" t="s">
        <v>1434</v>
      </c>
      <c r="C604" t="str">
        <f t="shared" si="38"/>
        <v>706</v>
      </c>
      <c r="D604" t="s">
        <v>28</v>
      </c>
      <c r="E604" t="s">
        <v>29</v>
      </c>
      <c r="F604" t="s">
        <v>702</v>
      </c>
      <c r="G604" t="s">
        <v>1435</v>
      </c>
      <c r="H604" t="str">
        <f>"93110"</f>
        <v>93110</v>
      </c>
      <c r="I604" t="s">
        <v>92</v>
      </c>
    </row>
    <row r="605" spans="1:10" x14ac:dyDescent="0.3">
      <c r="A605" t="str">
        <f>"02331128"</f>
        <v>02331128</v>
      </c>
      <c r="B605" t="s">
        <v>1436</v>
      </c>
      <c r="C605" t="str">
        <f>"141"</f>
        <v>141</v>
      </c>
      <c r="D605" t="s">
        <v>112</v>
      </c>
      <c r="E605" t="s">
        <v>23</v>
      </c>
      <c r="F605" t="s">
        <v>23</v>
      </c>
      <c r="G605" t="s">
        <v>1437</v>
      </c>
      <c r="H605" t="str">
        <f>"58140"</f>
        <v>58140</v>
      </c>
      <c r="I605" t="s">
        <v>1438</v>
      </c>
      <c r="J605" t="s">
        <v>146</v>
      </c>
    </row>
    <row r="606" spans="1:10" x14ac:dyDescent="0.3">
      <c r="A606" t="str">
        <f>"05073588"</f>
        <v>05073588</v>
      </c>
      <c r="B606" t="s">
        <v>1439</v>
      </c>
      <c r="C606" t="str">
        <f t="shared" ref="C606:C613" si="40">"706"</f>
        <v>706</v>
      </c>
      <c r="D606" t="s">
        <v>28</v>
      </c>
      <c r="E606" t="s">
        <v>52</v>
      </c>
      <c r="F606" t="s">
        <v>1440</v>
      </c>
      <c r="G606" t="s">
        <v>1441</v>
      </c>
      <c r="H606" t="str">
        <f>"9499"</f>
        <v>9499</v>
      </c>
      <c r="I606" t="s">
        <v>31</v>
      </c>
    </row>
    <row r="607" spans="1:10" x14ac:dyDescent="0.3">
      <c r="A607" t="str">
        <f>"22823506"</f>
        <v>22823506</v>
      </c>
      <c r="B607" t="s">
        <v>1442</v>
      </c>
      <c r="C607" t="str">
        <f t="shared" si="40"/>
        <v>706</v>
      </c>
      <c r="D607" t="s">
        <v>28</v>
      </c>
      <c r="E607" t="s">
        <v>83</v>
      </c>
      <c r="F607" t="s">
        <v>537</v>
      </c>
      <c r="G607" t="s">
        <v>1443</v>
      </c>
      <c r="H607" t="str">
        <f>"94995"</f>
        <v>94995</v>
      </c>
      <c r="I607" t="s">
        <v>232</v>
      </c>
    </row>
    <row r="608" spans="1:10" x14ac:dyDescent="0.3">
      <c r="A608" t="str">
        <f>"07020678"</f>
        <v>07020678</v>
      </c>
      <c r="B608" t="s">
        <v>1444</v>
      </c>
      <c r="C608" t="str">
        <f t="shared" si="40"/>
        <v>706</v>
      </c>
      <c r="D608" t="s">
        <v>28</v>
      </c>
      <c r="E608" t="s">
        <v>29</v>
      </c>
      <c r="F608" t="s">
        <v>1445</v>
      </c>
      <c r="G608" t="s">
        <v>1446</v>
      </c>
      <c r="H608" t="str">
        <f>"9499"</f>
        <v>9499</v>
      </c>
      <c r="I608" t="s">
        <v>31</v>
      </c>
    </row>
    <row r="609" spans="1:12" x14ac:dyDescent="0.3">
      <c r="A609" t="str">
        <f>"21331154"</f>
        <v>21331154</v>
      </c>
      <c r="B609" t="s">
        <v>1448</v>
      </c>
      <c r="C609" t="str">
        <f t="shared" si="40"/>
        <v>706</v>
      </c>
      <c r="D609" t="s">
        <v>28</v>
      </c>
      <c r="E609" t="s">
        <v>23</v>
      </c>
      <c r="F609" t="s">
        <v>710</v>
      </c>
      <c r="G609" t="s">
        <v>1449</v>
      </c>
      <c r="H609" t="str">
        <f>"9499"</f>
        <v>9499</v>
      </c>
      <c r="I609" t="s">
        <v>31</v>
      </c>
    </row>
    <row r="610" spans="1:12" x14ac:dyDescent="0.3">
      <c r="A610" t="str">
        <f>"10844791"</f>
        <v>10844791</v>
      </c>
      <c r="B610" t="s">
        <v>1450</v>
      </c>
      <c r="C610" t="str">
        <f t="shared" si="40"/>
        <v>706</v>
      </c>
      <c r="D610" t="s">
        <v>28</v>
      </c>
      <c r="E610" t="s">
        <v>83</v>
      </c>
      <c r="F610" t="s">
        <v>1451</v>
      </c>
      <c r="G610" t="s">
        <v>1452</v>
      </c>
      <c r="H610" t="str">
        <f>"9499"</f>
        <v>9499</v>
      </c>
      <c r="I610" t="s">
        <v>31</v>
      </c>
    </row>
    <row r="611" spans="1:12" x14ac:dyDescent="0.3">
      <c r="A611" t="str">
        <f>"27054080"</f>
        <v>27054080</v>
      </c>
      <c r="B611" t="s">
        <v>1453</v>
      </c>
      <c r="C611" t="str">
        <f t="shared" si="40"/>
        <v>706</v>
      </c>
      <c r="D611" t="s">
        <v>28</v>
      </c>
      <c r="E611" t="s">
        <v>23</v>
      </c>
      <c r="F611" t="s">
        <v>23</v>
      </c>
      <c r="G611" t="s">
        <v>1454</v>
      </c>
      <c r="H611" t="str">
        <f>"9499"</f>
        <v>9499</v>
      </c>
      <c r="I611" t="s">
        <v>31</v>
      </c>
    </row>
    <row r="612" spans="1:12" x14ac:dyDescent="0.3">
      <c r="A612" t="str">
        <f>"08837635"</f>
        <v>08837635</v>
      </c>
      <c r="B612" t="s">
        <v>1455</v>
      </c>
      <c r="C612" t="str">
        <f t="shared" si="40"/>
        <v>706</v>
      </c>
      <c r="D612" t="s">
        <v>28</v>
      </c>
      <c r="E612" t="s">
        <v>29</v>
      </c>
      <c r="F612" t="s">
        <v>29</v>
      </c>
      <c r="G612" t="s">
        <v>1456</v>
      </c>
      <c r="H612" t="str">
        <f>"9499"</f>
        <v>9499</v>
      </c>
      <c r="I612" t="s">
        <v>31</v>
      </c>
    </row>
    <row r="613" spans="1:12" x14ac:dyDescent="0.3">
      <c r="A613" t="str">
        <f>"08524653"</f>
        <v>08524653</v>
      </c>
      <c r="B613" t="s">
        <v>1457</v>
      </c>
      <c r="C613" t="str">
        <f t="shared" si="40"/>
        <v>706</v>
      </c>
      <c r="D613" t="s">
        <v>28</v>
      </c>
      <c r="E613" t="s">
        <v>29</v>
      </c>
      <c r="F613" t="s">
        <v>45</v>
      </c>
      <c r="G613" t="s">
        <v>1458</v>
      </c>
      <c r="H613" t="str">
        <f>"94993"</f>
        <v>94993</v>
      </c>
      <c r="I613" t="s">
        <v>50</v>
      </c>
    </row>
    <row r="614" spans="1:12" x14ac:dyDescent="0.3">
      <c r="A614" t="str">
        <f>"22242716"</f>
        <v>22242716</v>
      </c>
      <c r="B614" t="s">
        <v>1459</v>
      </c>
      <c r="C614" t="str">
        <f>"736"</f>
        <v>736</v>
      </c>
      <c r="D614" t="s">
        <v>22</v>
      </c>
      <c r="E614" t="s">
        <v>23</v>
      </c>
      <c r="F614" t="s">
        <v>141</v>
      </c>
      <c r="G614" t="s">
        <v>1460</v>
      </c>
      <c r="H614" t="str">
        <f>"9499"</f>
        <v>9499</v>
      </c>
      <c r="I614" t="s">
        <v>31</v>
      </c>
    </row>
    <row r="615" spans="1:12" x14ac:dyDescent="0.3">
      <c r="A615" t="str">
        <f>"26573164"</f>
        <v>26573164</v>
      </c>
      <c r="B615" t="s">
        <v>1461</v>
      </c>
      <c r="C615" t="str">
        <f>"706"</f>
        <v>706</v>
      </c>
      <c r="D615" t="s">
        <v>28</v>
      </c>
      <c r="E615" t="s">
        <v>23</v>
      </c>
      <c r="F615" t="s">
        <v>23</v>
      </c>
      <c r="G615" t="s">
        <v>1462</v>
      </c>
      <c r="H615" t="str">
        <f>"9499"</f>
        <v>9499</v>
      </c>
      <c r="I615" t="s">
        <v>31</v>
      </c>
    </row>
    <row r="616" spans="1:12" x14ac:dyDescent="0.3">
      <c r="A616" t="str">
        <f>"19751621"</f>
        <v>19751621</v>
      </c>
      <c r="B616" t="s">
        <v>1463</v>
      </c>
      <c r="C616" t="str">
        <f t="shared" ref="C616:C622" si="41">"736"</f>
        <v>736</v>
      </c>
      <c r="D616" t="s">
        <v>22</v>
      </c>
      <c r="E616" t="s">
        <v>23</v>
      </c>
      <c r="F616" t="s">
        <v>245</v>
      </c>
      <c r="G616" t="s">
        <v>1464</v>
      </c>
      <c r="H616" t="str">
        <f>"9319"</f>
        <v>9319</v>
      </c>
      <c r="I616" t="s">
        <v>59</v>
      </c>
    </row>
    <row r="617" spans="1:12" x14ac:dyDescent="0.3">
      <c r="A617" t="str">
        <f>"70851816"</f>
        <v>70851816</v>
      </c>
      <c r="B617" t="s">
        <v>1465</v>
      </c>
      <c r="C617" t="str">
        <f t="shared" si="41"/>
        <v>736</v>
      </c>
      <c r="D617" t="s">
        <v>22</v>
      </c>
      <c r="E617" t="s">
        <v>83</v>
      </c>
      <c r="F617" t="s">
        <v>175</v>
      </c>
      <c r="G617" t="s">
        <v>1466</v>
      </c>
      <c r="H617" t="str">
        <f>"9499"</f>
        <v>9499</v>
      </c>
      <c r="I617" t="s">
        <v>31</v>
      </c>
    </row>
    <row r="618" spans="1:12" x14ac:dyDescent="0.3">
      <c r="A618" t="str">
        <f>"71216481"</f>
        <v>71216481</v>
      </c>
      <c r="B618" t="s">
        <v>1467</v>
      </c>
      <c r="C618" t="str">
        <f t="shared" si="41"/>
        <v>736</v>
      </c>
      <c r="D618" t="s">
        <v>22</v>
      </c>
      <c r="E618" t="s">
        <v>29</v>
      </c>
      <c r="F618" t="s">
        <v>29</v>
      </c>
      <c r="G618" t="s">
        <v>1468</v>
      </c>
      <c r="H618" t="str">
        <f>"9499"</f>
        <v>9499</v>
      </c>
      <c r="I618" t="s">
        <v>31</v>
      </c>
    </row>
    <row r="619" spans="1:12" x14ac:dyDescent="0.3">
      <c r="A619" t="str">
        <f>"18190227"</f>
        <v>18190227</v>
      </c>
      <c r="B619" t="s">
        <v>1469</v>
      </c>
      <c r="C619" t="str">
        <f t="shared" si="41"/>
        <v>736</v>
      </c>
      <c r="D619" t="s">
        <v>22</v>
      </c>
      <c r="E619" t="s">
        <v>83</v>
      </c>
      <c r="F619" t="s">
        <v>83</v>
      </c>
      <c r="G619" t="s">
        <v>1470</v>
      </c>
      <c r="H619" t="str">
        <f>"9499"</f>
        <v>9499</v>
      </c>
      <c r="I619" t="s">
        <v>31</v>
      </c>
    </row>
    <row r="620" spans="1:12" x14ac:dyDescent="0.3">
      <c r="A620" t="str">
        <f>"46254391"</f>
        <v>46254391</v>
      </c>
      <c r="B620" t="s">
        <v>1471</v>
      </c>
      <c r="C620" t="str">
        <f t="shared" si="41"/>
        <v>736</v>
      </c>
      <c r="D620" t="s">
        <v>22</v>
      </c>
      <c r="E620" t="s">
        <v>52</v>
      </c>
      <c r="F620" t="s">
        <v>52</v>
      </c>
      <c r="G620" t="s">
        <v>1261</v>
      </c>
      <c r="H620" t="str">
        <f>"9499"</f>
        <v>9499</v>
      </c>
      <c r="I620" t="s">
        <v>31</v>
      </c>
    </row>
    <row r="621" spans="1:12" x14ac:dyDescent="0.3">
      <c r="A621" t="str">
        <f>"64123081"</f>
        <v>64123081</v>
      </c>
      <c r="B621" t="s">
        <v>1472</v>
      </c>
      <c r="C621" t="str">
        <f t="shared" si="41"/>
        <v>736</v>
      </c>
      <c r="D621" t="s">
        <v>22</v>
      </c>
      <c r="E621" t="s">
        <v>29</v>
      </c>
      <c r="F621" t="s">
        <v>1473</v>
      </c>
      <c r="G621" t="s">
        <v>1474</v>
      </c>
      <c r="H621" t="str">
        <f>"9499"</f>
        <v>9499</v>
      </c>
      <c r="I621" t="s">
        <v>31</v>
      </c>
    </row>
    <row r="622" spans="1:12" x14ac:dyDescent="0.3">
      <c r="A622" t="str">
        <f>"64467511"</f>
        <v>64467511</v>
      </c>
      <c r="B622" t="s">
        <v>1475</v>
      </c>
      <c r="C622" t="str">
        <f t="shared" si="41"/>
        <v>736</v>
      </c>
      <c r="D622" t="s">
        <v>22</v>
      </c>
      <c r="E622" t="s">
        <v>23</v>
      </c>
      <c r="F622" t="s">
        <v>23</v>
      </c>
      <c r="G622" t="s">
        <v>1476</v>
      </c>
      <c r="H622" t="str">
        <f>"94993"</f>
        <v>94993</v>
      </c>
      <c r="I622" t="s">
        <v>50</v>
      </c>
    </row>
    <row r="623" spans="1:12" x14ac:dyDescent="0.3">
      <c r="A623" t="str">
        <f>"00406538"</f>
        <v>00406538</v>
      </c>
      <c r="B623" t="s">
        <v>1477</v>
      </c>
      <c r="C623" t="str">
        <f>"722"</f>
        <v>722</v>
      </c>
      <c r="D623" t="s">
        <v>315</v>
      </c>
      <c r="E623" t="s">
        <v>83</v>
      </c>
      <c r="F623" t="s">
        <v>83</v>
      </c>
      <c r="G623" t="s">
        <v>1478</v>
      </c>
      <c r="H623" t="str">
        <f>"94910"</f>
        <v>94910</v>
      </c>
      <c r="I623" t="s">
        <v>316</v>
      </c>
    </row>
    <row r="624" spans="1:12" x14ac:dyDescent="0.3">
      <c r="A624" t="str">
        <f>"00406481"</f>
        <v>00406481</v>
      </c>
      <c r="B624" t="s">
        <v>1479</v>
      </c>
      <c r="C624" t="str">
        <f>"722"</f>
        <v>722</v>
      </c>
      <c r="D624" t="s">
        <v>315</v>
      </c>
      <c r="E624" t="s">
        <v>83</v>
      </c>
      <c r="F624" t="s">
        <v>83</v>
      </c>
      <c r="G624" t="s">
        <v>1480</v>
      </c>
      <c r="H624" t="str">
        <f>"94910"</f>
        <v>94910</v>
      </c>
      <c r="I624" t="s">
        <v>316</v>
      </c>
      <c r="J624" t="s">
        <v>1481</v>
      </c>
      <c r="K624" t="s">
        <v>1482</v>
      </c>
      <c r="L624" t="s">
        <v>1176</v>
      </c>
    </row>
    <row r="625" spans="1:10" x14ac:dyDescent="0.3">
      <c r="A625" t="str">
        <f>"69650713"</f>
        <v>69650713</v>
      </c>
      <c r="B625" t="s">
        <v>1483</v>
      </c>
      <c r="C625" t="str">
        <f>"706"</f>
        <v>706</v>
      </c>
      <c r="D625" t="s">
        <v>28</v>
      </c>
      <c r="E625" t="s">
        <v>83</v>
      </c>
      <c r="F625" t="s">
        <v>83</v>
      </c>
      <c r="G625" t="s">
        <v>1484</v>
      </c>
      <c r="H625" t="str">
        <f>"9499"</f>
        <v>9499</v>
      </c>
      <c r="I625" t="s">
        <v>31</v>
      </c>
    </row>
    <row r="626" spans="1:10" x14ac:dyDescent="0.3">
      <c r="A626" t="str">
        <f>"15059847"</f>
        <v>15059847</v>
      </c>
      <c r="B626" t="s">
        <v>1485</v>
      </c>
      <c r="C626" t="str">
        <f>"706"</f>
        <v>706</v>
      </c>
      <c r="D626" t="s">
        <v>28</v>
      </c>
      <c r="E626" t="s">
        <v>83</v>
      </c>
      <c r="F626" t="s">
        <v>83</v>
      </c>
      <c r="G626" t="s">
        <v>1486</v>
      </c>
      <c r="H626" t="str">
        <f>"8690"</f>
        <v>8690</v>
      </c>
      <c r="I626" t="s">
        <v>1120</v>
      </c>
    </row>
    <row r="627" spans="1:10" x14ac:dyDescent="0.3">
      <c r="A627" t="str">
        <f>"29218896"</f>
        <v>29218896</v>
      </c>
      <c r="B627" t="s">
        <v>1487</v>
      </c>
      <c r="C627" t="str">
        <f>"117"</f>
        <v>117</v>
      </c>
      <c r="D627" t="s">
        <v>1371</v>
      </c>
      <c r="E627" t="s">
        <v>52</v>
      </c>
      <c r="F627" t="s">
        <v>113</v>
      </c>
      <c r="G627" t="s">
        <v>1488</v>
      </c>
      <c r="H627" t="str">
        <f>"9499"</f>
        <v>9499</v>
      </c>
      <c r="I627" t="s">
        <v>31</v>
      </c>
      <c r="J627" t="s">
        <v>26</v>
      </c>
    </row>
    <row r="628" spans="1:10" x14ac:dyDescent="0.3">
      <c r="A628" t="str">
        <f>"71227580"</f>
        <v>71227580</v>
      </c>
      <c r="B628" t="s">
        <v>1489</v>
      </c>
      <c r="C628" t="str">
        <f>"736"</f>
        <v>736</v>
      </c>
      <c r="D628" t="s">
        <v>22</v>
      </c>
      <c r="E628" t="s">
        <v>52</v>
      </c>
      <c r="F628" t="s">
        <v>113</v>
      </c>
      <c r="G628" t="s">
        <v>1490</v>
      </c>
      <c r="H628" t="str">
        <f>"94991"</f>
        <v>94991</v>
      </c>
      <c r="I628" t="s">
        <v>433</v>
      </c>
    </row>
    <row r="629" spans="1:10" x14ac:dyDescent="0.3">
      <c r="A629" t="str">
        <f>"17973805"</f>
        <v>17973805</v>
      </c>
      <c r="B629" t="s">
        <v>1491</v>
      </c>
      <c r="C629" t="str">
        <f>"736"</f>
        <v>736</v>
      </c>
      <c r="D629" t="s">
        <v>22</v>
      </c>
      <c r="E629" t="s">
        <v>23</v>
      </c>
      <c r="F629" t="s">
        <v>1492</v>
      </c>
      <c r="G629" t="s">
        <v>1493</v>
      </c>
      <c r="H629" t="str">
        <f>"94991"</f>
        <v>94991</v>
      </c>
      <c r="I629" t="s">
        <v>433</v>
      </c>
    </row>
    <row r="630" spans="1:10" x14ac:dyDescent="0.3">
      <c r="A630" t="str">
        <f>"65326024"</f>
        <v>65326024</v>
      </c>
      <c r="B630" t="s">
        <v>1494</v>
      </c>
      <c r="C630" t="str">
        <f>"736"</f>
        <v>736</v>
      </c>
      <c r="D630" t="s">
        <v>22</v>
      </c>
      <c r="E630" t="s">
        <v>52</v>
      </c>
      <c r="F630" t="s">
        <v>113</v>
      </c>
      <c r="G630" t="s">
        <v>1490</v>
      </c>
      <c r="H630" t="str">
        <f>"94991"</f>
        <v>94991</v>
      </c>
      <c r="I630" t="s">
        <v>433</v>
      </c>
    </row>
    <row r="631" spans="1:10" x14ac:dyDescent="0.3">
      <c r="A631" t="str">
        <f>"65267958"</f>
        <v>65267958</v>
      </c>
      <c r="B631" t="s">
        <v>1495</v>
      </c>
      <c r="C631" t="str">
        <f>"706"</f>
        <v>706</v>
      </c>
      <c r="D631" t="s">
        <v>28</v>
      </c>
      <c r="E631" t="s">
        <v>52</v>
      </c>
      <c r="F631" t="s">
        <v>52</v>
      </c>
      <c r="G631" t="s">
        <v>52</v>
      </c>
      <c r="H631" t="str">
        <f>"9499"</f>
        <v>9499</v>
      </c>
      <c r="I631" t="s">
        <v>31</v>
      </c>
    </row>
    <row r="632" spans="1:10" x14ac:dyDescent="0.3">
      <c r="A632" t="str">
        <f>"71240870"</f>
        <v>71240870</v>
      </c>
      <c r="B632" t="s">
        <v>1497</v>
      </c>
      <c r="C632" t="str">
        <f t="shared" ref="C632:C637" si="42">"736"</f>
        <v>736</v>
      </c>
      <c r="D632" t="s">
        <v>22</v>
      </c>
      <c r="E632" t="s">
        <v>23</v>
      </c>
      <c r="F632" t="s">
        <v>23</v>
      </c>
      <c r="G632" t="s">
        <v>1498</v>
      </c>
      <c r="H632" t="str">
        <f>"9499"</f>
        <v>9499</v>
      </c>
      <c r="I632" t="s">
        <v>31</v>
      </c>
    </row>
    <row r="633" spans="1:10" x14ac:dyDescent="0.3">
      <c r="A633" t="str">
        <f>"67777295"</f>
        <v>67777295</v>
      </c>
      <c r="B633" t="s">
        <v>1499</v>
      </c>
      <c r="C633" t="str">
        <f t="shared" si="42"/>
        <v>736</v>
      </c>
      <c r="D633" t="s">
        <v>22</v>
      </c>
      <c r="E633" t="s">
        <v>83</v>
      </c>
      <c r="F633" t="s">
        <v>83</v>
      </c>
      <c r="G633" t="s">
        <v>1500</v>
      </c>
      <c r="H633" t="str">
        <f>"01700"</f>
        <v>01700</v>
      </c>
      <c r="I633" t="s">
        <v>1501</v>
      </c>
    </row>
    <row r="634" spans="1:10" x14ac:dyDescent="0.3">
      <c r="A634" t="str">
        <f>"67777872"</f>
        <v>67777872</v>
      </c>
      <c r="B634" t="s">
        <v>1502</v>
      </c>
      <c r="C634" t="str">
        <f t="shared" si="42"/>
        <v>736</v>
      </c>
      <c r="D634" t="s">
        <v>22</v>
      </c>
      <c r="E634" t="s">
        <v>52</v>
      </c>
      <c r="F634" t="s">
        <v>52</v>
      </c>
      <c r="G634" t="s">
        <v>439</v>
      </c>
      <c r="H634" t="str">
        <f>"01700"</f>
        <v>01700</v>
      </c>
      <c r="I634" t="s">
        <v>1501</v>
      </c>
    </row>
    <row r="635" spans="1:10" x14ac:dyDescent="0.3">
      <c r="A635" t="str">
        <f>"67777902"</f>
        <v>67777902</v>
      </c>
      <c r="B635" t="s">
        <v>1503</v>
      </c>
      <c r="C635" t="str">
        <f t="shared" si="42"/>
        <v>736</v>
      </c>
      <c r="D635" t="s">
        <v>22</v>
      </c>
      <c r="E635" t="s">
        <v>29</v>
      </c>
      <c r="F635" t="s">
        <v>29</v>
      </c>
      <c r="G635" t="s">
        <v>1504</v>
      </c>
      <c r="H635" t="str">
        <f>"01700"</f>
        <v>01700</v>
      </c>
      <c r="I635" t="s">
        <v>1501</v>
      </c>
    </row>
    <row r="636" spans="1:10" x14ac:dyDescent="0.3">
      <c r="A636" t="str">
        <f>"67777929"</f>
        <v>67777929</v>
      </c>
      <c r="B636" t="s">
        <v>1505</v>
      </c>
      <c r="C636" t="str">
        <f t="shared" si="42"/>
        <v>736</v>
      </c>
      <c r="D636" t="s">
        <v>22</v>
      </c>
      <c r="E636" t="s">
        <v>23</v>
      </c>
      <c r="F636" t="s">
        <v>23</v>
      </c>
      <c r="G636" t="s">
        <v>1506</v>
      </c>
      <c r="H636" t="str">
        <f>"01700"</f>
        <v>01700</v>
      </c>
      <c r="I636" t="s">
        <v>1501</v>
      </c>
    </row>
    <row r="637" spans="1:10" x14ac:dyDescent="0.3">
      <c r="A637" t="str">
        <f>"06048218"</f>
        <v>06048218</v>
      </c>
      <c r="B637" t="s">
        <v>1507</v>
      </c>
      <c r="C637" t="str">
        <f t="shared" si="42"/>
        <v>736</v>
      </c>
      <c r="D637" t="s">
        <v>22</v>
      </c>
      <c r="E637" t="s">
        <v>83</v>
      </c>
      <c r="F637" t="s">
        <v>83</v>
      </c>
      <c r="G637" t="s">
        <v>1508</v>
      </c>
      <c r="H637" t="str">
        <f>"94996"</f>
        <v>94996</v>
      </c>
      <c r="I637" t="s">
        <v>47</v>
      </c>
    </row>
    <row r="638" spans="1:10" x14ac:dyDescent="0.3">
      <c r="A638" t="str">
        <f>"65274521"</f>
        <v>65274521</v>
      </c>
      <c r="B638" t="s">
        <v>1509</v>
      </c>
      <c r="C638" t="str">
        <f>"706"</f>
        <v>706</v>
      </c>
      <c r="D638" t="s">
        <v>28</v>
      </c>
      <c r="E638" t="s">
        <v>83</v>
      </c>
      <c r="F638" t="s">
        <v>520</v>
      </c>
      <c r="G638" t="s">
        <v>1510</v>
      </c>
      <c r="H638" t="str">
        <f>"9499"</f>
        <v>9499</v>
      </c>
      <c r="I638" t="s">
        <v>31</v>
      </c>
    </row>
    <row r="639" spans="1:10" x14ac:dyDescent="0.3">
      <c r="A639" t="str">
        <f>"22867317"</f>
        <v>22867317</v>
      </c>
      <c r="B639" t="s">
        <v>1511</v>
      </c>
      <c r="C639" t="str">
        <f>"706"</f>
        <v>706</v>
      </c>
      <c r="D639" t="s">
        <v>28</v>
      </c>
      <c r="E639" t="s">
        <v>52</v>
      </c>
      <c r="F639" t="s">
        <v>344</v>
      </c>
      <c r="G639" t="s">
        <v>1512</v>
      </c>
      <c r="H639" t="str">
        <f>"9499"</f>
        <v>9499</v>
      </c>
      <c r="I639" t="s">
        <v>31</v>
      </c>
    </row>
    <row r="640" spans="1:10" x14ac:dyDescent="0.3">
      <c r="A640" t="str">
        <f>"72555491"</f>
        <v>72555491</v>
      </c>
      <c r="B640" t="s">
        <v>1513</v>
      </c>
      <c r="C640" t="str">
        <f t="shared" ref="C640:C661" si="43">"736"</f>
        <v>736</v>
      </c>
      <c r="D640" t="s">
        <v>22</v>
      </c>
      <c r="E640" t="s">
        <v>52</v>
      </c>
      <c r="F640" t="s">
        <v>612</v>
      </c>
      <c r="G640" t="s">
        <v>1514</v>
      </c>
      <c r="H640" t="str">
        <f>"94993"</f>
        <v>94993</v>
      </c>
      <c r="I640" t="s">
        <v>50</v>
      </c>
    </row>
    <row r="641" spans="1:9" x14ac:dyDescent="0.3">
      <c r="A641" t="str">
        <f>"05744857"</f>
        <v>05744857</v>
      </c>
      <c r="B641" t="s">
        <v>1515</v>
      </c>
      <c r="C641" t="str">
        <f t="shared" si="43"/>
        <v>736</v>
      </c>
      <c r="D641" t="s">
        <v>22</v>
      </c>
      <c r="E641" t="s">
        <v>52</v>
      </c>
      <c r="F641" t="s">
        <v>1170</v>
      </c>
      <c r="G641" t="s">
        <v>1288</v>
      </c>
      <c r="H641" t="str">
        <f>"94993"</f>
        <v>94993</v>
      </c>
      <c r="I641" t="s">
        <v>50</v>
      </c>
    </row>
    <row r="642" spans="1:9" x14ac:dyDescent="0.3">
      <c r="A642" t="str">
        <f>"72551453"</f>
        <v>72551453</v>
      </c>
      <c r="B642" t="s">
        <v>1516</v>
      </c>
      <c r="C642" t="str">
        <f t="shared" si="43"/>
        <v>736</v>
      </c>
      <c r="D642" t="s">
        <v>22</v>
      </c>
      <c r="E642" t="s">
        <v>83</v>
      </c>
      <c r="F642" t="s">
        <v>815</v>
      </c>
      <c r="G642" t="s">
        <v>1517</v>
      </c>
      <c r="H642" t="str">
        <f>"94993"</f>
        <v>94993</v>
      </c>
      <c r="I642" t="s">
        <v>50</v>
      </c>
    </row>
    <row r="643" spans="1:9" x14ac:dyDescent="0.3">
      <c r="A643" t="str">
        <f>"01826999"</f>
        <v>01826999</v>
      </c>
      <c r="B643" t="s">
        <v>1518</v>
      </c>
      <c r="C643" t="str">
        <f t="shared" si="43"/>
        <v>736</v>
      </c>
      <c r="D643" t="s">
        <v>22</v>
      </c>
      <c r="E643" t="s">
        <v>23</v>
      </c>
      <c r="F643" t="s">
        <v>975</v>
      </c>
      <c r="G643" t="s">
        <v>1519</v>
      </c>
      <c r="H643" t="str">
        <f>"9499"</f>
        <v>9499</v>
      </c>
      <c r="I643" t="s">
        <v>31</v>
      </c>
    </row>
    <row r="644" spans="1:9" x14ac:dyDescent="0.3">
      <c r="A644" t="str">
        <f>"75084287"</f>
        <v>75084287</v>
      </c>
      <c r="B644" t="s">
        <v>1520</v>
      </c>
      <c r="C644" t="str">
        <f t="shared" si="43"/>
        <v>736</v>
      </c>
      <c r="D644" t="s">
        <v>22</v>
      </c>
      <c r="E644" t="s">
        <v>52</v>
      </c>
      <c r="F644" t="s">
        <v>113</v>
      </c>
      <c r="G644" t="s">
        <v>1521</v>
      </c>
      <c r="H644" t="str">
        <f>"9499"</f>
        <v>9499</v>
      </c>
      <c r="I644" t="s">
        <v>31</v>
      </c>
    </row>
    <row r="645" spans="1:9" x14ac:dyDescent="0.3">
      <c r="A645" t="str">
        <f>"70928983"</f>
        <v>70928983</v>
      </c>
      <c r="B645" t="s">
        <v>1522</v>
      </c>
      <c r="C645" t="str">
        <f t="shared" si="43"/>
        <v>736</v>
      </c>
      <c r="D645" t="s">
        <v>22</v>
      </c>
      <c r="E645" t="s">
        <v>83</v>
      </c>
      <c r="F645" t="s">
        <v>183</v>
      </c>
      <c r="G645" t="s">
        <v>1523</v>
      </c>
      <c r="H645" t="str">
        <f>"94993"</f>
        <v>94993</v>
      </c>
      <c r="I645" t="s">
        <v>50</v>
      </c>
    </row>
    <row r="646" spans="1:9" x14ac:dyDescent="0.3">
      <c r="A646" t="str">
        <f>"72551879"</f>
        <v>72551879</v>
      </c>
      <c r="B646" t="s">
        <v>1524</v>
      </c>
      <c r="C646" t="str">
        <f t="shared" si="43"/>
        <v>736</v>
      </c>
      <c r="D646" t="s">
        <v>22</v>
      </c>
      <c r="E646" t="s">
        <v>83</v>
      </c>
      <c r="F646" t="s">
        <v>1525</v>
      </c>
      <c r="G646" t="s">
        <v>1526</v>
      </c>
      <c r="H646" t="str">
        <f>"9499"</f>
        <v>9499</v>
      </c>
      <c r="I646" t="s">
        <v>31</v>
      </c>
    </row>
    <row r="647" spans="1:9" x14ac:dyDescent="0.3">
      <c r="A647" t="str">
        <f>"71238166"</f>
        <v>71238166</v>
      </c>
      <c r="B647" t="s">
        <v>1527</v>
      </c>
      <c r="C647" t="str">
        <f t="shared" si="43"/>
        <v>736</v>
      </c>
      <c r="D647" t="s">
        <v>22</v>
      </c>
      <c r="E647" t="s">
        <v>83</v>
      </c>
      <c r="F647" t="s">
        <v>83</v>
      </c>
      <c r="G647" t="s">
        <v>1528</v>
      </c>
      <c r="H647" t="str">
        <f>"9499"</f>
        <v>9499</v>
      </c>
      <c r="I647" t="s">
        <v>31</v>
      </c>
    </row>
    <row r="648" spans="1:9" x14ac:dyDescent="0.3">
      <c r="A648" t="str">
        <f>"01819046"</f>
        <v>01819046</v>
      </c>
      <c r="B648" t="s">
        <v>1529</v>
      </c>
      <c r="C648" t="str">
        <f t="shared" si="43"/>
        <v>736</v>
      </c>
      <c r="D648" t="s">
        <v>22</v>
      </c>
      <c r="E648" t="s">
        <v>52</v>
      </c>
      <c r="F648" t="s">
        <v>52</v>
      </c>
      <c r="G648" t="s">
        <v>1530</v>
      </c>
      <c r="H648" t="str">
        <f>"94993"</f>
        <v>94993</v>
      </c>
      <c r="I648" t="s">
        <v>50</v>
      </c>
    </row>
    <row r="649" spans="1:9" x14ac:dyDescent="0.3">
      <c r="A649" t="str">
        <f>"72551674"</f>
        <v>72551674</v>
      </c>
      <c r="B649" t="s">
        <v>1531</v>
      </c>
      <c r="C649" t="str">
        <f t="shared" si="43"/>
        <v>736</v>
      </c>
      <c r="D649" t="s">
        <v>22</v>
      </c>
      <c r="E649" t="s">
        <v>83</v>
      </c>
      <c r="F649" t="s">
        <v>1532</v>
      </c>
      <c r="G649" t="s">
        <v>1533</v>
      </c>
      <c r="H649" t="str">
        <f>"94993"</f>
        <v>94993</v>
      </c>
      <c r="I649" t="s">
        <v>50</v>
      </c>
    </row>
    <row r="650" spans="1:9" x14ac:dyDescent="0.3">
      <c r="A650" t="str">
        <f>"72553278"</f>
        <v>72553278</v>
      </c>
      <c r="B650" t="s">
        <v>1534</v>
      </c>
      <c r="C650" t="str">
        <f t="shared" si="43"/>
        <v>736</v>
      </c>
      <c r="D650" t="s">
        <v>22</v>
      </c>
      <c r="E650" t="s">
        <v>23</v>
      </c>
      <c r="F650" t="s">
        <v>23</v>
      </c>
      <c r="G650" t="s">
        <v>1535</v>
      </c>
      <c r="H650" t="str">
        <f>"94993"</f>
        <v>94993</v>
      </c>
      <c r="I650" t="s">
        <v>50</v>
      </c>
    </row>
    <row r="651" spans="1:9" x14ac:dyDescent="0.3">
      <c r="A651" t="str">
        <f>"75118734"</f>
        <v>75118734</v>
      </c>
      <c r="B651" t="s">
        <v>1536</v>
      </c>
      <c r="C651" t="str">
        <f t="shared" si="43"/>
        <v>736</v>
      </c>
      <c r="D651" t="s">
        <v>22</v>
      </c>
      <c r="E651" t="s">
        <v>23</v>
      </c>
      <c r="F651" t="s">
        <v>721</v>
      </c>
      <c r="G651" t="s">
        <v>1537</v>
      </c>
      <c r="H651" t="str">
        <f>"9499"</f>
        <v>9499</v>
      </c>
      <c r="I651" t="s">
        <v>31</v>
      </c>
    </row>
    <row r="652" spans="1:9" x14ac:dyDescent="0.3">
      <c r="A652" t="str">
        <f>"72551739"</f>
        <v>72551739</v>
      </c>
      <c r="B652" t="s">
        <v>1538</v>
      </c>
      <c r="C652" t="str">
        <f t="shared" si="43"/>
        <v>736</v>
      </c>
      <c r="D652" t="s">
        <v>22</v>
      </c>
      <c r="E652" t="s">
        <v>23</v>
      </c>
      <c r="F652" t="s">
        <v>24</v>
      </c>
      <c r="G652" t="s">
        <v>1539</v>
      </c>
      <c r="H652" t="str">
        <f>"94993"</f>
        <v>94993</v>
      </c>
      <c r="I652" t="s">
        <v>50</v>
      </c>
    </row>
    <row r="653" spans="1:9" x14ac:dyDescent="0.3">
      <c r="A653" t="str">
        <f>"71241108"</f>
        <v>71241108</v>
      </c>
      <c r="B653" t="s">
        <v>1540</v>
      </c>
      <c r="C653" t="str">
        <f t="shared" si="43"/>
        <v>736</v>
      </c>
      <c r="D653" t="s">
        <v>22</v>
      </c>
      <c r="E653" t="s">
        <v>83</v>
      </c>
      <c r="F653" t="s">
        <v>453</v>
      </c>
      <c r="G653" t="s">
        <v>1541</v>
      </c>
      <c r="H653" t="str">
        <f>"9499"</f>
        <v>9499</v>
      </c>
      <c r="I653" t="s">
        <v>31</v>
      </c>
    </row>
    <row r="654" spans="1:9" x14ac:dyDescent="0.3">
      <c r="A654" t="str">
        <f>"72551780"</f>
        <v>72551780</v>
      </c>
      <c r="B654" t="s">
        <v>1542</v>
      </c>
      <c r="C654" t="str">
        <f t="shared" si="43"/>
        <v>736</v>
      </c>
      <c r="D654" t="s">
        <v>22</v>
      </c>
      <c r="E654" t="s">
        <v>83</v>
      </c>
      <c r="F654" t="s">
        <v>200</v>
      </c>
      <c r="G654" t="s">
        <v>1543</v>
      </c>
      <c r="H654" t="str">
        <f>"94993"</f>
        <v>94993</v>
      </c>
      <c r="I654" t="s">
        <v>50</v>
      </c>
    </row>
    <row r="655" spans="1:9" x14ac:dyDescent="0.3">
      <c r="A655" t="str">
        <f>"72551518"</f>
        <v>72551518</v>
      </c>
      <c r="B655" t="s">
        <v>1544</v>
      </c>
      <c r="C655" t="str">
        <f t="shared" si="43"/>
        <v>736</v>
      </c>
      <c r="D655" t="s">
        <v>22</v>
      </c>
      <c r="E655" t="s">
        <v>83</v>
      </c>
      <c r="F655" t="s">
        <v>1545</v>
      </c>
      <c r="G655" t="s">
        <v>1546</v>
      </c>
      <c r="H655" t="str">
        <f>"94993"</f>
        <v>94993</v>
      </c>
      <c r="I655" t="s">
        <v>50</v>
      </c>
    </row>
    <row r="656" spans="1:9" x14ac:dyDescent="0.3">
      <c r="A656" t="str">
        <f>"72553294"</f>
        <v>72553294</v>
      </c>
      <c r="B656" t="s">
        <v>1547</v>
      </c>
      <c r="C656" t="str">
        <f t="shared" si="43"/>
        <v>736</v>
      </c>
      <c r="D656" t="s">
        <v>22</v>
      </c>
      <c r="E656" t="s">
        <v>23</v>
      </c>
      <c r="F656" t="s">
        <v>695</v>
      </c>
      <c r="G656" t="s">
        <v>1548</v>
      </c>
      <c r="H656" t="str">
        <f>"9499"</f>
        <v>9499</v>
      </c>
      <c r="I656" t="s">
        <v>31</v>
      </c>
    </row>
    <row r="657" spans="1:9" x14ac:dyDescent="0.3">
      <c r="A657" t="str">
        <f>"01818759"</f>
        <v>01818759</v>
      </c>
      <c r="B657" t="s">
        <v>1549</v>
      </c>
      <c r="C657" t="str">
        <f t="shared" si="43"/>
        <v>736</v>
      </c>
      <c r="D657" t="s">
        <v>22</v>
      </c>
      <c r="E657" t="s">
        <v>52</v>
      </c>
      <c r="F657" t="s">
        <v>94</v>
      </c>
      <c r="G657" t="s">
        <v>1550</v>
      </c>
      <c r="H657" t="str">
        <f>"9499"</f>
        <v>9499</v>
      </c>
      <c r="I657" t="s">
        <v>31</v>
      </c>
    </row>
    <row r="658" spans="1:9" x14ac:dyDescent="0.3">
      <c r="A658" t="str">
        <f>"72551887"</f>
        <v>72551887</v>
      </c>
      <c r="B658" t="s">
        <v>1551</v>
      </c>
      <c r="C658" t="str">
        <f t="shared" si="43"/>
        <v>736</v>
      </c>
      <c r="D658" t="s">
        <v>22</v>
      </c>
      <c r="E658" t="s">
        <v>23</v>
      </c>
      <c r="F658" t="s">
        <v>23</v>
      </c>
      <c r="G658" t="s">
        <v>1552</v>
      </c>
      <c r="H658" t="str">
        <f>"94993"</f>
        <v>94993</v>
      </c>
      <c r="I658" t="s">
        <v>50</v>
      </c>
    </row>
    <row r="659" spans="1:9" x14ac:dyDescent="0.3">
      <c r="A659" t="str">
        <f>"75157497"</f>
        <v>75157497</v>
      </c>
      <c r="B659" t="s">
        <v>1553</v>
      </c>
      <c r="C659" t="str">
        <f t="shared" si="43"/>
        <v>736</v>
      </c>
      <c r="D659" t="s">
        <v>22</v>
      </c>
      <c r="E659" t="s">
        <v>52</v>
      </c>
      <c r="F659" t="s">
        <v>94</v>
      </c>
      <c r="G659" t="s">
        <v>1550</v>
      </c>
      <c r="H659" t="str">
        <f>"9499"</f>
        <v>9499</v>
      </c>
      <c r="I659" t="s">
        <v>31</v>
      </c>
    </row>
    <row r="660" spans="1:9" x14ac:dyDescent="0.3">
      <c r="A660" t="str">
        <f>"72557907"</f>
        <v>72557907</v>
      </c>
      <c r="B660" t="s">
        <v>1554</v>
      </c>
      <c r="C660" t="str">
        <f t="shared" si="43"/>
        <v>736</v>
      </c>
      <c r="D660" t="s">
        <v>22</v>
      </c>
      <c r="E660" t="s">
        <v>23</v>
      </c>
      <c r="F660" t="s">
        <v>1555</v>
      </c>
      <c r="G660" t="s">
        <v>1556</v>
      </c>
      <c r="H660" t="str">
        <f>"94993"</f>
        <v>94993</v>
      </c>
      <c r="I660" t="s">
        <v>50</v>
      </c>
    </row>
    <row r="661" spans="1:9" x14ac:dyDescent="0.3">
      <c r="A661" t="str">
        <f>"71226524"</f>
        <v>71226524</v>
      </c>
      <c r="B661" t="s">
        <v>1557</v>
      </c>
      <c r="C661" t="str">
        <f t="shared" si="43"/>
        <v>736</v>
      </c>
      <c r="D661" t="s">
        <v>22</v>
      </c>
      <c r="E661" t="s">
        <v>83</v>
      </c>
      <c r="F661" t="s">
        <v>183</v>
      </c>
      <c r="G661" t="s">
        <v>1523</v>
      </c>
      <c r="H661" t="str">
        <f t="shared" ref="H661:H667" si="44">"9499"</f>
        <v>9499</v>
      </c>
      <c r="I661" t="s">
        <v>31</v>
      </c>
    </row>
    <row r="662" spans="1:9" x14ac:dyDescent="0.3">
      <c r="A662" t="str">
        <f>"70844445"</f>
        <v>70844445</v>
      </c>
      <c r="B662" t="s">
        <v>1558</v>
      </c>
      <c r="C662" t="str">
        <f t="shared" ref="C662:C667" si="45">"706"</f>
        <v>706</v>
      </c>
      <c r="D662" t="s">
        <v>28</v>
      </c>
      <c r="E662" t="s">
        <v>23</v>
      </c>
      <c r="F662" t="s">
        <v>23</v>
      </c>
      <c r="G662" t="s">
        <v>1559</v>
      </c>
      <c r="H662" t="str">
        <f t="shared" si="44"/>
        <v>9499</v>
      </c>
      <c r="I662" t="s">
        <v>31</v>
      </c>
    </row>
    <row r="663" spans="1:9" x14ac:dyDescent="0.3">
      <c r="A663" t="str">
        <f>"26659344"</f>
        <v>26659344</v>
      </c>
      <c r="B663" t="s">
        <v>1560</v>
      </c>
      <c r="C663" t="str">
        <f t="shared" si="45"/>
        <v>706</v>
      </c>
      <c r="D663" t="s">
        <v>28</v>
      </c>
      <c r="E663" t="s">
        <v>83</v>
      </c>
      <c r="F663" t="s">
        <v>83</v>
      </c>
      <c r="G663" t="s">
        <v>1561</v>
      </c>
      <c r="H663" t="str">
        <f t="shared" si="44"/>
        <v>9499</v>
      </c>
      <c r="I663" t="s">
        <v>31</v>
      </c>
    </row>
    <row r="664" spans="1:9" x14ac:dyDescent="0.3">
      <c r="A664" t="str">
        <f>"65274571"</f>
        <v>65274571</v>
      </c>
      <c r="B664" t="s">
        <v>1562</v>
      </c>
      <c r="C664" t="str">
        <f t="shared" si="45"/>
        <v>706</v>
      </c>
      <c r="D664" t="s">
        <v>28</v>
      </c>
      <c r="E664" t="s">
        <v>23</v>
      </c>
      <c r="F664" t="s">
        <v>23</v>
      </c>
      <c r="G664" t="s">
        <v>1138</v>
      </c>
      <c r="H664" t="str">
        <f t="shared" si="44"/>
        <v>9499</v>
      </c>
      <c r="I664" t="s">
        <v>31</v>
      </c>
    </row>
    <row r="665" spans="1:9" x14ac:dyDescent="0.3">
      <c r="A665" t="str">
        <f>"03039137"</f>
        <v>03039137</v>
      </c>
      <c r="B665" t="s">
        <v>1563</v>
      </c>
      <c r="C665" t="str">
        <f t="shared" si="45"/>
        <v>706</v>
      </c>
      <c r="D665" t="s">
        <v>28</v>
      </c>
      <c r="E665" t="s">
        <v>23</v>
      </c>
      <c r="F665" t="s">
        <v>23</v>
      </c>
      <c r="G665" t="s">
        <v>1564</v>
      </c>
      <c r="H665" t="str">
        <f t="shared" si="44"/>
        <v>9499</v>
      </c>
      <c r="I665" t="s">
        <v>31</v>
      </c>
    </row>
    <row r="666" spans="1:9" x14ac:dyDescent="0.3">
      <c r="A666" t="str">
        <f>"26655535"</f>
        <v>26655535</v>
      </c>
      <c r="B666" t="s">
        <v>1565</v>
      </c>
      <c r="C666" t="str">
        <f t="shared" si="45"/>
        <v>706</v>
      </c>
      <c r="D666" t="s">
        <v>28</v>
      </c>
      <c r="E666" t="s">
        <v>83</v>
      </c>
      <c r="F666" t="s">
        <v>83</v>
      </c>
      <c r="G666" t="s">
        <v>826</v>
      </c>
      <c r="H666" t="str">
        <f t="shared" si="44"/>
        <v>9499</v>
      </c>
      <c r="I666" t="s">
        <v>31</v>
      </c>
    </row>
    <row r="667" spans="1:9" x14ac:dyDescent="0.3">
      <c r="A667" t="str">
        <f>"09123032"</f>
        <v>09123032</v>
      </c>
      <c r="B667" t="s">
        <v>1566</v>
      </c>
      <c r="C667" t="str">
        <f t="shared" si="45"/>
        <v>706</v>
      </c>
      <c r="D667" t="s">
        <v>28</v>
      </c>
      <c r="E667" t="s">
        <v>29</v>
      </c>
      <c r="F667" t="s">
        <v>45</v>
      </c>
      <c r="G667" t="s">
        <v>1567</v>
      </c>
      <c r="H667" t="str">
        <f t="shared" si="44"/>
        <v>9499</v>
      </c>
      <c r="I667" t="s">
        <v>31</v>
      </c>
    </row>
    <row r="668" spans="1:9" x14ac:dyDescent="0.3">
      <c r="A668" t="str">
        <f>"01289829"</f>
        <v>01289829</v>
      </c>
      <c r="B668" t="s">
        <v>1568</v>
      </c>
      <c r="C668" t="str">
        <f t="shared" ref="C668:C687" si="46">"736"</f>
        <v>736</v>
      </c>
      <c r="D668" t="s">
        <v>22</v>
      </c>
      <c r="E668" t="s">
        <v>29</v>
      </c>
      <c r="F668" t="s">
        <v>1569</v>
      </c>
      <c r="G668" t="s">
        <v>1570</v>
      </c>
      <c r="H668" t="str">
        <f t="shared" ref="H668:H681" si="47">"94993"</f>
        <v>94993</v>
      </c>
      <c r="I668" t="s">
        <v>50</v>
      </c>
    </row>
    <row r="669" spans="1:9" x14ac:dyDescent="0.3">
      <c r="A669" t="str">
        <f>"64422461"</f>
        <v>64422461</v>
      </c>
      <c r="B669" t="s">
        <v>1571</v>
      </c>
      <c r="C669" t="str">
        <f t="shared" si="46"/>
        <v>736</v>
      </c>
      <c r="D669" t="s">
        <v>22</v>
      </c>
      <c r="E669" t="s">
        <v>83</v>
      </c>
      <c r="F669" t="s">
        <v>83</v>
      </c>
      <c r="G669" t="s">
        <v>1572</v>
      </c>
      <c r="H669" t="str">
        <f t="shared" si="47"/>
        <v>94993</v>
      </c>
      <c r="I669" t="s">
        <v>50</v>
      </c>
    </row>
    <row r="670" spans="1:9" x14ac:dyDescent="0.3">
      <c r="A670" t="str">
        <f>"65891201"</f>
        <v>65891201</v>
      </c>
      <c r="B670" t="s">
        <v>1573</v>
      </c>
      <c r="C670" t="str">
        <f t="shared" si="46"/>
        <v>736</v>
      </c>
      <c r="D670" t="s">
        <v>22</v>
      </c>
      <c r="E670" t="s">
        <v>29</v>
      </c>
      <c r="F670" t="s">
        <v>250</v>
      </c>
      <c r="G670" t="s">
        <v>1574</v>
      </c>
      <c r="H670" t="str">
        <f t="shared" si="47"/>
        <v>94993</v>
      </c>
      <c r="I670" t="s">
        <v>50</v>
      </c>
    </row>
    <row r="671" spans="1:9" x14ac:dyDescent="0.3">
      <c r="A671" t="str">
        <f>"64601447"</f>
        <v>64601447</v>
      </c>
      <c r="B671" t="s">
        <v>1575</v>
      </c>
      <c r="C671" t="str">
        <f t="shared" si="46"/>
        <v>736</v>
      </c>
      <c r="D671" t="s">
        <v>22</v>
      </c>
      <c r="E671" t="s">
        <v>83</v>
      </c>
      <c r="F671" t="s">
        <v>1576</v>
      </c>
      <c r="G671" t="s">
        <v>1577</v>
      </c>
      <c r="H671" t="str">
        <f t="shared" si="47"/>
        <v>94993</v>
      </c>
      <c r="I671" t="s">
        <v>50</v>
      </c>
    </row>
    <row r="672" spans="1:9" x14ac:dyDescent="0.3">
      <c r="A672" t="str">
        <f>"66934524"</f>
        <v>66934524</v>
      </c>
      <c r="B672" t="s">
        <v>1578</v>
      </c>
      <c r="C672" t="str">
        <f t="shared" si="46"/>
        <v>736</v>
      </c>
      <c r="D672" t="s">
        <v>22</v>
      </c>
      <c r="E672" t="s">
        <v>29</v>
      </c>
      <c r="F672" t="s">
        <v>607</v>
      </c>
      <c r="G672" t="s">
        <v>1579</v>
      </c>
      <c r="H672" t="str">
        <f t="shared" si="47"/>
        <v>94993</v>
      </c>
      <c r="I672" t="s">
        <v>50</v>
      </c>
    </row>
    <row r="673" spans="1:10" x14ac:dyDescent="0.3">
      <c r="A673" t="str">
        <f>"17850878"</f>
        <v>17850878</v>
      </c>
      <c r="B673" t="s">
        <v>1580</v>
      </c>
      <c r="C673" t="str">
        <f t="shared" si="46"/>
        <v>736</v>
      </c>
      <c r="D673" t="s">
        <v>22</v>
      </c>
      <c r="E673" t="s">
        <v>23</v>
      </c>
      <c r="F673" t="s">
        <v>1581</v>
      </c>
      <c r="G673" t="s">
        <v>1582</v>
      </c>
      <c r="H673" t="str">
        <f t="shared" si="47"/>
        <v>94993</v>
      </c>
      <c r="I673" t="s">
        <v>50</v>
      </c>
    </row>
    <row r="674" spans="1:10" x14ac:dyDescent="0.3">
      <c r="A674" t="str">
        <f>"65888529"</f>
        <v>65888529</v>
      </c>
      <c r="B674" t="s">
        <v>1583</v>
      </c>
      <c r="C674" t="str">
        <f t="shared" si="46"/>
        <v>736</v>
      </c>
      <c r="D674" t="s">
        <v>22</v>
      </c>
      <c r="E674" t="s">
        <v>29</v>
      </c>
      <c r="F674" t="s">
        <v>681</v>
      </c>
      <c r="G674" t="s">
        <v>1584</v>
      </c>
      <c r="H674" t="str">
        <f t="shared" si="47"/>
        <v>94993</v>
      </c>
      <c r="I674" t="s">
        <v>50</v>
      </c>
    </row>
    <row r="675" spans="1:10" x14ac:dyDescent="0.3">
      <c r="A675" t="str">
        <f>"65888502"</f>
        <v>65888502</v>
      </c>
      <c r="B675" t="s">
        <v>1585</v>
      </c>
      <c r="C675" t="str">
        <f t="shared" si="46"/>
        <v>736</v>
      </c>
      <c r="D675" t="s">
        <v>22</v>
      </c>
      <c r="E675" t="s">
        <v>29</v>
      </c>
      <c r="F675" t="s">
        <v>38</v>
      </c>
      <c r="G675" t="s">
        <v>1586</v>
      </c>
      <c r="H675" t="str">
        <f t="shared" si="47"/>
        <v>94993</v>
      </c>
      <c r="I675" t="s">
        <v>50</v>
      </c>
    </row>
    <row r="676" spans="1:10" x14ac:dyDescent="0.3">
      <c r="A676" t="str">
        <f>"45211311"</f>
        <v>45211311</v>
      </c>
      <c r="B676" t="s">
        <v>1587</v>
      </c>
      <c r="C676" t="str">
        <f t="shared" si="46"/>
        <v>736</v>
      </c>
      <c r="D676" t="s">
        <v>22</v>
      </c>
      <c r="E676" t="s">
        <v>29</v>
      </c>
      <c r="F676" t="s">
        <v>271</v>
      </c>
      <c r="G676" t="s">
        <v>1588</v>
      </c>
      <c r="H676" t="str">
        <f t="shared" si="47"/>
        <v>94993</v>
      </c>
      <c r="I676" t="s">
        <v>50</v>
      </c>
    </row>
    <row r="677" spans="1:10" x14ac:dyDescent="0.3">
      <c r="A677" t="str">
        <f>"02344653"</f>
        <v>02344653</v>
      </c>
      <c r="B677" t="s">
        <v>1589</v>
      </c>
      <c r="C677" t="str">
        <f t="shared" si="46"/>
        <v>736</v>
      </c>
      <c r="D677" t="s">
        <v>22</v>
      </c>
      <c r="E677" t="s">
        <v>29</v>
      </c>
      <c r="F677" t="s">
        <v>1590</v>
      </c>
      <c r="G677" t="s">
        <v>1591</v>
      </c>
      <c r="H677" t="str">
        <f t="shared" si="47"/>
        <v>94993</v>
      </c>
      <c r="I677" t="s">
        <v>50</v>
      </c>
    </row>
    <row r="678" spans="1:10" x14ac:dyDescent="0.3">
      <c r="A678" t="str">
        <f>"70843864"</f>
        <v>70843864</v>
      </c>
      <c r="B678" t="s">
        <v>1592</v>
      </c>
      <c r="C678" t="str">
        <f t="shared" si="46"/>
        <v>736</v>
      </c>
      <c r="D678" t="s">
        <v>22</v>
      </c>
      <c r="E678" t="s">
        <v>23</v>
      </c>
      <c r="F678" t="s">
        <v>1254</v>
      </c>
      <c r="G678" t="s">
        <v>1593</v>
      </c>
      <c r="H678" t="str">
        <f t="shared" si="47"/>
        <v>94993</v>
      </c>
      <c r="I678" t="s">
        <v>50</v>
      </c>
    </row>
    <row r="679" spans="1:10" x14ac:dyDescent="0.3">
      <c r="A679" t="str">
        <f>"65891082"</f>
        <v>65891082</v>
      </c>
      <c r="B679" t="s">
        <v>1594</v>
      </c>
      <c r="C679" t="str">
        <f t="shared" si="46"/>
        <v>736</v>
      </c>
      <c r="D679" t="s">
        <v>22</v>
      </c>
      <c r="E679" t="s">
        <v>29</v>
      </c>
      <c r="F679" t="s">
        <v>852</v>
      </c>
      <c r="G679" t="s">
        <v>1595</v>
      </c>
      <c r="H679" t="str">
        <f t="shared" si="47"/>
        <v>94993</v>
      </c>
      <c r="I679" t="s">
        <v>50</v>
      </c>
    </row>
    <row r="680" spans="1:10" x14ac:dyDescent="0.3">
      <c r="A680" t="str">
        <f>"22758658"</f>
        <v>22758658</v>
      </c>
      <c r="B680" t="s">
        <v>1596</v>
      </c>
      <c r="C680" t="str">
        <f t="shared" si="46"/>
        <v>736</v>
      </c>
      <c r="D680" t="s">
        <v>22</v>
      </c>
      <c r="E680" t="s">
        <v>23</v>
      </c>
      <c r="F680" t="s">
        <v>23</v>
      </c>
      <c r="G680" t="s">
        <v>1597</v>
      </c>
      <c r="H680" t="str">
        <f t="shared" si="47"/>
        <v>94993</v>
      </c>
      <c r="I680" t="s">
        <v>50</v>
      </c>
    </row>
    <row r="681" spans="1:10" x14ac:dyDescent="0.3">
      <c r="A681" t="str">
        <f>"22632719"</f>
        <v>22632719</v>
      </c>
      <c r="B681" t="s">
        <v>1598</v>
      </c>
      <c r="C681" t="str">
        <f t="shared" si="46"/>
        <v>736</v>
      </c>
      <c r="D681" t="s">
        <v>22</v>
      </c>
      <c r="E681" t="s">
        <v>23</v>
      </c>
      <c r="F681" t="s">
        <v>1492</v>
      </c>
      <c r="G681" t="s">
        <v>1599</v>
      </c>
      <c r="H681" t="str">
        <f t="shared" si="47"/>
        <v>94993</v>
      </c>
      <c r="I681" t="s">
        <v>50</v>
      </c>
    </row>
    <row r="682" spans="1:10" x14ac:dyDescent="0.3">
      <c r="A682" t="str">
        <f>"45211574"</f>
        <v>45211574</v>
      </c>
      <c r="B682" t="s">
        <v>1600</v>
      </c>
      <c r="C682" t="str">
        <f t="shared" si="46"/>
        <v>736</v>
      </c>
      <c r="D682" t="s">
        <v>22</v>
      </c>
      <c r="E682" t="s">
        <v>29</v>
      </c>
      <c r="F682" t="s">
        <v>38</v>
      </c>
      <c r="G682" t="s">
        <v>1601</v>
      </c>
      <c r="H682" t="str">
        <f>"9499"</f>
        <v>9499</v>
      </c>
      <c r="I682" t="s">
        <v>31</v>
      </c>
    </row>
    <row r="683" spans="1:10" x14ac:dyDescent="0.3">
      <c r="A683" t="str">
        <f>"18050867"</f>
        <v>18050867</v>
      </c>
      <c r="B683" t="s">
        <v>1602</v>
      </c>
      <c r="C683" t="str">
        <f t="shared" si="46"/>
        <v>736</v>
      </c>
      <c r="D683" t="s">
        <v>22</v>
      </c>
      <c r="E683" t="s">
        <v>29</v>
      </c>
      <c r="F683" t="s">
        <v>1473</v>
      </c>
      <c r="G683" t="s">
        <v>1603</v>
      </c>
      <c r="H683" t="str">
        <f>"94993"</f>
        <v>94993</v>
      </c>
      <c r="I683" t="s">
        <v>50</v>
      </c>
      <c r="J683" t="s">
        <v>1604</v>
      </c>
    </row>
    <row r="684" spans="1:10" x14ac:dyDescent="0.3">
      <c r="A684" t="str">
        <f>"18050522"</f>
        <v>18050522</v>
      </c>
      <c r="B684" t="s">
        <v>1605</v>
      </c>
      <c r="C684" t="str">
        <f t="shared" si="46"/>
        <v>736</v>
      </c>
      <c r="D684" t="s">
        <v>22</v>
      </c>
      <c r="E684" t="s">
        <v>29</v>
      </c>
      <c r="F684" t="s">
        <v>271</v>
      </c>
      <c r="G684" t="s">
        <v>1606</v>
      </c>
      <c r="H684" t="str">
        <f>"9499"</f>
        <v>9499</v>
      </c>
      <c r="I684" t="s">
        <v>31</v>
      </c>
    </row>
    <row r="685" spans="1:10" x14ac:dyDescent="0.3">
      <c r="A685" t="str">
        <f>"15502805"</f>
        <v>15502805</v>
      </c>
      <c r="B685" t="s">
        <v>1607</v>
      </c>
      <c r="C685" t="str">
        <f t="shared" si="46"/>
        <v>736</v>
      </c>
      <c r="D685" t="s">
        <v>22</v>
      </c>
      <c r="E685" t="s">
        <v>29</v>
      </c>
      <c r="F685" t="s">
        <v>38</v>
      </c>
      <c r="G685" t="s">
        <v>1608</v>
      </c>
      <c r="H685" t="str">
        <f>"9499"</f>
        <v>9499</v>
      </c>
      <c r="I685" t="s">
        <v>31</v>
      </c>
    </row>
    <row r="686" spans="1:10" x14ac:dyDescent="0.3">
      <c r="A686" t="str">
        <f>"18050476"</f>
        <v>18050476</v>
      </c>
      <c r="B686" t="s">
        <v>1609</v>
      </c>
      <c r="C686" t="str">
        <f t="shared" si="46"/>
        <v>736</v>
      </c>
      <c r="D686" t="s">
        <v>22</v>
      </c>
      <c r="E686" t="s">
        <v>29</v>
      </c>
      <c r="F686" t="s">
        <v>195</v>
      </c>
      <c r="G686" t="s">
        <v>1610</v>
      </c>
      <c r="H686" t="str">
        <f>"94993"</f>
        <v>94993</v>
      </c>
      <c r="I686" t="s">
        <v>50</v>
      </c>
    </row>
    <row r="687" spans="1:10" x14ac:dyDescent="0.3">
      <c r="A687" t="str">
        <f>"18050506"</f>
        <v>18050506</v>
      </c>
      <c r="B687" t="s">
        <v>1611</v>
      </c>
      <c r="C687" t="str">
        <f t="shared" si="46"/>
        <v>736</v>
      </c>
      <c r="D687" t="s">
        <v>22</v>
      </c>
      <c r="E687" t="s">
        <v>29</v>
      </c>
      <c r="F687" t="s">
        <v>29</v>
      </c>
      <c r="G687" t="s">
        <v>1612</v>
      </c>
      <c r="H687" t="str">
        <f>"94993"</f>
        <v>94993</v>
      </c>
      <c r="I687" t="s">
        <v>50</v>
      </c>
    </row>
    <row r="688" spans="1:10" x14ac:dyDescent="0.3">
      <c r="A688" t="str">
        <f>"15548643"</f>
        <v>15548643</v>
      </c>
      <c r="B688" t="s">
        <v>1613</v>
      </c>
      <c r="C688" t="str">
        <f>"706"</f>
        <v>706</v>
      </c>
      <c r="D688" t="s">
        <v>28</v>
      </c>
      <c r="E688" t="s">
        <v>52</v>
      </c>
      <c r="F688" t="s">
        <v>113</v>
      </c>
      <c r="G688" t="s">
        <v>1614</v>
      </c>
      <c r="H688" t="str">
        <f>"93120"</f>
        <v>93120</v>
      </c>
      <c r="I688" t="s">
        <v>54</v>
      </c>
    </row>
    <row r="689" spans="1:9" x14ac:dyDescent="0.3">
      <c r="A689" t="str">
        <f>"48489158"</f>
        <v>48489158</v>
      </c>
      <c r="B689" t="s">
        <v>1615</v>
      </c>
      <c r="C689" t="str">
        <f>"706"</f>
        <v>706</v>
      </c>
      <c r="D689" t="s">
        <v>28</v>
      </c>
      <c r="E689" t="s">
        <v>52</v>
      </c>
      <c r="F689" t="s">
        <v>113</v>
      </c>
      <c r="G689" t="s">
        <v>1616</v>
      </c>
      <c r="H689" t="str">
        <f>"93110"</f>
        <v>93110</v>
      </c>
      <c r="I689" t="s">
        <v>92</v>
      </c>
    </row>
    <row r="690" spans="1:9" x14ac:dyDescent="0.3">
      <c r="A690" t="str">
        <f>"48773123"</f>
        <v>48773123</v>
      </c>
      <c r="B690" t="s">
        <v>1617</v>
      </c>
      <c r="C690" t="str">
        <f t="shared" ref="C690:C735" si="48">"736"</f>
        <v>736</v>
      </c>
      <c r="D690" t="s">
        <v>22</v>
      </c>
      <c r="E690" t="s">
        <v>29</v>
      </c>
      <c r="F690" t="s">
        <v>195</v>
      </c>
      <c r="G690" t="s">
        <v>1618</v>
      </c>
      <c r="H690" t="str">
        <f>"9499"</f>
        <v>9499</v>
      </c>
      <c r="I690" t="s">
        <v>31</v>
      </c>
    </row>
    <row r="691" spans="1:9" x14ac:dyDescent="0.3">
      <c r="A691" t="str">
        <f>"70288798"</f>
        <v>70288798</v>
      </c>
      <c r="B691" t="s">
        <v>1619</v>
      </c>
      <c r="C691" t="str">
        <f t="shared" si="48"/>
        <v>736</v>
      </c>
      <c r="D691" t="s">
        <v>22</v>
      </c>
      <c r="E691" t="s">
        <v>23</v>
      </c>
      <c r="F691" t="s">
        <v>695</v>
      </c>
      <c r="G691" t="s">
        <v>1620</v>
      </c>
      <c r="H691" t="str">
        <f>"9499"</f>
        <v>9499</v>
      </c>
      <c r="I691" t="s">
        <v>31</v>
      </c>
    </row>
    <row r="692" spans="1:9" x14ac:dyDescent="0.3">
      <c r="A692" t="str">
        <f>"01723294"</f>
        <v>01723294</v>
      </c>
      <c r="B692" t="s">
        <v>1621</v>
      </c>
      <c r="C692" t="str">
        <f t="shared" si="48"/>
        <v>736</v>
      </c>
      <c r="D692" t="s">
        <v>22</v>
      </c>
      <c r="E692" t="s">
        <v>52</v>
      </c>
      <c r="F692" t="s">
        <v>1622</v>
      </c>
      <c r="G692" t="s">
        <v>1623</v>
      </c>
      <c r="H692" t="str">
        <f>"94993"</f>
        <v>94993</v>
      </c>
      <c r="I692" t="s">
        <v>50</v>
      </c>
    </row>
    <row r="693" spans="1:9" x14ac:dyDescent="0.3">
      <c r="A693" t="str">
        <f>"01723561"</f>
        <v>01723561</v>
      </c>
      <c r="B693" t="s">
        <v>1624</v>
      </c>
      <c r="C693" t="str">
        <f t="shared" si="48"/>
        <v>736</v>
      </c>
      <c r="D693" t="s">
        <v>22</v>
      </c>
      <c r="E693" t="s">
        <v>52</v>
      </c>
      <c r="F693" t="s">
        <v>1625</v>
      </c>
      <c r="G693" t="s">
        <v>1626</v>
      </c>
      <c r="H693" t="str">
        <f>"94993"</f>
        <v>94993</v>
      </c>
      <c r="I693" t="s">
        <v>50</v>
      </c>
    </row>
    <row r="694" spans="1:9" x14ac:dyDescent="0.3">
      <c r="A694" t="str">
        <f>"70435235"</f>
        <v>70435235</v>
      </c>
      <c r="B694" t="s">
        <v>1628</v>
      </c>
      <c r="C694" t="str">
        <f t="shared" si="48"/>
        <v>736</v>
      </c>
      <c r="D694" t="s">
        <v>22</v>
      </c>
      <c r="E694" t="s">
        <v>23</v>
      </c>
      <c r="F694" t="s">
        <v>24</v>
      </c>
      <c r="G694" t="s">
        <v>1629</v>
      </c>
      <c r="H694" t="str">
        <f>"9499"</f>
        <v>9499</v>
      </c>
      <c r="I694" t="s">
        <v>31</v>
      </c>
    </row>
    <row r="695" spans="1:9" x14ac:dyDescent="0.3">
      <c r="A695" t="str">
        <f>"70288721"</f>
        <v>70288721</v>
      </c>
      <c r="B695" t="s">
        <v>1630</v>
      </c>
      <c r="C695" t="str">
        <f t="shared" si="48"/>
        <v>736</v>
      </c>
      <c r="D695" t="s">
        <v>22</v>
      </c>
      <c r="E695" t="s">
        <v>23</v>
      </c>
      <c r="F695" t="s">
        <v>1631</v>
      </c>
      <c r="G695" t="s">
        <v>1632</v>
      </c>
      <c r="H695" t="str">
        <f t="shared" ref="H695:H708" si="49">"94993"</f>
        <v>94993</v>
      </c>
      <c r="I695" t="s">
        <v>50</v>
      </c>
    </row>
    <row r="696" spans="1:9" x14ac:dyDescent="0.3">
      <c r="A696" t="str">
        <f>"70904731"</f>
        <v>70904731</v>
      </c>
      <c r="B696" t="s">
        <v>1633</v>
      </c>
      <c r="C696" t="str">
        <f t="shared" si="48"/>
        <v>736</v>
      </c>
      <c r="D696" t="s">
        <v>22</v>
      </c>
      <c r="E696" t="s">
        <v>52</v>
      </c>
      <c r="F696" t="s">
        <v>1622</v>
      </c>
      <c r="G696" t="s">
        <v>1634</v>
      </c>
      <c r="H696" t="str">
        <f t="shared" si="49"/>
        <v>94993</v>
      </c>
      <c r="I696" t="s">
        <v>50</v>
      </c>
    </row>
    <row r="697" spans="1:9" x14ac:dyDescent="0.3">
      <c r="A697" t="str">
        <f>"00448796"</f>
        <v>00448796</v>
      </c>
      <c r="B697" t="s">
        <v>1636</v>
      </c>
      <c r="C697" t="str">
        <f t="shared" si="48"/>
        <v>736</v>
      </c>
      <c r="D697" t="s">
        <v>22</v>
      </c>
      <c r="E697" t="s">
        <v>52</v>
      </c>
      <c r="F697" t="s">
        <v>234</v>
      </c>
      <c r="G697" t="s">
        <v>1637</v>
      </c>
      <c r="H697" t="str">
        <f t="shared" si="49"/>
        <v>94993</v>
      </c>
      <c r="I697" t="s">
        <v>50</v>
      </c>
    </row>
    <row r="698" spans="1:9" x14ac:dyDescent="0.3">
      <c r="A698" t="str">
        <f>"00448931"</f>
        <v>00448931</v>
      </c>
      <c r="B698" t="s">
        <v>1638</v>
      </c>
      <c r="C698" t="str">
        <f t="shared" si="48"/>
        <v>736</v>
      </c>
      <c r="D698" t="s">
        <v>22</v>
      </c>
      <c r="E698" t="s">
        <v>29</v>
      </c>
      <c r="F698" t="s">
        <v>38</v>
      </c>
      <c r="G698" t="s">
        <v>1639</v>
      </c>
      <c r="H698" t="str">
        <f t="shared" si="49"/>
        <v>94993</v>
      </c>
      <c r="I698" t="s">
        <v>50</v>
      </c>
    </row>
    <row r="699" spans="1:9" x14ac:dyDescent="0.3">
      <c r="A699" t="str">
        <f>"00448737"</f>
        <v>00448737</v>
      </c>
      <c r="B699" t="s">
        <v>1640</v>
      </c>
      <c r="C699" t="str">
        <f t="shared" si="48"/>
        <v>736</v>
      </c>
      <c r="D699" t="s">
        <v>22</v>
      </c>
      <c r="E699" t="s">
        <v>23</v>
      </c>
      <c r="F699" t="s">
        <v>23</v>
      </c>
      <c r="G699" t="s">
        <v>1641</v>
      </c>
      <c r="H699" t="str">
        <f t="shared" si="49"/>
        <v>94993</v>
      </c>
      <c r="I699" t="s">
        <v>50</v>
      </c>
    </row>
    <row r="700" spans="1:9" x14ac:dyDescent="0.3">
      <c r="A700" t="str">
        <f>"75040051"</f>
        <v>75040051</v>
      </c>
      <c r="B700" t="s">
        <v>1642</v>
      </c>
      <c r="C700" t="str">
        <f t="shared" si="48"/>
        <v>736</v>
      </c>
      <c r="D700" t="s">
        <v>22</v>
      </c>
      <c r="E700" t="s">
        <v>52</v>
      </c>
      <c r="F700" t="s">
        <v>612</v>
      </c>
      <c r="G700" t="s">
        <v>1643</v>
      </c>
      <c r="H700" t="str">
        <f t="shared" si="49"/>
        <v>94993</v>
      </c>
      <c r="I700" t="s">
        <v>50</v>
      </c>
    </row>
    <row r="701" spans="1:9" x14ac:dyDescent="0.3">
      <c r="A701" t="str">
        <f>"70288712"</f>
        <v>70288712</v>
      </c>
      <c r="B701" t="s">
        <v>1644</v>
      </c>
      <c r="C701" t="str">
        <f t="shared" si="48"/>
        <v>736</v>
      </c>
      <c r="D701" t="s">
        <v>22</v>
      </c>
      <c r="E701" t="s">
        <v>23</v>
      </c>
      <c r="F701" t="s">
        <v>975</v>
      </c>
      <c r="G701" t="s">
        <v>1519</v>
      </c>
      <c r="H701" t="str">
        <f t="shared" si="49"/>
        <v>94993</v>
      </c>
      <c r="I701" t="s">
        <v>50</v>
      </c>
    </row>
    <row r="702" spans="1:9" x14ac:dyDescent="0.3">
      <c r="A702" t="str">
        <f>"08218684"</f>
        <v>08218684</v>
      </c>
      <c r="B702" t="s">
        <v>1645</v>
      </c>
      <c r="C702" t="str">
        <f t="shared" si="48"/>
        <v>736</v>
      </c>
      <c r="D702" t="s">
        <v>22</v>
      </c>
      <c r="E702" t="s">
        <v>29</v>
      </c>
      <c r="F702" t="s">
        <v>1473</v>
      </c>
      <c r="G702" t="s">
        <v>1646</v>
      </c>
      <c r="H702" t="str">
        <f t="shared" si="49"/>
        <v>94993</v>
      </c>
      <c r="I702" t="s">
        <v>50</v>
      </c>
    </row>
    <row r="703" spans="1:9" x14ac:dyDescent="0.3">
      <c r="A703" t="str">
        <f>"65326458"</f>
        <v>65326458</v>
      </c>
      <c r="B703" t="s">
        <v>1647</v>
      </c>
      <c r="C703" t="str">
        <f t="shared" si="48"/>
        <v>736</v>
      </c>
      <c r="D703" t="s">
        <v>22</v>
      </c>
      <c r="E703" t="s">
        <v>52</v>
      </c>
      <c r="F703" t="s">
        <v>65</v>
      </c>
      <c r="G703" t="s">
        <v>1648</v>
      </c>
      <c r="H703" t="str">
        <f t="shared" si="49"/>
        <v>94993</v>
      </c>
      <c r="I703" t="s">
        <v>50</v>
      </c>
    </row>
    <row r="704" spans="1:9" x14ac:dyDescent="0.3">
      <c r="A704" t="str">
        <f>"60383178"</f>
        <v>60383178</v>
      </c>
      <c r="B704" t="s">
        <v>1649</v>
      </c>
      <c r="C704" t="str">
        <f t="shared" si="48"/>
        <v>736</v>
      </c>
      <c r="D704" t="s">
        <v>22</v>
      </c>
      <c r="E704" t="s">
        <v>83</v>
      </c>
      <c r="F704" t="s">
        <v>183</v>
      </c>
      <c r="G704" t="s">
        <v>1650</v>
      </c>
      <c r="H704" t="str">
        <f t="shared" si="49"/>
        <v>94993</v>
      </c>
      <c r="I704" t="s">
        <v>50</v>
      </c>
    </row>
    <row r="705" spans="1:9" x14ac:dyDescent="0.3">
      <c r="A705" t="str">
        <f>"71237887"</f>
        <v>71237887</v>
      </c>
      <c r="B705" t="s">
        <v>1651</v>
      </c>
      <c r="C705" t="str">
        <f t="shared" si="48"/>
        <v>736</v>
      </c>
      <c r="D705" t="s">
        <v>22</v>
      </c>
      <c r="E705" t="s">
        <v>29</v>
      </c>
      <c r="F705" t="s">
        <v>653</v>
      </c>
      <c r="G705" t="s">
        <v>1652</v>
      </c>
      <c r="H705" t="str">
        <f t="shared" si="49"/>
        <v>94993</v>
      </c>
      <c r="I705" t="s">
        <v>50</v>
      </c>
    </row>
    <row r="706" spans="1:9" x14ac:dyDescent="0.3">
      <c r="A706" t="str">
        <f>"68898312"</f>
        <v>68898312</v>
      </c>
      <c r="B706" t="s">
        <v>1653</v>
      </c>
      <c r="C706" t="str">
        <f t="shared" si="48"/>
        <v>736</v>
      </c>
      <c r="D706" t="s">
        <v>22</v>
      </c>
      <c r="E706" t="s">
        <v>29</v>
      </c>
      <c r="F706" t="s">
        <v>1654</v>
      </c>
      <c r="G706" t="s">
        <v>1655</v>
      </c>
      <c r="H706" t="str">
        <f t="shared" si="49"/>
        <v>94993</v>
      </c>
      <c r="I706" t="s">
        <v>50</v>
      </c>
    </row>
    <row r="707" spans="1:9" x14ac:dyDescent="0.3">
      <c r="A707" t="str">
        <f>"49158121"</f>
        <v>49158121</v>
      </c>
      <c r="B707" t="s">
        <v>1656</v>
      </c>
      <c r="C707" t="str">
        <f t="shared" si="48"/>
        <v>736</v>
      </c>
      <c r="D707" t="s">
        <v>22</v>
      </c>
      <c r="E707" t="s">
        <v>23</v>
      </c>
      <c r="F707" t="s">
        <v>1657</v>
      </c>
      <c r="G707" t="s">
        <v>1658</v>
      </c>
      <c r="H707" t="str">
        <f t="shared" si="49"/>
        <v>94993</v>
      </c>
      <c r="I707" t="s">
        <v>50</v>
      </c>
    </row>
    <row r="708" spans="1:9" x14ac:dyDescent="0.3">
      <c r="A708" t="str">
        <f>"69603871"</f>
        <v>69603871</v>
      </c>
      <c r="B708" t="s">
        <v>1659</v>
      </c>
      <c r="C708" t="str">
        <f t="shared" si="48"/>
        <v>736</v>
      </c>
      <c r="D708" t="s">
        <v>22</v>
      </c>
      <c r="E708" t="s">
        <v>29</v>
      </c>
      <c r="F708" t="s">
        <v>271</v>
      </c>
      <c r="G708" t="s">
        <v>1660</v>
      </c>
      <c r="H708" t="str">
        <f t="shared" si="49"/>
        <v>94993</v>
      </c>
      <c r="I708" t="s">
        <v>50</v>
      </c>
    </row>
    <row r="709" spans="1:9" x14ac:dyDescent="0.3">
      <c r="A709" t="str">
        <f>"70894337"</f>
        <v>70894337</v>
      </c>
      <c r="B709" t="s">
        <v>1661</v>
      </c>
      <c r="C709" t="str">
        <f t="shared" si="48"/>
        <v>736</v>
      </c>
      <c r="D709" t="s">
        <v>22</v>
      </c>
      <c r="E709" t="s">
        <v>83</v>
      </c>
      <c r="F709" t="s">
        <v>83</v>
      </c>
      <c r="G709" t="s">
        <v>1662</v>
      </c>
      <c r="H709" t="str">
        <f>"9499"</f>
        <v>9499</v>
      </c>
      <c r="I709" t="s">
        <v>31</v>
      </c>
    </row>
    <row r="710" spans="1:9" x14ac:dyDescent="0.3">
      <c r="A710" t="str">
        <f>"70418845"</f>
        <v>70418845</v>
      </c>
      <c r="B710" t="s">
        <v>1663</v>
      </c>
      <c r="C710" t="str">
        <f t="shared" si="48"/>
        <v>736</v>
      </c>
      <c r="D710" t="s">
        <v>22</v>
      </c>
      <c r="E710" t="s">
        <v>52</v>
      </c>
      <c r="F710" t="s">
        <v>234</v>
      </c>
      <c r="G710" t="s">
        <v>1664</v>
      </c>
      <c r="H710" t="str">
        <f t="shared" ref="H710:H715" si="50">"94993"</f>
        <v>94993</v>
      </c>
      <c r="I710" t="s">
        <v>50</v>
      </c>
    </row>
    <row r="711" spans="1:9" x14ac:dyDescent="0.3">
      <c r="A711" t="str">
        <f>"48471992"</f>
        <v>48471992</v>
      </c>
      <c r="B711" t="s">
        <v>1665</v>
      </c>
      <c r="C711" t="str">
        <f t="shared" si="48"/>
        <v>736</v>
      </c>
      <c r="D711" t="s">
        <v>22</v>
      </c>
      <c r="E711" t="s">
        <v>23</v>
      </c>
      <c r="F711" t="s">
        <v>23</v>
      </c>
      <c r="G711" t="s">
        <v>1666</v>
      </c>
      <c r="H711" t="str">
        <f t="shared" si="50"/>
        <v>94993</v>
      </c>
      <c r="I711" t="s">
        <v>50</v>
      </c>
    </row>
    <row r="712" spans="1:9" x14ac:dyDescent="0.3">
      <c r="A712" t="str">
        <f>"47934867"</f>
        <v>47934867</v>
      </c>
      <c r="B712" t="s">
        <v>1667</v>
      </c>
      <c r="C712" t="str">
        <f t="shared" si="48"/>
        <v>736</v>
      </c>
      <c r="D712" t="s">
        <v>22</v>
      </c>
      <c r="E712" t="s">
        <v>83</v>
      </c>
      <c r="F712" t="s">
        <v>217</v>
      </c>
      <c r="G712" t="s">
        <v>1668</v>
      </c>
      <c r="H712" t="str">
        <f t="shared" si="50"/>
        <v>94993</v>
      </c>
      <c r="I712" t="s">
        <v>50</v>
      </c>
    </row>
    <row r="713" spans="1:9" x14ac:dyDescent="0.3">
      <c r="A713" t="str">
        <f>"09487514"</f>
        <v>09487514</v>
      </c>
      <c r="B713" t="s">
        <v>1669</v>
      </c>
      <c r="C713" t="str">
        <f t="shared" si="48"/>
        <v>736</v>
      </c>
      <c r="D713" t="s">
        <v>22</v>
      </c>
      <c r="E713" t="s">
        <v>83</v>
      </c>
      <c r="F713" t="s">
        <v>217</v>
      </c>
      <c r="G713" t="s">
        <v>1670</v>
      </c>
      <c r="H713" t="str">
        <f t="shared" si="50"/>
        <v>94993</v>
      </c>
      <c r="I713" t="s">
        <v>50</v>
      </c>
    </row>
    <row r="714" spans="1:9" x14ac:dyDescent="0.3">
      <c r="A714" t="str">
        <f>"70894353"</f>
        <v>70894353</v>
      </c>
      <c r="B714" t="s">
        <v>1671</v>
      </c>
      <c r="C714" t="str">
        <f t="shared" si="48"/>
        <v>736</v>
      </c>
      <c r="D714" t="s">
        <v>22</v>
      </c>
      <c r="E714" t="s">
        <v>83</v>
      </c>
      <c r="F714" t="s">
        <v>130</v>
      </c>
      <c r="G714" t="s">
        <v>1672</v>
      </c>
      <c r="H714" t="str">
        <f t="shared" si="50"/>
        <v>94993</v>
      </c>
      <c r="I714" t="s">
        <v>50</v>
      </c>
    </row>
    <row r="715" spans="1:9" x14ac:dyDescent="0.3">
      <c r="A715" t="str">
        <f>"70904642"</f>
        <v>70904642</v>
      </c>
      <c r="B715" t="s">
        <v>1673</v>
      </c>
      <c r="C715" t="str">
        <f t="shared" si="48"/>
        <v>736</v>
      </c>
      <c r="D715" t="s">
        <v>22</v>
      </c>
      <c r="E715" t="s">
        <v>52</v>
      </c>
      <c r="F715" t="s">
        <v>514</v>
      </c>
      <c r="G715" t="s">
        <v>1674</v>
      </c>
      <c r="H715" t="str">
        <f t="shared" si="50"/>
        <v>94993</v>
      </c>
      <c r="I715" t="s">
        <v>50</v>
      </c>
    </row>
    <row r="716" spans="1:9" x14ac:dyDescent="0.3">
      <c r="A716" t="str">
        <f>"70903824"</f>
        <v>70903824</v>
      </c>
      <c r="B716" t="s">
        <v>1675</v>
      </c>
      <c r="C716" t="str">
        <f t="shared" si="48"/>
        <v>736</v>
      </c>
      <c r="D716" t="s">
        <v>22</v>
      </c>
      <c r="E716" t="s">
        <v>52</v>
      </c>
      <c r="F716" t="s">
        <v>1676</v>
      </c>
      <c r="G716" t="s">
        <v>1677</v>
      </c>
      <c r="H716" t="str">
        <f>"9499"</f>
        <v>9499</v>
      </c>
      <c r="I716" t="s">
        <v>31</v>
      </c>
    </row>
    <row r="717" spans="1:9" x14ac:dyDescent="0.3">
      <c r="A717" t="str">
        <f>"01723332"</f>
        <v>01723332</v>
      </c>
      <c r="B717" t="s">
        <v>1678</v>
      </c>
      <c r="C717" t="str">
        <f t="shared" si="48"/>
        <v>736</v>
      </c>
      <c r="D717" t="s">
        <v>22</v>
      </c>
      <c r="E717" t="s">
        <v>52</v>
      </c>
      <c r="F717" t="s">
        <v>1679</v>
      </c>
      <c r="G717" t="s">
        <v>1680</v>
      </c>
      <c r="H717" t="str">
        <f>"94993"</f>
        <v>94993</v>
      </c>
      <c r="I717" t="s">
        <v>50</v>
      </c>
    </row>
    <row r="718" spans="1:9" x14ac:dyDescent="0.3">
      <c r="A718" t="str">
        <f>"70894418"</f>
        <v>70894418</v>
      </c>
      <c r="B718" t="s">
        <v>1681</v>
      </c>
      <c r="C718" t="str">
        <f t="shared" si="48"/>
        <v>736</v>
      </c>
      <c r="D718" t="s">
        <v>22</v>
      </c>
      <c r="E718" t="s">
        <v>83</v>
      </c>
      <c r="F718" t="s">
        <v>537</v>
      </c>
      <c r="G718" t="s">
        <v>1682</v>
      </c>
      <c r="H718" t="str">
        <f>"94993"</f>
        <v>94993</v>
      </c>
      <c r="I718" t="s">
        <v>50</v>
      </c>
    </row>
    <row r="719" spans="1:9" x14ac:dyDescent="0.3">
      <c r="A719" t="str">
        <f>"71230742"</f>
        <v>71230742</v>
      </c>
      <c r="B719" t="s">
        <v>1683</v>
      </c>
      <c r="C719" t="str">
        <f t="shared" si="48"/>
        <v>736</v>
      </c>
      <c r="D719" t="s">
        <v>22</v>
      </c>
      <c r="E719" t="s">
        <v>29</v>
      </c>
      <c r="F719" t="s">
        <v>1654</v>
      </c>
      <c r="G719" t="s">
        <v>1684</v>
      </c>
      <c r="H719" t="str">
        <f>"94993"</f>
        <v>94993</v>
      </c>
      <c r="I719" t="s">
        <v>50</v>
      </c>
    </row>
    <row r="720" spans="1:9" x14ac:dyDescent="0.3">
      <c r="A720" t="str">
        <f>"70894426"</f>
        <v>70894426</v>
      </c>
      <c r="B720" t="s">
        <v>1685</v>
      </c>
      <c r="C720" t="str">
        <f t="shared" si="48"/>
        <v>736</v>
      </c>
      <c r="D720" t="s">
        <v>22</v>
      </c>
      <c r="E720" t="s">
        <v>83</v>
      </c>
      <c r="F720" t="s">
        <v>1545</v>
      </c>
      <c r="G720" t="s">
        <v>1546</v>
      </c>
      <c r="H720" t="str">
        <f>"94993"</f>
        <v>94993</v>
      </c>
      <c r="I720" t="s">
        <v>50</v>
      </c>
    </row>
    <row r="721" spans="1:9" x14ac:dyDescent="0.3">
      <c r="A721" t="str">
        <f>"70288771"</f>
        <v>70288771</v>
      </c>
      <c r="B721" t="s">
        <v>1686</v>
      </c>
      <c r="C721" t="str">
        <f t="shared" si="48"/>
        <v>736</v>
      </c>
      <c r="D721" t="s">
        <v>22</v>
      </c>
      <c r="E721" t="s">
        <v>23</v>
      </c>
      <c r="F721" t="s">
        <v>459</v>
      </c>
      <c r="G721" t="s">
        <v>1687</v>
      </c>
      <c r="H721" t="str">
        <f>"9499"</f>
        <v>9499</v>
      </c>
      <c r="I721" t="s">
        <v>31</v>
      </c>
    </row>
    <row r="722" spans="1:9" x14ac:dyDescent="0.3">
      <c r="A722" t="str">
        <f>"70288780"</f>
        <v>70288780</v>
      </c>
      <c r="B722" t="s">
        <v>1688</v>
      </c>
      <c r="C722" t="str">
        <f t="shared" si="48"/>
        <v>736</v>
      </c>
      <c r="D722" t="s">
        <v>22</v>
      </c>
      <c r="E722" t="s">
        <v>23</v>
      </c>
      <c r="F722" t="s">
        <v>688</v>
      </c>
      <c r="G722" t="s">
        <v>1689</v>
      </c>
      <c r="H722" t="str">
        <f t="shared" ref="H722:H735" si="51">"94993"</f>
        <v>94993</v>
      </c>
      <c r="I722" t="s">
        <v>50</v>
      </c>
    </row>
    <row r="723" spans="1:9" x14ac:dyDescent="0.3">
      <c r="A723" t="str">
        <f>"70894531"</f>
        <v>70894531</v>
      </c>
      <c r="B723" t="s">
        <v>1690</v>
      </c>
      <c r="C723" t="str">
        <f t="shared" si="48"/>
        <v>736</v>
      </c>
      <c r="D723" t="s">
        <v>22</v>
      </c>
      <c r="E723" t="s">
        <v>83</v>
      </c>
      <c r="F723" t="s">
        <v>1691</v>
      </c>
      <c r="G723" t="s">
        <v>1692</v>
      </c>
      <c r="H723" t="str">
        <f t="shared" si="51"/>
        <v>94993</v>
      </c>
      <c r="I723" t="s">
        <v>50</v>
      </c>
    </row>
    <row r="724" spans="1:9" x14ac:dyDescent="0.3">
      <c r="A724" t="str">
        <f>"01723642"</f>
        <v>01723642</v>
      </c>
      <c r="B724" t="s">
        <v>1693</v>
      </c>
      <c r="C724" t="str">
        <f t="shared" si="48"/>
        <v>736</v>
      </c>
      <c r="D724" t="s">
        <v>22</v>
      </c>
      <c r="E724" t="s">
        <v>52</v>
      </c>
      <c r="F724" t="s">
        <v>52</v>
      </c>
      <c r="G724" t="s">
        <v>439</v>
      </c>
      <c r="H724" t="str">
        <f t="shared" si="51"/>
        <v>94993</v>
      </c>
      <c r="I724" t="s">
        <v>50</v>
      </c>
    </row>
    <row r="725" spans="1:9" x14ac:dyDescent="0.3">
      <c r="A725" t="str">
        <f>"69653950"</f>
        <v>69653950</v>
      </c>
      <c r="B725" t="s">
        <v>1694</v>
      </c>
      <c r="C725" t="str">
        <f t="shared" si="48"/>
        <v>736</v>
      </c>
      <c r="D725" t="s">
        <v>22</v>
      </c>
      <c r="E725" t="s">
        <v>52</v>
      </c>
      <c r="F725" t="s">
        <v>113</v>
      </c>
      <c r="G725" t="s">
        <v>1521</v>
      </c>
      <c r="H725" t="str">
        <f t="shared" si="51"/>
        <v>94993</v>
      </c>
      <c r="I725" t="s">
        <v>50</v>
      </c>
    </row>
    <row r="726" spans="1:9" x14ac:dyDescent="0.3">
      <c r="A726" t="str">
        <f>"67011608"</f>
        <v>67011608</v>
      </c>
      <c r="B726" t="s">
        <v>1695</v>
      </c>
      <c r="C726" t="str">
        <f t="shared" si="48"/>
        <v>736</v>
      </c>
      <c r="D726" t="s">
        <v>22</v>
      </c>
      <c r="E726" t="s">
        <v>23</v>
      </c>
      <c r="F726" t="s">
        <v>107</v>
      </c>
      <c r="G726" t="s">
        <v>206</v>
      </c>
      <c r="H726" t="str">
        <f t="shared" si="51"/>
        <v>94993</v>
      </c>
      <c r="I726" t="s">
        <v>50</v>
      </c>
    </row>
    <row r="727" spans="1:9" x14ac:dyDescent="0.3">
      <c r="A727" t="str">
        <f>"70288828"</f>
        <v>70288828</v>
      </c>
      <c r="B727" t="s">
        <v>1696</v>
      </c>
      <c r="C727" t="str">
        <f t="shared" si="48"/>
        <v>736</v>
      </c>
      <c r="D727" t="s">
        <v>22</v>
      </c>
      <c r="E727" t="s">
        <v>23</v>
      </c>
      <c r="F727" t="s">
        <v>1697</v>
      </c>
      <c r="G727" t="s">
        <v>1698</v>
      </c>
      <c r="H727" t="str">
        <f t="shared" si="51"/>
        <v>94993</v>
      </c>
      <c r="I727" t="s">
        <v>50</v>
      </c>
    </row>
    <row r="728" spans="1:9" x14ac:dyDescent="0.3">
      <c r="A728" t="str">
        <f>"70288836"</f>
        <v>70288836</v>
      </c>
      <c r="B728" t="s">
        <v>1699</v>
      </c>
      <c r="C728" t="str">
        <f t="shared" si="48"/>
        <v>736</v>
      </c>
      <c r="D728" t="s">
        <v>22</v>
      </c>
      <c r="E728" t="s">
        <v>23</v>
      </c>
      <c r="F728" t="s">
        <v>68</v>
      </c>
      <c r="G728" t="s">
        <v>1700</v>
      </c>
      <c r="H728" t="str">
        <f t="shared" si="51"/>
        <v>94993</v>
      </c>
      <c r="I728" t="s">
        <v>50</v>
      </c>
    </row>
    <row r="729" spans="1:9" x14ac:dyDescent="0.3">
      <c r="A729" t="str">
        <f>"70038210"</f>
        <v>70038210</v>
      </c>
      <c r="B729" t="s">
        <v>1701</v>
      </c>
      <c r="C729" t="str">
        <f t="shared" si="48"/>
        <v>736</v>
      </c>
      <c r="D729" t="s">
        <v>22</v>
      </c>
      <c r="E729" t="s">
        <v>29</v>
      </c>
      <c r="F729" t="s">
        <v>29</v>
      </c>
      <c r="G729" t="s">
        <v>1702</v>
      </c>
      <c r="H729" t="str">
        <f t="shared" si="51"/>
        <v>94993</v>
      </c>
      <c r="I729" t="s">
        <v>50</v>
      </c>
    </row>
    <row r="730" spans="1:9" x14ac:dyDescent="0.3">
      <c r="A730" t="str">
        <f>"66934346"</f>
        <v>66934346</v>
      </c>
      <c r="B730" t="s">
        <v>1703</v>
      </c>
      <c r="C730" t="str">
        <f t="shared" si="48"/>
        <v>736</v>
      </c>
      <c r="D730" t="s">
        <v>22</v>
      </c>
      <c r="E730" t="s">
        <v>29</v>
      </c>
      <c r="F730" t="s">
        <v>852</v>
      </c>
      <c r="G730" t="s">
        <v>1704</v>
      </c>
      <c r="H730" t="str">
        <f t="shared" si="51"/>
        <v>94993</v>
      </c>
      <c r="I730" t="s">
        <v>50</v>
      </c>
    </row>
    <row r="731" spans="1:9" x14ac:dyDescent="0.3">
      <c r="A731" t="str">
        <f>"70894558"</f>
        <v>70894558</v>
      </c>
      <c r="B731" t="s">
        <v>1705</v>
      </c>
      <c r="C731" t="str">
        <f t="shared" si="48"/>
        <v>736</v>
      </c>
      <c r="D731" t="s">
        <v>22</v>
      </c>
      <c r="E731" t="s">
        <v>83</v>
      </c>
      <c r="F731" t="s">
        <v>944</v>
      </c>
      <c r="G731" t="s">
        <v>1706</v>
      </c>
      <c r="H731" t="str">
        <f t="shared" si="51"/>
        <v>94993</v>
      </c>
      <c r="I731" t="s">
        <v>50</v>
      </c>
    </row>
    <row r="732" spans="1:9" x14ac:dyDescent="0.3">
      <c r="A732" t="str">
        <f>"70288844"</f>
        <v>70288844</v>
      </c>
      <c r="B732" t="s">
        <v>1707</v>
      </c>
      <c r="C732" t="str">
        <f t="shared" si="48"/>
        <v>736</v>
      </c>
      <c r="D732" t="s">
        <v>22</v>
      </c>
      <c r="E732" t="s">
        <v>23</v>
      </c>
      <c r="F732" t="s">
        <v>23</v>
      </c>
      <c r="G732" t="s">
        <v>1708</v>
      </c>
      <c r="H732" t="str">
        <f t="shared" si="51"/>
        <v>94993</v>
      </c>
      <c r="I732" t="s">
        <v>50</v>
      </c>
    </row>
    <row r="733" spans="1:9" x14ac:dyDescent="0.3">
      <c r="A733" t="str">
        <f>"67728073"</f>
        <v>67728073</v>
      </c>
      <c r="B733" t="s">
        <v>1709</v>
      </c>
      <c r="C733" t="str">
        <f t="shared" si="48"/>
        <v>736</v>
      </c>
      <c r="D733" t="s">
        <v>22</v>
      </c>
      <c r="E733" t="s">
        <v>29</v>
      </c>
      <c r="F733" t="s">
        <v>45</v>
      </c>
      <c r="G733" t="s">
        <v>1710</v>
      </c>
      <c r="H733" t="str">
        <f t="shared" si="51"/>
        <v>94993</v>
      </c>
      <c r="I733" t="s">
        <v>50</v>
      </c>
    </row>
    <row r="734" spans="1:9" x14ac:dyDescent="0.3">
      <c r="A734" t="str">
        <f>"70288852"</f>
        <v>70288852</v>
      </c>
      <c r="B734" t="s">
        <v>1711</v>
      </c>
      <c r="C734" t="str">
        <f t="shared" si="48"/>
        <v>736</v>
      </c>
      <c r="D734" t="s">
        <v>22</v>
      </c>
      <c r="E734" t="s">
        <v>23</v>
      </c>
      <c r="F734" t="s">
        <v>793</v>
      </c>
      <c r="G734" t="s">
        <v>1712</v>
      </c>
      <c r="H734" t="str">
        <f t="shared" si="51"/>
        <v>94993</v>
      </c>
      <c r="I734" t="s">
        <v>50</v>
      </c>
    </row>
    <row r="735" spans="1:9" x14ac:dyDescent="0.3">
      <c r="A735" t="str">
        <f>"05272238"</f>
        <v>05272238</v>
      </c>
      <c r="B735" t="s">
        <v>1713</v>
      </c>
      <c r="C735" t="str">
        <f t="shared" si="48"/>
        <v>736</v>
      </c>
      <c r="D735" t="s">
        <v>22</v>
      </c>
      <c r="E735" t="s">
        <v>23</v>
      </c>
      <c r="F735" t="s">
        <v>793</v>
      </c>
      <c r="G735" t="s">
        <v>1714</v>
      </c>
      <c r="H735" t="str">
        <f t="shared" si="51"/>
        <v>94993</v>
      </c>
      <c r="I735" t="s">
        <v>50</v>
      </c>
    </row>
    <row r="736" spans="1:9" x14ac:dyDescent="0.3">
      <c r="A736" t="str">
        <f>"02279886"</f>
        <v>02279886</v>
      </c>
      <c r="B736" t="s">
        <v>1715</v>
      </c>
      <c r="C736" t="str">
        <f>"706"</f>
        <v>706</v>
      </c>
      <c r="D736" t="s">
        <v>28</v>
      </c>
      <c r="E736" t="s">
        <v>29</v>
      </c>
      <c r="F736" t="s">
        <v>135</v>
      </c>
      <c r="G736" t="s">
        <v>1716</v>
      </c>
      <c r="H736" t="str">
        <f>"93190"</f>
        <v>93190</v>
      </c>
      <c r="I736" t="s">
        <v>59</v>
      </c>
    </row>
    <row r="737" spans="1:9" x14ac:dyDescent="0.3">
      <c r="A737" t="str">
        <f>"63414732"</f>
        <v>63414732</v>
      </c>
      <c r="B737" t="s">
        <v>1717</v>
      </c>
      <c r="C737" t="str">
        <f>"706"</f>
        <v>706</v>
      </c>
      <c r="D737" t="s">
        <v>28</v>
      </c>
      <c r="E737" t="s">
        <v>83</v>
      </c>
      <c r="F737" t="s">
        <v>1718</v>
      </c>
      <c r="G737" t="s">
        <v>1719</v>
      </c>
      <c r="H737" t="str">
        <f>"9499"</f>
        <v>9499</v>
      </c>
      <c r="I737" t="s">
        <v>31</v>
      </c>
    </row>
    <row r="738" spans="1:9" x14ac:dyDescent="0.3">
      <c r="A738" t="str">
        <f>"00553875"</f>
        <v>00553875</v>
      </c>
      <c r="B738" t="s">
        <v>1720</v>
      </c>
      <c r="C738" t="str">
        <f>"706"</f>
        <v>706</v>
      </c>
      <c r="D738" t="s">
        <v>28</v>
      </c>
      <c r="E738" t="s">
        <v>23</v>
      </c>
      <c r="F738" t="s">
        <v>24</v>
      </c>
      <c r="G738" t="s">
        <v>1721</v>
      </c>
      <c r="H738" t="str">
        <f>"931"</f>
        <v>931</v>
      </c>
      <c r="I738" t="s">
        <v>26</v>
      </c>
    </row>
    <row r="739" spans="1:9" x14ac:dyDescent="0.3">
      <c r="A739" t="str">
        <f>"22689214"</f>
        <v>22689214</v>
      </c>
      <c r="B739" t="s">
        <v>1722</v>
      </c>
      <c r="C739" t="str">
        <f>"706"</f>
        <v>706</v>
      </c>
      <c r="D739" t="s">
        <v>28</v>
      </c>
      <c r="E739" t="s">
        <v>29</v>
      </c>
      <c r="F739" t="s">
        <v>38</v>
      </c>
      <c r="G739" t="s">
        <v>1723</v>
      </c>
      <c r="H739" t="str">
        <f>"9499"</f>
        <v>9499</v>
      </c>
      <c r="I739" t="s">
        <v>31</v>
      </c>
    </row>
    <row r="740" spans="1:9" x14ac:dyDescent="0.3">
      <c r="A740" t="str">
        <f>"22607099"</f>
        <v>22607099</v>
      </c>
      <c r="B740" t="s">
        <v>1724</v>
      </c>
      <c r="C740" t="str">
        <f t="shared" ref="C740:C748" si="52">"736"</f>
        <v>736</v>
      </c>
      <c r="D740" t="s">
        <v>22</v>
      </c>
      <c r="E740" t="s">
        <v>29</v>
      </c>
      <c r="F740" t="s">
        <v>1473</v>
      </c>
      <c r="G740" t="s">
        <v>1725</v>
      </c>
      <c r="H740" t="str">
        <f t="shared" ref="H740:H746" si="53">"94995"</f>
        <v>94995</v>
      </c>
      <c r="I740" t="s">
        <v>232</v>
      </c>
    </row>
    <row r="741" spans="1:9" x14ac:dyDescent="0.3">
      <c r="A741" t="str">
        <f>"03971490"</f>
        <v>03971490</v>
      </c>
      <c r="B741" t="s">
        <v>1726</v>
      </c>
      <c r="C741" t="str">
        <f t="shared" si="52"/>
        <v>736</v>
      </c>
      <c r="D741" t="s">
        <v>22</v>
      </c>
      <c r="E741" t="s">
        <v>52</v>
      </c>
      <c r="F741" t="s">
        <v>796</v>
      </c>
      <c r="G741" t="s">
        <v>1727</v>
      </c>
      <c r="H741" t="str">
        <f t="shared" si="53"/>
        <v>94995</v>
      </c>
      <c r="I741" t="s">
        <v>232</v>
      </c>
    </row>
    <row r="742" spans="1:9" x14ac:dyDescent="0.3">
      <c r="A742" t="str">
        <f>"11698357"</f>
        <v>11698357</v>
      </c>
      <c r="B742" t="s">
        <v>1728</v>
      </c>
      <c r="C742" t="str">
        <f t="shared" si="52"/>
        <v>736</v>
      </c>
      <c r="D742" t="s">
        <v>22</v>
      </c>
      <c r="E742" t="s">
        <v>52</v>
      </c>
      <c r="F742" t="s">
        <v>1729</v>
      </c>
      <c r="G742" t="s">
        <v>1730</v>
      </c>
      <c r="H742" t="str">
        <f t="shared" si="53"/>
        <v>94995</v>
      </c>
      <c r="I742" t="s">
        <v>232</v>
      </c>
    </row>
    <row r="743" spans="1:9" x14ac:dyDescent="0.3">
      <c r="A743" t="str">
        <f>"08853045"</f>
        <v>08853045</v>
      </c>
      <c r="B743" t="s">
        <v>1731</v>
      </c>
      <c r="C743" t="str">
        <f t="shared" si="52"/>
        <v>736</v>
      </c>
      <c r="D743" t="s">
        <v>22</v>
      </c>
      <c r="E743" t="s">
        <v>52</v>
      </c>
      <c r="F743" t="s">
        <v>65</v>
      </c>
      <c r="G743" t="s">
        <v>1732</v>
      </c>
      <c r="H743" t="str">
        <f t="shared" si="53"/>
        <v>94995</v>
      </c>
      <c r="I743" t="s">
        <v>232</v>
      </c>
    </row>
    <row r="744" spans="1:9" x14ac:dyDescent="0.3">
      <c r="A744" t="str">
        <f>"21426422"</f>
        <v>21426422</v>
      </c>
      <c r="B744" t="s">
        <v>1733</v>
      </c>
      <c r="C744" t="str">
        <f t="shared" si="52"/>
        <v>736</v>
      </c>
      <c r="D744" t="s">
        <v>22</v>
      </c>
      <c r="E744" t="s">
        <v>23</v>
      </c>
      <c r="F744" t="s">
        <v>1734</v>
      </c>
      <c r="G744" t="s">
        <v>1735</v>
      </c>
      <c r="H744" t="str">
        <f t="shared" si="53"/>
        <v>94995</v>
      </c>
      <c r="I744" t="s">
        <v>232</v>
      </c>
    </row>
    <row r="745" spans="1:9" x14ac:dyDescent="0.3">
      <c r="A745" t="str">
        <f>"04480945"</f>
        <v>04480945</v>
      </c>
      <c r="B745" t="s">
        <v>1736</v>
      </c>
      <c r="C745" t="str">
        <f t="shared" si="52"/>
        <v>736</v>
      </c>
      <c r="D745" t="s">
        <v>22</v>
      </c>
      <c r="E745" t="s">
        <v>29</v>
      </c>
      <c r="F745" t="s">
        <v>503</v>
      </c>
      <c r="G745" t="s">
        <v>1737</v>
      </c>
      <c r="H745" t="str">
        <f t="shared" si="53"/>
        <v>94995</v>
      </c>
      <c r="I745" t="s">
        <v>232</v>
      </c>
    </row>
    <row r="746" spans="1:9" x14ac:dyDescent="0.3">
      <c r="A746" t="str">
        <f>"07699425"</f>
        <v>07699425</v>
      </c>
      <c r="B746" t="s">
        <v>1738</v>
      </c>
      <c r="C746" t="str">
        <f t="shared" si="52"/>
        <v>736</v>
      </c>
      <c r="D746" t="s">
        <v>22</v>
      </c>
      <c r="E746" t="s">
        <v>29</v>
      </c>
      <c r="F746" t="s">
        <v>503</v>
      </c>
      <c r="G746" t="s">
        <v>1737</v>
      </c>
      <c r="H746" t="str">
        <f t="shared" si="53"/>
        <v>94995</v>
      </c>
      <c r="I746" t="s">
        <v>232</v>
      </c>
    </row>
    <row r="747" spans="1:9" x14ac:dyDescent="0.3">
      <c r="A747" t="str">
        <f>"02732807"</f>
        <v>02732807</v>
      </c>
      <c r="B747" t="s">
        <v>1739</v>
      </c>
      <c r="C747" t="str">
        <f t="shared" si="52"/>
        <v>736</v>
      </c>
      <c r="D747" t="s">
        <v>22</v>
      </c>
      <c r="E747" t="s">
        <v>52</v>
      </c>
      <c r="F747" t="s">
        <v>1740</v>
      </c>
      <c r="G747" t="s">
        <v>1741</v>
      </c>
      <c r="H747" t="str">
        <f>"9499"</f>
        <v>9499</v>
      </c>
      <c r="I747" t="s">
        <v>31</v>
      </c>
    </row>
    <row r="748" spans="1:9" x14ac:dyDescent="0.3">
      <c r="A748" t="str">
        <f>"11731591"</f>
        <v>11731591</v>
      </c>
      <c r="B748" t="s">
        <v>1742</v>
      </c>
      <c r="C748" t="str">
        <f t="shared" si="52"/>
        <v>736</v>
      </c>
      <c r="D748" t="s">
        <v>22</v>
      </c>
      <c r="E748" t="s">
        <v>29</v>
      </c>
      <c r="F748" t="s">
        <v>670</v>
      </c>
      <c r="G748" t="s">
        <v>1743</v>
      </c>
      <c r="H748" t="str">
        <f>"94995"</f>
        <v>94995</v>
      </c>
      <c r="I748" t="s">
        <v>232</v>
      </c>
    </row>
    <row r="749" spans="1:9" x14ac:dyDescent="0.3">
      <c r="A749" t="str">
        <f>"49558366"</f>
        <v>49558366</v>
      </c>
      <c r="B749" t="s">
        <v>1744</v>
      </c>
      <c r="C749" t="str">
        <f>"706"</f>
        <v>706</v>
      </c>
      <c r="D749" t="s">
        <v>28</v>
      </c>
      <c r="E749" t="s">
        <v>83</v>
      </c>
      <c r="F749" t="s">
        <v>83</v>
      </c>
      <c r="G749" t="s">
        <v>1745</v>
      </c>
      <c r="H749" t="str">
        <f>"9499"</f>
        <v>9499</v>
      </c>
      <c r="I749" t="s">
        <v>31</v>
      </c>
    </row>
    <row r="750" spans="1:9" x14ac:dyDescent="0.3">
      <c r="A750" t="str">
        <f>"00542679"</f>
        <v>00542679</v>
      </c>
      <c r="B750" t="s">
        <v>1746</v>
      </c>
      <c r="C750" t="str">
        <f t="shared" ref="C750:C813" si="54">"736"</f>
        <v>736</v>
      </c>
      <c r="D750" t="s">
        <v>22</v>
      </c>
      <c r="E750" t="s">
        <v>23</v>
      </c>
      <c r="F750" t="s">
        <v>23</v>
      </c>
      <c r="G750" t="s">
        <v>279</v>
      </c>
      <c r="H750" t="str">
        <f>"94120"</f>
        <v>94120</v>
      </c>
      <c r="I750" t="s">
        <v>43</v>
      </c>
    </row>
    <row r="751" spans="1:9" x14ac:dyDescent="0.3">
      <c r="A751" t="str">
        <f>"72063149"</f>
        <v>72063149</v>
      </c>
      <c r="B751" t="s">
        <v>1747</v>
      </c>
      <c r="C751" t="str">
        <f t="shared" si="54"/>
        <v>736</v>
      </c>
      <c r="D751" t="s">
        <v>22</v>
      </c>
      <c r="E751" t="s">
        <v>29</v>
      </c>
      <c r="F751" t="s">
        <v>718</v>
      </c>
      <c r="G751" t="s">
        <v>1748</v>
      </c>
      <c r="H751" t="str">
        <f>"94993"</f>
        <v>94993</v>
      </c>
      <c r="I751" t="s">
        <v>50</v>
      </c>
    </row>
    <row r="752" spans="1:9" x14ac:dyDescent="0.3">
      <c r="A752" t="str">
        <f>"75117614"</f>
        <v>75117614</v>
      </c>
      <c r="B752" t="s">
        <v>1749</v>
      </c>
      <c r="C752" t="str">
        <f t="shared" si="54"/>
        <v>736</v>
      </c>
      <c r="D752" t="s">
        <v>22</v>
      </c>
      <c r="E752" t="s">
        <v>52</v>
      </c>
      <c r="F752" t="s">
        <v>796</v>
      </c>
      <c r="G752" t="s">
        <v>1750</v>
      </c>
      <c r="H752" t="str">
        <f>"9499"</f>
        <v>9499</v>
      </c>
      <c r="I752" t="s">
        <v>31</v>
      </c>
    </row>
    <row r="753" spans="1:9" x14ac:dyDescent="0.3">
      <c r="A753" t="str">
        <f>"00434892"</f>
        <v>00434892</v>
      </c>
      <c r="B753" t="s">
        <v>1751</v>
      </c>
      <c r="C753" t="str">
        <f t="shared" si="54"/>
        <v>736</v>
      </c>
      <c r="D753" t="s">
        <v>22</v>
      </c>
      <c r="E753" t="s">
        <v>83</v>
      </c>
      <c r="F753" t="s">
        <v>200</v>
      </c>
      <c r="G753" t="s">
        <v>1752</v>
      </c>
      <c r="H753" t="str">
        <f t="shared" ref="H753:H800" si="55">"94993"</f>
        <v>94993</v>
      </c>
      <c r="I753" t="s">
        <v>50</v>
      </c>
    </row>
    <row r="754" spans="1:9" x14ac:dyDescent="0.3">
      <c r="A754" t="str">
        <f>"65766121"</f>
        <v>65766121</v>
      </c>
      <c r="B754" t="s">
        <v>1753</v>
      </c>
      <c r="C754" t="str">
        <f t="shared" si="54"/>
        <v>736</v>
      </c>
      <c r="D754" t="s">
        <v>22</v>
      </c>
      <c r="E754" t="s">
        <v>52</v>
      </c>
      <c r="F754" t="s">
        <v>113</v>
      </c>
      <c r="G754" t="s">
        <v>1754</v>
      </c>
      <c r="H754" t="str">
        <f t="shared" si="55"/>
        <v>94993</v>
      </c>
      <c r="I754" t="s">
        <v>50</v>
      </c>
    </row>
    <row r="755" spans="1:9" x14ac:dyDescent="0.3">
      <c r="A755" t="str">
        <f>"64123910"</f>
        <v>64123910</v>
      </c>
      <c r="B755" t="s">
        <v>1755</v>
      </c>
      <c r="C755" t="str">
        <f t="shared" si="54"/>
        <v>736</v>
      </c>
      <c r="D755" t="s">
        <v>22</v>
      </c>
      <c r="E755" t="s">
        <v>29</v>
      </c>
      <c r="F755" t="s">
        <v>681</v>
      </c>
      <c r="G755" t="s">
        <v>1756</v>
      </c>
      <c r="H755" t="str">
        <f t="shared" si="55"/>
        <v>94993</v>
      </c>
      <c r="I755" t="s">
        <v>50</v>
      </c>
    </row>
    <row r="756" spans="1:9" x14ac:dyDescent="0.3">
      <c r="A756" t="str">
        <f>"62181696"</f>
        <v>62181696</v>
      </c>
      <c r="B756" t="s">
        <v>1757</v>
      </c>
      <c r="C756" t="str">
        <f t="shared" si="54"/>
        <v>736</v>
      </c>
      <c r="D756" t="s">
        <v>22</v>
      </c>
      <c r="E756" t="s">
        <v>23</v>
      </c>
      <c r="F756" t="s">
        <v>1758</v>
      </c>
      <c r="G756" t="s">
        <v>1759</v>
      </c>
      <c r="H756" t="str">
        <f t="shared" si="55"/>
        <v>94993</v>
      </c>
      <c r="I756" t="s">
        <v>50</v>
      </c>
    </row>
    <row r="757" spans="1:9" x14ac:dyDescent="0.3">
      <c r="A757" t="str">
        <f>"70812845"</f>
        <v>70812845</v>
      </c>
      <c r="B757" t="s">
        <v>1760</v>
      </c>
      <c r="C757" t="str">
        <f t="shared" si="54"/>
        <v>736</v>
      </c>
      <c r="D757" t="s">
        <v>22</v>
      </c>
      <c r="E757" t="s">
        <v>52</v>
      </c>
      <c r="F757" t="s">
        <v>80</v>
      </c>
      <c r="G757" t="s">
        <v>1761</v>
      </c>
      <c r="H757" t="str">
        <f t="shared" si="55"/>
        <v>94993</v>
      </c>
      <c r="I757" t="s">
        <v>50</v>
      </c>
    </row>
    <row r="758" spans="1:9" x14ac:dyDescent="0.3">
      <c r="A758" t="str">
        <f>"68687184"</f>
        <v>68687184</v>
      </c>
      <c r="B758" t="s">
        <v>1762</v>
      </c>
      <c r="C758" t="str">
        <f t="shared" si="54"/>
        <v>736</v>
      </c>
      <c r="D758" t="s">
        <v>22</v>
      </c>
      <c r="E758" t="s">
        <v>52</v>
      </c>
      <c r="F758" t="s">
        <v>960</v>
      </c>
      <c r="G758" t="s">
        <v>1763</v>
      </c>
      <c r="H758" t="str">
        <f t="shared" si="55"/>
        <v>94993</v>
      </c>
      <c r="I758" t="s">
        <v>50</v>
      </c>
    </row>
    <row r="759" spans="1:9" x14ac:dyDescent="0.3">
      <c r="A759" t="str">
        <f>"70823073"</f>
        <v>70823073</v>
      </c>
      <c r="B759" t="s">
        <v>1764</v>
      </c>
      <c r="C759" t="str">
        <f t="shared" si="54"/>
        <v>736</v>
      </c>
      <c r="D759" t="s">
        <v>22</v>
      </c>
      <c r="E759" t="s">
        <v>52</v>
      </c>
      <c r="F759" t="s">
        <v>1765</v>
      </c>
      <c r="G759" t="s">
        <v>1766</v>
      </c>
      <c r="H759" t="str">
        <f t="shared" si="55"/>
        <v>94993</v>
      </c>
      <c r="I759" t="s">
        <v>50</v>
      </c>
    </row>
    <row r="760" spans="1:9" x14ac:dyDescent="0.3">
      <c r="A760" t="str">
        <f>"61703621"</f>
        <v>61703621</v>
      </c>
      <c r="B760" t="s">
        <v>1767</v>
      </c>
      <c r="C760" t="str">
        <f t="shared" si="54"/>
        <v>736</v>
      </c>
      <c r="D760" t="s">
        <v>22</v>
      </c>
      <c r="E760" t="s">
        <v>52</v>
      </c>
      <c r="F760" t="s">
        <v>488</v>
      </c>
      <c r="G760" t="s">
        <v>1768</v>
      </c>
      <c r="H760" t="str">
        <f t="shared" si="55"/>
        <v>94993</v>
      </c>
      <c r="I760" t="s">
        <v>50</v>
      </c>
    </row>
    <row r="761" spans="1:9" x14ac:dyDescent="0.3">
      <c r="A761" t="str">
        <f>"71208071"</f>
        <v>71208071</v>
      </c>
      <c r="B761" t="s">
        <v>1769</v>
      </c>
      <c r="C761" t="str">
        <f t="shared" si="54"/>
        <v>736</v>
      </c>
      <c r="D761" t="s">
        <v>22</v>
      </c>
      <c r="E761" t="s">
        <v>52</v>
      </c>
      <c r="F761" t="s">
        <v>781</v>
      </c>
      <c r="G761" t="s">
        <v>1770</v>
      </c>
      <c r="H761" t="str">
        <f t="shared" si="55"/>
        <v>94993</v>
      </c>
      <c r="I761" t="s">
        <v>50</v>
      </c>
    </row>
    <row r="762" spans="1:9" x14ac:dyDescent="0.3">
      <c r="A762" t="str">
        <f>"62181173"</f>
        <v>62181173</v>
      </c>
      <c r="B762" t="s">
        <v>1771</v>
      </c>
      <c r="C762" t="str">
        <f t="shared" si="54"/>
        <v>736</v>
      </c>
      <c r="D762" t="s">
        <v>22</v>
      </c>
      <c r="E762" t="s">
        <v>23</v>
      </c>
      <c r="F762" t="s">
        <v>975</v>
      </c>
      <c r="G762" t="s">
        <v>1519</v>
      </c>
      <c r="H762" t="str">
        <f t="shared" si="55"/>
        <v>94993</v>
      </c>
      <c r="I762" t="s">
        <v>50</v>
      </c>
    </row>
    <row r="763" spans="1:9" x14ac:dyDescent="0.3">
      <c r="A763" t="str">
        <f>"70889023"</f>
        <v>70889023</v>
      </c>
      <c r="B763" t="s">
        <v>1772</v>
      </c>
      <c r="C763" t="str">
        <f t="shared" si="54"/>
        <v>736</v>
      </c>
      <c r="D763" t="s">
        <v>22</v>
      </c>
      <c r="E763" t="s">
        <v>52</v>
      </c>
      <c r="F763" t="s">
        <v>1773</v>
      </c>
      <c r="G763" t="s">
        <v>1774</v>
      </c>
      <c r="H763" t="str">
        <f t="shared" si="55"/>
        <v>94993</v>
      </c>
      <c r="I763" t="s">
        <v>50</v>
      </c>
    </row>
    <row r="764" spans="1:9" x14ac:dyDescent="0.3">
      <c r="A764" t="str">
        <f>"65325664"</f>
        <v>65325664</v>
      </c>
      <c r="B764" t="s">
        <v>1775</v>
      </c>
      <c r="C764" t="str">
        <f t="shared" si="54"/>
        <v>736</v>
      </c>
      <c r="D764" t="s">
        <v>22</v>
      </c>
      <c r="E764" t="s">
        <v>52</v>
      </c>
      <c r="F764" t="s">
        <v>344</v>
      </c>
      <c r="G764" t="s">
        <v>1776</v>
      </c>
      <c r="H764" t="str">
        <f t="shared" si="55"/>
        <v>94993</v>
      </c>
      <c r="I764" t="s">
        <v>50</v>
      </c>
    </row>
    <row r="765" spans="1:9" x14ac:dyDescent="0.3">
      <c r="A765" t="str">
        <f>"47930209"</f>
        <v>47930209</v>
      </c>
      <c r="B765" t="s">
        <v>1777</v>
      </c>
      <c r="C765" t="str">
        <f t="shared" si="54"/>
        <v>736</v>
      </c>
      <c r="D765" t="s">
        <v>22</v>
      </c>
      <c r="E765" t="s">
        <v>83</v>
      </c>
      <c r="F765" t="s">
        <v>1778</v>
      </c>
      <c r="G765" t="s">
        <v>1779</v>
      </c>
      <c r="H765" t="str">
        <f t="shared" si="55"/>
        <v>94993</v>
      </c>
      <c r="I765" t="s">
        <v>50</v>
      </c>
    </row>
    <row r="766" spans="1:9" x14ac:dyDescent="0.3">
      <c r="A766" t="str">
        <f>"69707464"</f>
        <v>69707464</v>
      </c>
      <c r="B766" t="s">
        <v>1780</v>
      </c>
      <c r="C766" t="str">
        <f t="shared" si="54"/>
        <v>736</v>
      </c>
      <c r="D766" t="s">
        <v>22</v>
      </c>
      <c r="E766" t="s">
        <v>52</v>
      </c>
      <c r="F766" t="s">
        <v>1078</v>
      </c>
      <c r="G766" t="s">
        <v>1781</v>
      </c>
      <c r="H766" t="str">
        <f t="shared" si="55"/>
        <v>94993</v>
      </c>
      <c r="I766" t="s">
        <v>50</v>
      </c>
    </row>
    <row r="767" spans="1:9" x14ac:dyDescent="0.3">
      <c r="A767" t="str">
        <f>"70640611"</f>
        <v>70640611</v>
      </c>
      <c r="B767" t="s">
        <v>1782</v>
      </c>
      <c r="C767" t="str">
        <f t="shared" si="54"/>
        <v>736</v>
      </c>
      <c r="D767" t="s">
        <v>22</v>
      </c>
      <c r="E767" t="s">
        <v>29</v>
      </c>
      <c r="F767" t="s">
        <v>1783</v>
      </c>
      <c r="G767" t="s">
        <v>1784</v>
      </c>
      <c r="H767" t="str">
        <f t="shared" si="55"/>
        <v>94993</v>
      </c>
      <c r="I767" t="s">
        <v>50</v>
      </c>
    </row>
    <row r="768" spans="1:9" x14ac:dyDescent="0.3">
      <c r="A768" t="str">
        <f>"08962324"</f>
        <v>08962324</v>
      </c>
      <c r="B768" t="s">
        <v>1785</v>
      </c>
      <c r="C768" t="str">
        <f t="shared" si="54"/>
        <v>736</v>
      </c>
      <c r="D768" t="s">
        <v>22</v>
      </c>
      <c r="E768" t="s">
        <v>83</v>
      </c>
      <c r="F768" t="s">
        <v>520</v>
      </c>
      <c r="G768" t="s">
        <v>1786</v>
      </c>
      <c r="H768" t="str">
        <f t="shared" si="55"/>
        <v>94993</v>
      </c>
      <c r="I768" t="s">
        <v>50</v>
      </c>
    </row>
    <row r="769" spans="1:9" x14ac:dyDescent="0.3">
      <c r="A769" t="str">
        <f>"09360051"</f>
        <v>09360051</v>
      </c>
      <c r="B769" t="s">
        <v>1787</v>
      </c>
      <c r="C769" t="str">
        <f t="shared" si="54"/>
        <v>736</v>
      </c>
      <c r="D769" t="s">
        <v>22</v>
      </c>
      <c r="E769" t="s">
        <v>52</v>
      </c>
      <c r="F769" t="s">
        <v>1788</v>
      </c>
      <c r="G769" t="s">
        <v>1789</v>
      </c>
      <c r="H769" t="str">
        <f t="shared" si="55"/>
        <v>94993</v>
      </c>
      <c r="I769" t="s">
        <v>50</v>
      </c>
    </row>
    <row r="770" spans="1:9" x14ac:dyDescent="0.3">
      <c r="A770" t="str">
        <f>"01392301"</f>
        <v>01392301</v>
      </c>
      <c r="B770" t="s">
        <v>1790</v>
      </c>
      <c r="C770" t="str">
        <f t="shared" si="54"/>
        <v>736</v>
      </c>
      <c r="D770" t="s">
        <v>22</v>
      </c>
      <c r="E770" t="s">
        <v>29</v>
      </c>
      <c r="F770" t="s">
        <v>1791</v>
      </c>
      <c r="G770" t="s">
        <v>1792</v>
      </c>
      <c r="H770" t="str">
        <f t="shared" si="55"/>
        <v>94993</v>
      </c>
      <c r="I770" t="s">
        <v>50</v>
      </c>
    </row>
    <row r="771" spans="1:9" x14ac:dyDescent="0.3">
      <c r="A771" t="str">
        <f>"75041995"</f>
        <v>75041995</v>
      </c>
      <c r="B771" t="s">
        <v>1793</v>
      </c>
      <c r="C771" t="str">
        <f t="shared" si="54"/>
        <v>736</v>
      </c>
      <c r="D771" t="s">
        <v>22</v>
      </c>
      <c r="E771" t="s">
        <v>23</v>
      </c>
      <c r="F771" t="s">
        <v>245</v>
      </c>
      <c r="G771" t="s">
        <v>1794</v>
      </c>
      <c r="H771" t="str">
        <f t="shared" si="55"/>
        <v>94993</v>
      </c>
      <c r="I771" t="s">
        <v>50</v>
      </c>
    </row>
    <row r="772" spans="1:9" x14ac:dyDescent="0.3">
      <c r="A772" t="str">
        <f>"68898321"</f>
        <v>68898321</v>
      </c>
      <c r="B772" t="s">
        <v>1795</v>
      </c>
      <c r="C772" t="str">
        <f t="shared" si="54"/>
        <v>736</v>
      </c>
      <c r="D772" t="s">
        <v>22</v>
      </c>
      <c r="E772" t="s">
        <v>29</v>
      </c>
      <c r="F772" t="s">
        <v>1796</v>
      </c>
      <c r="G772" t="s">
        <v>1797</v>
      </c>
      <c r="H772" t="str">
        <f t="shared" si="55"/>
        <v>94993</v>
      </c>
      <c r="I772" t="s">
        <v>50</v>
      </c>
    </row>
    <row r="773" spans="1:9" x14ac:dyDescent="0.3">
      <c r="A773" t="str">
        <f>"65267222"</f>
        <v>65267222</v>
      </c>
      <c r="B773" t="s">
        <v>1798</v>
      </c>
      <c r="C773" t="str">
        <f t="shared" si="54"/>
        <v>736</v>
      </c>
      <c r="D773" t="s">
        <v>22</v>
      </c>
      <c r="E773" t="s">
        <v>52</v>
      </c>
      <c r="F773" t="s">
        <v>65</v>
      </c>
      <c r="G773" t="s">
        <v>1799</v>
      </c>
      <c r="H773" t="str">
        <f t="shared" si="55"/>
        <v>94993</v>
      </c>
      <c r="I773" t="s">
        <v>50</v>
      </c>
    </row>
    <row r="774" spans="1:9" x14ac:dyDescent="0.3">
      <c r="A774" t="str">
        <f>"63414678"</f>
        <v>63414678</v>
      </c>
      <c r="B774" t="s">
        <v>1800</v>
      </c>
      <c r="C774" t="str">
        <f t="shared" si="54"/>
        <v>736</v>
      </c>
      <c r="D774" t="s">
        <v>22</v>
      </c>
      <c r="E774" t="s">
        <v>83</v>
      </c>
      <c r="F774" t="s">
        <v>183</v>
      </c>
      <c r="G774" t="s">
        <v>1801</v>
      </c>
      <c r="H774" t="str">
        <f t="shared" si="55"/>
        <v>94993</v>
      </c>
      <c r="I774" t="s">
        <v>50</v>
      </c>
    </row>
    <row r="775" spans="1:9" x14ac:dyDescent="0.3">
      <c r="A775" t="str">
        <f>"65891007"</f>
        <v>65891007</v>
      </c>
      <c r="B775" t="s">
        <v>1802</v>
      </c>
      <c r="C775" t="str">
        <f t="shared" si="54"/>
        <v>736</v>
      </c>
      <c r="D775" t="s">
        <v>22</v>
      </c>
      <c r="E775" t="s">
        <v>29</v>
      </c>
      <c r="F775" t="s">
        <v>775</v>
      </c>
      <c r="G775" t="s">
        <v>1803</v>
      </c>
      <c r="H775" t="str">
        <f t="shared" si="55"/>
        <v>94993</v>
      </c>
      <c r="I775" t="s">
        <v>50</v>
      </c>
    </row>
    <row r="776" spans="1:9" x14ac:dyDescent="0.3">
      <c r="A776" t="str">
        <f>"65469551"</f>
        <v>65469551</v>
      </c>
      <c r="B776" t="s">
        <v>1804</v>
      </c>
      <c r="C776" t="str">
        <f t="shared" si="54"/>
        <v>736</v>
      </c>
      <c r="D776" t="s">
        <v>22</v>
      </c>
      <c r="E776" t="s">
        <v>29</v>
      </c>
      <c r="F776" t="s">
        <v>29</v>
      </c>
      <c r="G776" t="s">
        <v>1805</v>
      </c>
      <c r="H776" t="str">
        <f t="shared" si="55"/>
        <v>94993</v>
      </c>
      <c r="I776" t="s">
        <v>50</v>
      </c>
    </row>
    <row r="777" spans="1:9" x14ac:dyDescent="0.3">
      <c r="A777" t="str">
        <f>"75110601"</f>
        <v>75110601</v>
      </c>
      <c r="B777" t="s">
        <v>1806</v>
      </c>
      <c r="C777" t="str">
        <f t="shared" si="54"/>
        <v>736</v>
      </c>
      <c r="D777" t="s">
        <v>22</v>
      </c>
      <c r="E777" t="s">
        <v>29</v>
      </c>
      <c r="F777" t="s">
        <v>607</v>
      </c>
      <c r="G777" t="s">
        <v>1807</v>
      </c>
      <c r="H777" t="str">
        <f t="shared" si="55"/>
        <v>94993</v>
      </c>
      <c r="I777" t="s">
        <v>50</v>
      </c>
    </row>
    <row r="778" spans="1:9" x14ac:dyDescent="0.3">
      <c r="A778" t="str">
        <f>"02057263"</f>
        <v>02057263</v>
      </c>
      <c r="B778" t="s">
        <v>1808</v>
      </c>
      <c r="C778" t="str">
        <f t="shared" si="54"/>
        <v>736</v>
      </c>
      <c r="D778" t="s">
        <v>22</v>
      </c>
      <c r="E778" t="s">
        <v>29</v>
      </c>
      <c r="F778" t="s">
        <v>653</v>
      </c>
      <c r="G778" t="s">
        <v>1652</v>
      </c>
      <c r="H778" t="str">
        <f t="shared" si="55"/>
        <v>94993</v>
      </c>
      <c r="I778" t="s">
        <v>50</v>
      </c>
    </row>
    <row r="779" spans="1:9" x14ac:dyDescent="0.3">
      <c r="A779" t="str">
        <f>"71190996"</f>
        <v>71190996</v>
      </c>
      <c r="B779" t="s">
        <v>1809</v>
      </c>
      <c r="C779" t="str">
        <f t="shared" si="54"/>
        <v>736</v>
      </c>
      <c r="D779" t="s">
        <v>22</v>
      </c>
      <c r="E779" t="s">
        <v>29</v>
      </c>
      <c r="F779" t="s">
        <v>1810</v>
      </c>
      <c r="G779" t="s">
        <v>1811</v>
      </c>
      <c r="H779" t="str">
        <f t="shared" si="55"/>
        <v>94993</v>
      </c>
      <c r="I779" t="s">
        <v>50</v>
      </c>
    </row>
    <row r="780" spans="1:9" x14ac:dyDescent="0.3">
      <c r="A780" t="str">
        <f>"65267974"</f>
        <v>65267974</v>
      </c>
      <c r="B780" t="s">
        <v>1812</v>
      </c>
      <c r="C780" t="str">
        <f t="shared" si="54"/>
        <v>736</v>
      </c>
      <c r="D780" t="s">
        <v>22</v>
      </c>
      <c r="E780" t="s">
        <v>52</v>
      </c>
      <c r="F780" t="s">
        <v>1257</v>
      </c>
      <c r="G780" t="s">
        <v>1813</v>
      </c>
      <c r="H780" t="str">
        <f t="shared" si="55"/>
        <v>94993</v>
      </c>
      <c r="I780" t="s">
        <v>50</v>
      </c>
    </row>
    <row r="781" spans="1:9" x14ac:dyDescent="0.3">
      <c r="A781" t="str">
        <f>"62181939"</f>
        <v>62181939</v>
      </c>
      <c r="B781" t="s">
        <v>1814</v>
      </c>
      <c r="C781" t="str">
        <f t="shared" si="54"/>
        <v>736</v>
      </c>
      <c r="D781" t="s">
        <v>22</v>
      </c>
      <c r="E781" t="s">
        <v>23</v>
      </c>
      <c r="F781" t="s">
        <v>1815</v>
      </c>
      <c r="G781" t="s">
        <v>1816</v>
      </c>
      <c r="H781" t="str">
        <f t="shared" si="55"/>
        <v>94993</v>
      </c>
      <c r="I781" t="s">
        <v>50</v>
      </c>
    </row>
    <row r="782" spans="1:9" x14ac:dyDescent="0.3">
      <c r="A782" t="str">
        <f>"05234182"</f>
        <v>05234182</v>
      </c>
      <c r="B782" t="s">
        <v>1817</v>
      </c>
      <c r="C782" t="str">
        <f t="shared" si="54"/>
        <v>736</v>
      </c>
      <c r="D782" t="s">
        <v>22</v>
      </c>
      <c r="E782" t="s">
        <v>29</v>
      </c>
      <c r="F782" t="s">
        <v>685</v>
      </c>
      <c r="G782" t="s">
        <v>1818</v>
      </c>
      <c r="H782" t="str">
        <f t="shared" si="55"/>
        <v>94993</v>
      </c>
      <c r="I782" t="s">
        <v>50</v>
      </c>
    </row>
    <row r="783" spans="1:9" x14ac:dyDescent="0.3">
      <c r="A783" t="str">
        <f>"68898495"</f>
        <v>68898495</v>
      </c>
      <c r="B783" t="s">
        <v>1819</v>
      </c>
      <c r="C783" t="str">
        <f t="shared" si="54"/>
        <v>736</v>
      </c>
      <c r="D783" t="s">
        <v>22</v>
      </c>
      <c r="E783" t="s">
        <v>29</v>
      </c>
      <c r="F783" t="s">
        <v>1654</v>
      </c>
      <c r="G783" t="s">
        <v>1820</v>
      </c>
      <c r="H783" t="str">
        <f t="shared" si="55"/>
        <v>94993</v>
      </c>
      <c r="I783" t="s">
        <v>50</v>
      </c>
    </row>
    <row r="784" spans="1:9" x14ac:dyDescent="0.3">
      <c r="A784" t="str">
        <f>"66184495"</f>
        <v>66184495</v>
      </c>
      <c r="B784" t="s">
        <v>1821</v>
      </c>
      <c r="C784" t="str">
        <f t="shared" si="54"/>
        <v>736</v>
      </c>
      <c r="D784" t="s">
        <v>22</v>
      </c>
      <c r="E784" t="s">
        <v>29</v>
      </c>
      <c r="F784" t="s">
        <v>250</v>
      </c>
      <c r="G784" t="s">
        <v>1822</v>
      </c>
      <c r="H784" t="str">
        <f t="shared" si="55"/>
        <v>94993</v>
      </c>
      <c r="I784" t="s">
        <v>50</v>
      </c>
    </row>
    <row r="785" spans="1:9" x14ac:dyDescent="0.3">
      <c r="A785" t="str">
        <f>"66934761"</f>
        <v>66934761</v>
      </c>
      <c r="B785" t="s">
        <v>1823</v>
      </c>
      <c r="C785" t="str">
        <f t="shared" si="54"/>
        <v>736</v>
      </c>
      <c r="D785" t="s">
        <v>22</v>
      </c>
      <c r="E785" t="s">
        <v>29</v>
      </c>
      <c r="F785" t="s">
        <v>876</v>
      </c>
      <c r="G785" t="s">
        <v>1824</v>
      </c>
      <c r="H785" t="str">
        <f t="shared" si="55"/>
        <v>94993</v>
      </c>
      <c r="I785" t="s">
        <v>50</v>
      </c>
    </row>
    <row r="786" spans="1:9" x14ac:dyDescent="0.3">
      <c r="A786" t="str">
        <f>"75058707"</f>
        <v>75058707</v>
      </c>
      <c r="B786" t="s">
        <v>1825</v>
      </c>
      <c r="C786" t="str">
        <f t="shared" si="54"/>
        <v>736</v>
      </c>
      <c r="D786" t="s">
        <v>22</v>
      </c>
      <c r="E786" t="s">
        <v>29</v>
      </c>
      <c r="F786" t="s">
        <v>271</v>
      </c>
      <c r="G786" t="s">
        <v>1660</v>
      </c>
      <c r="H786" t="str">
        <f t="shared" si="55"/>
        <v>94993</v>
      </c>
      <c r="I786" t="s">
        <v>50</v>
      </c>
    </row>
    <row r="787" spans="1:9" x14ac:dyDescent="0.3">
      <c r="A787" t="str">
        <f>"70285799"</f>
        <v>70285799</v>
      </c>
      <c r="B787" t="s">
        <v>1826</v>
      </c>
      <c r="C787" t="str">
        <f t="shared" si="54"/>
        <v>736</v>
      </c>
      <c r="D787" t="s">
        <v>22</v>
      </c>
      <c r="E787" t="s">
        <v>83</v>
      </c>
      <c r="F787" t="s">
        <v>1425</v>
      </c>
      <c r="G787" t="s">
        <v>1827</v>
      </c>
      <c r="H787" t="str">
        <f t="shared" si="55"/>
        <v>94993</v>
      </c>
      <c r="I787" t="s">
        <v>50</v>
      </c>
    </row>
    <row r="788" spans="1:9" x14ac:dyDescent="0.3">
      <c r="A788" t="str">
        <f>"06804543"</f>
        <v>06804543</v>
      </c>
      <c r="B788" t="s">
        <v>1828</v>
      </c>
      <c r="C788" t="str">
        <f t="shared" si="54"/>
        <v>736</v>
      </c>
      <c r="D788" t="s">
        <v>22</v>
      </c>
      <c r="E788" t="s">
        <v>52</v>
      </c>
      <c r="F788" t="s">
        <v>1829</v>
      </c>
      <c r="G788" t="s">
        <v>1830</v>
      </c>
      <c r="H788" t="str">
        <f t="shared" si="55"/>
        <v>94993</v>
      </c>
      <c r="I788" t="s">
        <v>50</v>
      </c>
    </row>
    <row r="789" spans="1:9" x14ac:dyDescent="0.3">
      <c r="A789" t="str">
        <f>"70832498"</f>
        <v>70832498</v>
      </c>
      <c r="B789" t="s">
        <v>1831</v>
      </c>
      <c r="C789" t="str">
        <f t="shared" si="54"/>
        <v>736</v>
      </c>
      <c r="D789" t="s">
        <v>22</v>
      </c>
      <c r="E789" t="s">
        <v>83</v>
      </c>
      <c r="F789" t="s">
        <v>83</v>
      </c>
      <c r="G789" t="s">
        <v>1832</v>
      </c>
      <c r="H789" t="str">
        <f t="shared" si="55"/>
        <v>94993</v>
      </c>
      <c r="I789" t="s">
        <v>50</v>
      </c>
    </row>
    <row r="790" spans="1:9" x14ac:dyDescent="0.3">
      <c r="A790" t="str">
        <f>"71222120"</f>
        <v>71222120</v>
      </c>
      <c r="B790" t="s">
        <v>1833</v>
      </c>
      <c r="C790" t="str">
        <f t="shared" si="54"/>
        <v>736</v>
      </c>
      <c r="D790" t="s">
        <v>22</v>
      </c>
      <c r="E790" t="s">
        <v>83</v>
      </c>
      <c r="F790" t="s">
        <v>83</v>
      </c>
      <c r="G790" t="s">
        <v>1834</v>
      </c>
      <c r="H790" t="str">
        <f t="shared" si="55"/>
        <v>94993</v>
      </c>
      <c r="I790" t="s">
        <v>50</v>
      </c>
    </row>
    <row r="791" spans="1:9" x14ac:dyDescent="0.3">
      <c r="A791" t="str">
        <f>"08083363"</f>
        <v>08083363</v>
      </c>
      <c r="B791" t="s">
        <v>1835</v>
      </c>
      <c r="C791" t="str">
        <f t="shared" si="54"/>
        <v>736</v>
      </c>
      <c r="D791" t="s">
        <v>22</v>
      </c>
      <c r="E791" t="s">
        <v>29</v>
      </c>
      <c r="F791" t="s">
        <v>1836</v>
      </c>
      <c r="G791" t="s">
        <v>1837</v>
      </c>
      <c r="H791" t="str">
        <f t="shared" si="55"/>
        <v>94993</v>
      </c>
      <c r="I791" t="s">
        <v>50</v>
      </c>
    </row>
    <row r="792" spans="1:9" x14ac:dyDescent="0.3">
      <c r="A792" t="str">
        <f>"66934648"</f>
        <v>66934648</v>
      </c>
      <c r="B792" t="s">
        <v>1838</v>
      </c>
      <c r="C792" t="str">
        <f t="shared" si="54"/>
        <v>736</v>
      </c>
      <c r="D792" t="s">
        <v>22</v>
      </c>
      <c r="E792" t="s">
        <v>29</v>
      </c>
      <c r="F792" t="s">
        <v>1839</v>
      </c>
      <c r="G792" t="s">
        <v>1840</v>
      </c>
      <c r="H792" t="str">
        <f t="shared" si="55"/>
        <v>94993</v>
      </c>
      <c r="I792" t="s">
        <v>50</v>
      </c>
    </row>
    <row r="793" spans="1:9" x14ac:dyDescent="0.3">
      <c r="A793" t="str">
        <f>"01534602"</f>
        <v>01534602</v>
      </c>
      <c r="B793" t="s">
        <v>1841</v>
      </c>
      <c r="C793" t="str">
        <f t="shared" si="54"/>
        <v>736</v>
      </c>
      <c r="D793" t="s">
        <v>22</v>
      </c>
      <c r="E793" t="s">
        <v>29</v>
      </c>
      <c r="F793" t="s">
        <v>135</v>
      </c>
      <c r="G793" t="s">
        <v>1842</v>
      </c>
      <c r="H793" t="str">
        <f t="shared" si="55"/>
        <v>94993</v>
      </c>
      <c r="I793" t="s">
        <v>50</v>
      </c>
    </row>
    <row r="794" spans="1:9" x14ac:dyDescent="0.3">
      <c r="A794" t="str">
        <f>"75080231"</f>
        <v>75080231</v>
      </c>
      <c r="B794" t="s">
        <v>1843</v>
      </c>
      <c r="C794" t="str">
        <f t="shared" si="54"/>
        <v>736</v>
      </c>
      <c r="D794" t="s">
        <v>22</v>
      </c>
      <c r="E794" t="s">
        <v>29</v>
      </c>
      <c r="F794" t="s">
        <v>702</v>
      </c>
      <c r="G794" t="s">
        <v>1844</v>
      </c>
      <c r="H794" t="str">
        <f t="shared" si="55"/>
        <v>94993</v>
      </c>
      <c r="I794" t="s">
        <v>50</v>
      </c>
    </row>
    <row r="795" spans="1:9" x14ac:dyDescent="0.3">
      <c r="A795" t="str">
        <f>"63415658"</f>
        <v>63415658</v>
      </c>
      <c r="B795" t="s">
        <v>1845</v>
      </c>
      <c r="C795" t="str">
        <f t="shared" si="54"/>
        <v>736</v>
      </c>
      <c r="D795" t="s">
        <v>22</v>
      </c>
      <c r="E795" t="s">
        <v>83</v>
      </c>
      <c r="F795" t="s">
        <v>1846</v>
      </c>
      <c r="G795" t="s">
        <v>1847</v>
      </c>
      <c r="H795" t="str">
        <f t="shared" si="55"/>
        <v>94993</v>
      </c>
      <c r="I795" t="s">
        <v>50</v>
      </c>
    </row>
    <row r="796" spans="1:9" x14ac:dyDescent="0.3">
      <c r="A796" t="str">
        <f>"65792742"</f>
        <v>65792742</v>
      </c>
      <c r="B796" t="s">
        <v>1848</v>
      </c>
      <c r="C796" t="str">
        <f t="shared" si="54"/>
        <v>736</v>
      </c>
      <c r="D796" t="s">
        <v>22</v>
      </c>
      <c r="E796" t="s">
        <v>23</v>
      </c>
      <c r="F796" t="s">
        <v>99</v>
      </c>
      <c r="G796" t="s">
        <v>1849</v>
      </c>
      <c r="H796" t="str">
        <f t="shared" si="55"/>
        <v>94993</v>
      </c>
      <c r="I796" t="s">
        <v>50</v>
      </c>
    </row>
    <row r="797" spans="1:9" x14ac:dyDescent="0.3">
      <c r="A797" t="str">
        <f>"62180223"</f>
        <v>62180223</v>
      </c>
      <c r="B797" t="s">
        <v>1850</v>
      </c>
      <c r="C797" t="str">
        <f t="shared" si="54"/>
        <v>736</v>
      </c>
      <c r="D797" t="s">
        <v>22</v>
      </c>
      <c r="E797" t="s">
        <v>23</v>
      </c>
      <c r="F797" t="s">
        <v>35</v>
      </c>
      <c r="G797" t="s">
        <v>1851</v>
      </c>
      <c r="H797" t="str">
        <f t="shared" si="55"/>
        <v>94993</v>
      </c>
      <c r="I797" t="s">
        <v>50</v>
      </c>
    </row>
    <row r="798" spans="1:9" x14ac:dyDescent="0.3">
      <c r="A798" t="str">
        <f>"63414562"</f>
        <v>63414562</v>
      </c>
      <c r="B798" t="s">
        <v>1852</v>
      </c>
      <c r="C798" t="str">
        <f t="shared" si="54"/>
        <v>736</v>
      </c>
      <c r="D798" t="s">
        <v>22</v>
      </c>
      <c r="E798" t="s">
        <v>83</v>
      </c>
      <c r="F798" t="s">
        <v>130</v>
      </c>
      <c r="G798" t="s">
        <v>1853</v>
      </c>
      <c r="H798" t="str">
        <f t="shared" si="55"/>
        <v>94993</v>
      </c>
      <c r="I798" t="s">
        <v>50</v>
      </c>
    </row>
    <row r="799" spans="1:9" x14ac:dyDescent="0.3">
      <c r="A799" t="str">
        <f>"62182200"</f>
        <v>62182200</v>
      </c>
      <c r="B799" t="s">
        <v>1854</v>
      </c>
      <c r="C799" t="str">
        <f t="shared" si="54"/>
        <v>736</v>
      </c>
      <c r="D799" t="s">
        <v>22</v>
      </c>
      <c r="E799" t="s">
        <v>23</v>
      </c>
      <c r="F799" t="s">
        <v>141</v>
      </c>
      <c r="G799" t="s">
        <v>1855</v>
      </c>
      <c r="H799" t="str">
        <f t="shared" si="55"/>
        <v>94993</v>
      </c>
      <c r="I799" t="s">
        <v>50</v>
      </c>
    </row>
    <row r="800" spans="1:9" x14ac:dyDescent="0.3">
      <c r="A800" t="str">
        <f>"65325826"</f>
        <v>65325826</v>
      </c>
      <c r="B800" t="s">
        <v>1856</v>
      </c>
      <c r="C800" t="str">
        <f t="shared" si="54"/>
        <v>736</v>
      </c>
      <c r="D800" t="s">
        <v>22</v>
      </c>
      <c r="E800" t="s">
        <v>52</v>
      </c>
      <c r="F800" t="s">
        <v>1857</v>
      </c>
      <c r="G800" t="s">
        <v>1858</v>
      </c>
      <c r="H800" t="str">
        <f t="shared" si="55"/>
        <v>94993</v>
      </c>
      <c r="I800" t="s">
        <v>50</v>
      </c>
    </row>
    <row r="801" spans="1:9" x14ac:dyDescent="0.3">
      <c r="A801" t="str">
        <f>"69650012"</f>
        <v>69650012</v>
      </c>
      <c r="B801" t="s">
        <v>1859</v>
      </c>
      <c r="C801" t="str">
        <f t="shared" si="54"/>
        <v>736</v>
      </c>
      <c r="D801" t="s">
        <v>22</v>
      </c>
      <c r="E801" t="s">
        <v>52</v>
      </c>
      <c r="F801" t="s">
        <v>514</v>
      </c>
      <c r="G801" t="s">
        <v>1674</v>
      </c>
      <c r="H801" t="str">
        <f>"9499"</f>
        <v>9499</v>
      </c>
      <c r="I801" t="s">
        <v>31</v>
      </c>
    </row>
    <row r="802" spans="1:9" x14ac:dyDescent="0.3">
      <c r="A802" t="str">
        <f>"64123219"</f>
        <v>64123219</v>
      </c>
      <c r="B802" t="s">
        <v>1860</v>
      </c>
      <c r="C802" t="str">
        <f t="shared" si="54"/>
        <v>736</v>
      </c>
      <c r="D802" t="s">
        <v>22</v>
      </c>
      <c r="E802" t="s">
        <v>29</v>
      </c>
      <c r="F802" t="s">
        <v>1121</v>
      </c>
      <c r="G802" t="s">
        <v>1861</v>
      </c>
      <c r="H802" t="str">
        <f t="shared" ref="H802:H816" si="56">"94993"</f>
        <v>94993</v>
      </c>
      <c r="I802" t="s">
        <v>50</v>
      </c>
    </row>
    <row r="803" spans="1:9" x14ac:dyDescent="0.3">
      <c r="A803" t="str">
        <f>"69725691"</f>
        <v>69725691</v>
      </c>
      <c r="B803" t="s">
        <v>1862</v>
      </c>
      <c r="C803" t="str">
        <f t="shared" si="54"/>
        <v>736</v>
      </c>
      <c r="D803" t="s">
        <v>22</v>
      </c>
      <c r="E803" t="s">
        <v>52</v>
      </c>
      <c r="F803" t="s">
        <v>334</v>
      </c>
      <c r="G803" t="s">
        <v>1863</v>
      </c>
      <c r="H803" t="str">
        <f t="shared" si="56"/>
        <v>94993</v>
      </c>
      <c r="I803" t="s">
        <v>50</v>
      </c>
    </row>
    <row r="804" spans="1:9" x14ac:dyDescent="0.3">
      <c r="A804" t="str">
        <f>"62182391"</f>
        <v>62182391</v>
      </c>
      <c r="B804" t="s">
        <v>1864</v>
      </c>
      <c r="C804" t="str">
        <f t="shared" si="54"/>
        <v>736</v>
      </c>
      <c r="D804" t="s">
        <v>22</v>
      </c>
      <c r="E804" t="s">
        <v>23</v>
      </c>
      <c r="F804" t="s">
        <v>24</v>
      </c>
      <c r="G804" t="s">
        <v>1865</v>
      </c>
      <c r="H804" t="str">
        <f t="shared" si="56"/>
        <v>94993</v>
      </c>
      <c r="I804" t="s">
        <v>50</v>
      </c>
    </row>
    <row r="805" spans="1:9" x14ac:dyDescent="0.3">
      <c r="A805" t="str">
        <f>"60383291"</f>
        <v>60383291</v>
      </c>
      <c r="B805" t="s">
        <v>1866</v>
      </c>
      <c r="C805" t="str">
        <f t="shared" si="54"/>
        <v>736</v>
      </c>
      <c r="D805" t="s">
        <v>22</v>
      </c>
      <c r="E805" t="s">
        <v>83</v>
      </c>
      <c r="F805" t="s">
        <v>1867</v>
      </c>
      <c r="G805" t="s">
        <v>1868</v>
      </c>
      <c r="H805" t="str">
        <f t="shared" si="56"/>
        <v>94993</v>
      </c>
      <c r="I805" t="s">
        <v>50</v>
      </c>
    </row>
    <row r="806" spans="1:9" x14ac:dyDescent="0.3">
      <c r="A806" t="str">
        <f>"62831518"</f>
        <v>62831518</v>
      </c>
      <c r="B806" t="s">
        <v>1869</v>
      </c>
      <c r="C806" t="str">
        <f t="shared" si="54"/>
        <v>736</v>
      </c>
      <c r="D806" t="s">
        <v>22</v>
      </c>
      <c r="E806" t="s">
        <v>52</v>
      </c>
      <c r="F806" t="s">
        <v>1679</v>
      </c>
      <c r="G806" t="s">
        <v>1870</v>
      </c>
      <c r="H806" t="str">
        <f t="shared" si="56"/>
        <v>94993</v>
      </c>
      <c r="I806" t="s">
        <v>50</v>
      </c>
    </row>
    <row r="807" spans="1:9" x14ac:dyDescent="0.3">
      <c r="A807" t="str">
        <f>"14053233"</f>
        <v>14053233</v>
      </c>
      <c r="B807" t="s">
        <v>1871</v>
      </c>
      <c r="C807" t="str">
        <f t="shared" si="54"/>
        <v>736</v>
      </c>
      <c r="D807" t="s">
        <v>22</v>
      </c>
      <c r="E807" t="s">
        <v>52</v>
      </c>
      <c r="F807" t="s">
        <v>406</v>
      </c>
      <c r="G807" t="s">
        <v>1872</v>
      </c>
      <c r="H807" t="str">
        <f t="shared" si="56"/>
        <v>94993</v>
      </c>
      <c r="I807" t="s">
        <v>50</v>
      </c>
    </row>
    <row r="808" spans="1:9" x14ac:dyDescent="0.3">
      <c r="A808" t="str">
        <f>"63701413"</f>
        <v>63701413</v>
      </c>
      <c r="B808" t="s">
        <v>1873</v>
      </c>
      <c r="C808" t="str">
        <f t="shared" si="54"/>
        <v>736</v>
      </c>
      <c r="D808" t="s">
        <v>22</v>
      </c>
      <c r="E808" t="s">
        <v>29</v>
      </c>
      <c r="F808" t="s">
        <v>1874</v>
      </c>
      <c r="G808" t="s">
        <v>1875</v>
      </c>
      <c r="H808" t="str">
        <f t="shared" si="56"/>
        <v>94993</v>
      </c>
      <c r="I808" t="s">
        <v>50</v>
      </c>
    </row>
    <row r="809" spans="1:9" x14ac:dyDescent="0.3">
      <c r="A809" t="str">
        <f>"65267541"</f>
        <v>65267541</v>
      </c>
      <c r="B809" t="s">
        <v>1876</v>
      </c>
      <c r="C809" t="str">
        <f t="shared" si="54"/>
        <v>736</v>
      </c>
      <c r="D809" t="s">
        <v>22</v>
      </c>
      <c r="E809" t="s">
        <v>23</v>
      </c>
      <c r="F809" t="s">
        <v>1877</v>
      </c>
      <c r="G809" t="s">
        <v>1878</v>
      </c>
      <c r="H809" t="str">
        <f t="shared" si="56"/>
        <v>94993</v>
      </c>
      <c r="I809" t="s">
        <v>50</v>
      </c>
    </row>
    <row r="810" spans="1:9" x14ac:dyDescent="0.3">
      <c r="A810" t="str">
        <f>"70904308"</f>
        <v>70904308</v>
      </c>
      <c r="B810" t="s">
        <v>1879</v>
      </c>
      <c r="C810" t="str">
        <f t="shared" si="54"/>
        <v>736</v>
      </c>
      <c r="D810" t="s">
        <v>22</v>
      </c>
      <c r="E810" t="s">
        <v>23</v>
      </c>
      <c r="F810" t="s">
        <v>1880</v>
      </c>
      <c r="G810" t="s">
        <v>1881</v>
      </c>
      <c r="H810" t="str">
        <f t="shared" si="56"/>
        <v>94993</v>
      </c>
      <c r="I810" t="s">
        <v>50</v>
      </c>
    </row>
    <row r="811" spans="1:9" x14ac:dyDescent="0.3">
      <c r="A811" t="str">
        <f>"65469658"</f>
        <v>65469658</v>
      </c>
      <c r="B811" t="s">
        <v>1882</v>
      </c>
      <c r="C811" t="str">
        <f t="shared" si="54"/>
        <v>736</v>
      </c>
      <c r="D811" t="s">
        <v>22</v>
      </c>
      <c r="E811" t="s">
        <v>29</v>
      </c>
      <c r="F811" t="s">
        <v>38</v>
      </c>
      <c r="G811" t="s">
        <v>1883</v>
      </c>
      <c r="H811" t="str">
        <f t="shared" si="56"/>
        <v>94993</v>
      </c>
      <c r="I811" t="s">
        <v>50</v>
      </c>
    </row>
    <row r="812" spans="1:9" x14ac:dyDescent="0.3">
      <c r="A812" t="str">
        <f>"65792131"</f>
        <v>65792131</v>
      </c>
      <c r="B812" t="s">
        <v>1884</v>
      </c>
      <c r="C812" t="str">
        <f t="shared" si="54"/>
        <v>736</v>
      </c>
      <c r="D812" t="s">
        <v>22</v>
      </c>
      <c r="E812" t="s">
        <v>23</v>
      </c>
      <c r="F812" t="s">
        <v>1885</v>
      </c>
      <c r="G812" t="s">
        <v>1886</v>
      </c>
      <c r="H812" t="str">
        <f t="shared" si="56"/>
        <v>94993</v>
      </c>
      <c r="I812" t="s">
        <v>50</v>
      </c>
    </row>
    <row r="813" spans="1:9" x14ac:dyDescent="0.3">
      <c r="A813" t="str">
        <f>"65888154"</f>
        <v>65888154</v>
      </c>
      <c r="B813" t="s">
        <v>1887</v>
      </c>
      <c r="C813" t="str">
        <f t="shared" si="54"/>
        <v>736</v>
      </c>
      <c r="D813" t="s">
        <v>22</v>
      </c>
      <c r="E813" t="s">
        <v>29</v>
      </c>
      <c r="F813" t="s">
        <v>1888</v>
      </c>
      <c r="G813" t="s">
        <v>1889</v>
      </c>
      <c r="H813" t="str">
        <f t="shared" si="56"/>
        <v>94993</v>
      </c>
      <c r="I813" t="s">
        <v>50</v>
      </c>
    </row>
    <row r="814" spans="1:9" x14ac:dyDescent="0.3">
      <c r="A814" t="str">
        <f>"68726023"</f>
        <v>68726023</v>
      </c>
      <c r="B814" t="s">
        <v>1890</v>
      </c>
      <c r="C814" t="str">
        <f t="shared" ref="C814:C844" si="57">"736"</f>
        <v>736</v>
      </c>
      <c r="D814" t="s">
        <v>22</v>
      </c>
      <c r="E814" t="s">
        <v>23</v>
      </c>
      <c r="F814" t="s">
        <v>350</v>
      </c>
      <c r="G814" t="s">
        <v>437</v>
      </c>
      <c r="H814" t="str">
        <f t="shared" si="56"/>
        <v>94993</v>
      </c>
      <c r="I814" t="s">
        <v>50</v>
      </c>
    </row>
    <row r="815" spans="1:9" x14ac:dyDescent="0.3">
      <c r="A815" t="str">
        <f>"68731892"</f>
        <v>68731892</v>
      </c>
      <c r="B815" t="s">
        <v>1891</v>
      </c>
      <c r="C815" t="str">
        <f t="shared" si="57"/>
        <v>736</v>
      </c>
      <c r="D815" t="s">
        <v>22</v>
      </c>
      <c r="E815" t="s">
        <v>23</v>
      </c>
      <c r="F815" t="s">
        <v>459</v>
      </c>
      <c r="G815" t="s">
        <v>1892</v>
      </c>
      <c r="H815" t="str">
        <f t="shared" si="56"/>
        <v>94993</v>
      </c>
      <c r="I815" t="s">
        <v>50</v>
      </c>
    </row>
    <row r="816" spans="1:9" x14ac:dyDescent="0.3">
      <c r="A816" t="str">
        <f>"65326008"</f>
        <v>65326008</v>
      </c>
      <c r="B816" t="s">
        <v>1893</v>
      </c>
      <c r="C816" t="str">
        <f t="shared" si="57"/>
        <v>736</v>
      </c>
      <c r="D816" t="s">
        <v>22</v>
      </c>
      <c r="E816" t="s">
        <v>52</v>
      </c>
      <c r="F816" t="s">
        <v>1894</v>
      </c>
      <c r="G816" t="s">
        <v>1895</v>
      </c>
      <c r="H816" t="str">
        <f t="shared" si="56"/>
        <v>94993</v>
      </c>
      <c r="I816" t="s">
        <v>50</v>
      </c>
    </row>
    <row r="817" spans="1:9" x14ac:dyDescent="0.3">
      <c r="A817" t="str">
        <f>"72066831"</f>
        <v>72066831</v>
      </c>
      <c r="B817" t="s">
        <v>1896</v>
      </c>
      <c r="C817" t="str">
        <f t="shared" si="57"/>
        <v>736</v>
      </c>
      <c r="D817" t="s">
        <v>22</v>
      </c>
      <c r="E817" t="s">
        <v>52</v>
      </c>
      <c r="F817" t="s">
        <v>864</v>
      </c>
      <c r="G817" t="s">
        <v>1897</v>
      </c>
      <c r="H817" t="str">
        <f>"9499"</f>
        <v>9499</v>
      </c>
      <c r="I817" t="s">
        <v>31</v>
      </c>
    </row>
    <row r="818" spans="1:9" x14ac:dyDescent="0.3">
      <c r="A818" t="str">
        <f>"75043092"</f>
        <v>75043092</v>
      </c>
      <c r="B818" t="s">
        <v>1898</v>
      </c>
      <c r="C818" t="str">
        <f t="shared" si="57"/>
        <v>736</v>
      </c>
      <c r="D818" t="s">
        <v>22</v>
      </c>
      <c r="E818" t="s">
        <v>29</v>
      </c>
      <c r="F818" t="s">
        <v>1899</v>
      </c>
      <c r="G818" t="s">
        <v>1900</v>
      </c>
      <c r="H818" t="str">
        <f>"94993"</f>
        <v>94993</v>
      </c>
      <c r="I818" t="s">
        <v>50</v>
      </c>
    </row>
    <row r="819" spans="1:9" x14ac:dyDescent="0.3">
      <c r="A819" t="str">
        <f>"65325583"</f>
        <v>65325583</v>
      </c>
      <c r="B819" t="s">
        <v>1901</v>
      </c>
      <c r="C819" t="str">
        <f t="shared" si="57"/>
        <v>736</v>
      </c>
      <c r="D819" t="s">
        <v>22</v>
      </c>
      <c r="E819" t="s">
        <v>52</v>
      </c>
      <c r="F819" t="s">
        <v>1902</v>
      </c>
      <c r="G819" t="s">
        <v>1903</v>
      </c>
      <c r="H819" t="str">
        <f>"9499"</f>
        <v>9499</v>
      </c>
      <c r="I819" t="s">
        <v>31</v>
      </c>
    </row>
    <row r="820" spans="1:9" x14ac:dyDescent="0.3">
      <c r="A820" t="str">
        <f>"69744041"</f>
        <v>69744041</v>
      </c>
      <c r="B820" t="s">
        <v>1904</v>
      </c>
      <c r="C820" t="str">
        <f t="shared" si="57"/>
        <v>736</v>
      </c>
      <c r="D820" t="s">
        <v>22</v>
      </c>
      <c r="E820" t="s">
        <v>23</v>
      </c>
      <c r="F820" t="s">
        <v>296</v>
      </c>
      <c r="G820" t="s">
        <v>1905</v>
      </c>
      <c r="H820" t="str">
        <f t="shared" ref="H820:H832" si="58">"94993"</f>
        <v>94993</v>
      </c>
      <c r="I820" t="s">
        <v>50</v>
      </c>
    </row>
    <row r="821" spans="1:9" x14ac:dyDescent="0.3">
      <c r="A821" t="str">
        <f>"70949913"</f>
        <v>70949913</v>
      </c>
      <c r="B821" t="s">
        <v>1906</v>
      </c>
      <c r="C821" t="str">
        <f t="shared" si="57"/>
        <v>736</v>
      </c>
      <c r="D821" t="s">
        <v>22</v>
      </c>
      <c r="E821" t="s">
        <v>52</v>
      </c>
      <c r="F821" t="s">
        <v>796</v>
      </c>
      <c r="G821" t="s">
        <v>797</v>
      </c>
      <c r="H821" t="str">
        <f t="shared" si="58"/>
        <v>94993</v>
      </c>
      <c r="I821" t="s">
        <v>50</v>
      </c>
    </row>
    <row r="822" spans="1:9" x14ac:dyDescent="0.3">
      <c r="A822" t="str">
        <f>"65268415"</f>
        <v>65268415</v>
      </c>
      <c r="B822" t="s">
        <v>1907</v>
      </c>
      <c r="C822" t="str">
        <f t="shared" si="57"/>
        <v>736</v>
      </c>
      <c r="D822" t="s">
        <v>22</v>
      </c>
      <c r="E822" t="s">
        <v>52</v>
      </c>
      <c r="F822" t="s">
        <v>1908</v>
      </c>
      <c r="G822" t="s">
        <v>1909</v>
      </c>
      <c r="H822" t="str">
        <f t="shared" si="58"/>
        <v>94993</v>
      </c>
      <c r="I822" t="s">
        <v>50</v>
      </c>
    </row>
    <row r="823" spans="1:9" x14ac:dyDescent="0.3">
      <c r="A823" t="str">
        <f>"71218530"</f>
        <v>71218530</v>
      </c>
      <c r="B823" t="s">
        <v>1910</v>
      </c>
      <c r="C823" t="str">
        <f t="shared" si="57"/>
        <v>736</v>
      </c>
      <c r="D823" t="s">
        <v>22</v>
      </c>
      <c r="E823" t="s">
        <v>23</v>
      </c>
      <c r="F823" t="s">
        <v>190</v>
      </c>
      <c r="G823" t="s">
        <v>1911</v>
      </c>
      <c r="H823" t="str">
        <f t="shared" si="58"/>
        <v>94993</v>
      </c>
      <c r="I823" t="s">
        <v>50</v>
      </c>
    </row>
    <row r="824" spans="1:9" x14ac:dyDescent="0.3">
      <c r="A824" t="str">
        <f>"70820287"</f>
        <v>70820287</v>
      </c>
      <c r="B824" t="s">
        <v>1912</v>
      </c>
      <c r="C824" t="str">
        <f t="shared" si="57"/>
        <v>736</v>
      </c>
      <c r="D824" t="s">
        <v>22</v>
      </c>
      <c r="E824" t="s">
        <v>52</v>
      </c>
      <c r="F824" t="s">
        <v>52</v>
      </c>
      <c r="G824" t="s">
        <v>439</v>
      </c>
      <c r="H824" t="str">
        <f t="shared" si="58"/>
        <v>94993</v>
      </c>
      <c r="I824" t="s">
        <v>50</v>
      </c>
    </row>
    <row r="825" spans="1:9" x14ac:dyDescent="0.3">
      <c r="A825" t="str">
        <f>"61703630"</f>
        <v>61703630</v>
      </c>
      <c r="B825" t="s">
        <v>1913</v>
      </c>
      <c r="C825" t="str">
        <f t="shared" si="57"/>
        <v>736</v>
      </c>
      <c r="D825" t="s">
        <v>22</v>
      </c>
      <c r="E825" t="s">
        <v>52</v>
      </c>
      <c r="F825" t="s">
        <v>113</v>
      </c>
      <c r="G825" t="s">
        <v>1754</v>
      </c>
      <c r="H825" t="str">
        <f t="shared" si="58"/>
        <v>94993</v>
      </c>
      <c r="I825" t="s">
        <v>50</v>
      </c>
    </row>
    <row r="826" spans="1:9" x14ac:dyDescent="0.3">
      <c r="A826" t="str">
        <f>"67027172"</f>
        <v>67027172</v>
      </c>
      <c r="B826" t="s">
        <v>1914</v>
      </c>
      <c r="C826" t="str">
        <f t="shared" si="57"/>
        <v>736</v>
      </c>
      <c r="D826" t="s">
        <v>22</v>
      </c>
      <c r="E826" t="s">
        <v>52</v>
      </c>
      <c r="F826" t="s">
        <v>94</v>
      </c>
      <c r="G826" t="s">
        <v>1915</v>
      </c>
      <c r="H826" t="str">
        <f t="shared" si="58"/>
        <v>94993</v>
      </c>
      <c r="I826" t="s">
        <v>50</v>
      </c>
    </row>
    <row r="827" spans="1:9" x14ac:dyDescent="0.3">
      <c r="A827" t="str">
        <f>"64467236"</f>
        <v>64467236</v>
      </c>
      <c r="B827" t="s">
        <v>1916</v>
      </c>
      <c r="C827" t="str">
        <f t="shared" si="57"/>
        <v>736</v>
      </c>
      <c r="D827" t="s">
        <v>22</v>
      </c>
      <c r="E827" t="s">
        <v>23</v>
      </c>
      <c r="F827" t="s">
        <v>1917</v>
      </c>
      <c r="G827" t="s">
        <v>1918</v>
      </c>
      <c r="H827" t="str">
        <f t="shared" si="58"/>
        <v>94993</v>
      </c>
      <c r="I827" t="s">
        <v>50</v>
      </c>
    </row>
    <row r="828" spans="1:9" x14ac:dyDescent="0.3">
      <c r="A828" t="str">
        <f>"62334531"</f>
        <v>62334531</v>
      </c>
      <c r="B828" t="s">
        <v>1919</v>
      </c>
      <c r="C828" t="str">
        <f t="shared" si="57"/>
        <v>736</v>
      </c>
      <c r="D828" t="s">
        <v>22</v>
      </c>
      <c r="E828" t="s">
        <v>29</v>
      </c>
      <c r="F828" t="s">
        <v>138</v>
      </c>
      <c r="G828" t="s">
        <v>1920</v>
      </c>
      <c r="H828" t="str">
        <f t="shared" si="58"/>
        <v>94993</v>
      </c>
      <c r="I828" t="s">
        <v>50</v>
      </c>
    </row>
    <row r="829" spans="1:9" x14ac:dyDescent="0.3">
      <c r="A829" t="str">
        <f>"69604061"</f>
        <v>69604061</v>
      </c>
      <c r="B829" t="s">
        <v>1921</v>
      </c>
      <c r="C829" t="str">
        <f t="shared" si="57"/>
        <v>736</v>
      </c>
      <c r="D829" t="s">
        <v>22</v>
      </c>
      <c r="E829" t="s">
        <v>29</v>
      </c>
      <c r="F829" t="s">
        <v>1922</v>
      </c>
      <c r="G829" t="s">
        <v>1923</v>
      </c>
      <c r="H829" t="str">
        <f t="shared" si="58"/>
        <v>94993</v>
      </c>
      <c r="I829" t="s">
        <v>50</v>
      </c>
    </row>
    <row r="830" spans="1:9" x14ac:dyDescent="0.3">
      <c r="A830" t="str">
        <f>"69652058"</f>
        <v>69652058</v>
      </c>
      <c r="B830" t="s">
        <v>1924</v>
      </c>
      <c r="C830" t="str">
        <f t="shared" si="57"/>
        <v>736</v>
      </c>
      <c r="D830" t="s">
        <v>22</v>
      </c>
      <c r="E830" t="s">
        <v>23</v>
      </c>
      <c r="F830" t="s">
        <v>107</v>
      </c>
      <c r="G830" t="s">
        <v>206</v>
      </c>
      <c r="H830" t="str">
        <f t="shared" si="58"/>
        <v>94993</v>
      </c>
      <c r="I830" t="s">
        <v>50</v>
      </c>
    </row>
    <row r="831" spans="1:9" x14ac:dyDescent="0.3">
      <c r="A831" t="str">
        <f>"62335286"</f>
        <v>62335286</v>
      </c>
      <c r="B831" t="s">
        <v>1925</v>
      </c>
      <c r="C831" t="str">
        <f t="shared" si="57"/>
        <v>736</v>
      </c>
      <c r="D831" t="s">
        <v>22</v>
      </c>
      <c r="E831" t="s">
        <v>29</v>
      </c>
      <c r="F831" t="s">
        <v>1926</v>
      </c>
      <c r="G831" t="s">
        <v>1927</v>
      </c>
      <c r="H831" t="str">
        <f t="shared" si="58"/>
        <v>94993</v>
      </c>
      <c r="I831" t="s">
        <v>50</v>
      </c>
    </row>
    <row r="832" spans="1:9" x14ac:dyDescent="0.3">
      <c r="A832" t="str">
        <f>"75093456"</f>
        <v>75093456</v>
      </c>
      <c r="B832" t="s">
        <v>1928</v>
      </c>
      <c r="C832" t="str">
        <f t="shared" si="57"/>
        <v>736</v>
      </c>
      <c r="D832" t="s">
        <v>22</v>
      </c>
      <c r="E832" t="s">
        <v>29</v>
      </c>
      <c r="F832" t="s">
        <v>1266</v>
      </c>
      <c r="G832" t="s">
        <v>1929</v>
      </c>
      <c r="H832" t="str">
        <f t="shared" si="58"/>
        <v>94993</v>
      </c>
      <c r="I832" t="s">
        <v>50</v>
      </c>
    </row>
    <row r="833" spans="1:9" x14ac:dyDescent="0.3">
      <c r="A833" t="str">
        <f>"67022855"</f>
        <v>67022855</v>
      </c>
      <c r="B833" t="s">
        <v>1930</v>
      </c>
      <c r="C833" t="str">
        <f t="shared" si="57"/>
        <v>736</v>
      </c>
      <c r="D833" t="s">
        <v>22</v>
      </c>
      <c r="E833" t="s">
        <v>23</v>
      </c>
      <c r="F833" t="s">
        <v>1697</v>
      </c>
      <c r="G833" t="s">
        <v>1931</v>
      </c>
      <c r="H833" t="str">
        <f>"9499"</f>
        <v>9499</v>
      </c>
      <c r="I833" t="s">
        <v>31</v>
      </c>
    </row>
    <row r="834" spans="1:9" x14ac:dyDescent="0.3">
      <c r="A834" t="str">
        <f>"62180835"</f>
        <v>62180835</v>
      </c>
      <c r="B834" t="s">
        <v>1932</v>
      </c>
      <c r="C834" t="str">
        <f t="shared" si="57"/>
        <v>736</v>
      </c>
      <c r="D834" t="s">
        <v>22</v>
      </c>
      <c r="E834" t="s">
        <v>23</v>
      </c>
      <c r="F834" t="s">
        <v>68</v>
      </c>
      <c r="G834" t="s">
        <v>1933</v>
      </c>
      <c r="H834" t="str">
        <f t="shared" ref="H834:H844" si="59">"94993"</f>
        <v>94993</v>
      </c>
      <c r="I834" t="s">
        <v>50</v>
      </c>
    </row>
    <row r="835" spans="1:9" x14ac:dyDescent="0.3">
      <c r="A835" t="str">
        <f>"75833611"</f>
        <v>75833611</v>
      </c>
      <c r="B835" t="s">
        <v>1934</v>
      </c>
      <c r="C835" t="str">
        <f t="shared" si="57"/>
        <v>736</v>
      </c>
      <c r="D835" t="s">
        <v>22</v>
      </c>
      <c r="E835" t="s">
        <v>23</v>
      </c>
      <c r="F835" t="s">
        <v>1935</v>
      </c>
      <c r="G835" t="s">
        <v>1936</v>
      </c>
      <c r="H835" t="str">
        <f t="shared" si="59"/>
        <v>94993</v>
      </c>
      <c r="I835" t="s">
        <v>50</v>
      </c>
    </row>
    <row r="836" spans="1:9" x14ac:dyDescent="0.3">
      <c r="A836" t="str">
        <f>"72026031"</f>
        <v>72026031</v>
      </c>
      <c r="B836" t="s">
        <v>1937</v>
      </c>
      <c r="C836" t="str">
        <f t="shared" si="57"/>
        <v>736</v>
      </c>
      <c r="D836" t="s">
        <v>22</v>
      </c>
      <c r="E836" t="s">
        <v>52</v>
      </c>
      <c r="F836" t="s">
        <v>951</v>
      </c>
      <c r="G836" t="s">
        <v>1938</v>
      </c>
      <c r="H836" t="str">
        <f t="shared" si="59"/>
        <v>94993</v>
      </c>
      <c r="I836" t="s">
        <v>50</v>
      </c>
    </row>
    <row r="837" spans="1:9" x14ac:dyDescent="0.3">
      <c r="A837" t="str">
        <f>"62334301"</f>
        <v>62334301</v>
      </c>
      <c r="B837" t="s">
        <v>1939</v>
      </c>
      <c r="C837" t="str">
        <f t="shared" si="57"/>
        <v>736</v>
      </c>
      <c r="D837" t="s">
        <v>22</v>
      </c>
      <c r="E837" t="s">
        <v>29</v>
      </c>
      <c r="F837" t="s">
        <v>29</v>
      </c>
      <c r="G837" t="s">
        <v>1940</v>
      </c>
      <c r="H837" t="str">
        <f t="shared" si="59"/>
        <v>94993</v>
      </c>
      <c r="I837" t="s">
        <v>50</v>
      </c>
    </row>
    <row r="838" spans="1:9" x14ac:dyDescent="0.3">
      <c r="A838" t="str">
        <f>"72090791"</f>
        <v>72090791</v>
      </c>
      <c r="B838" t="s">
        <v>1941</v>
      </c>
      <c r="C838" t="str">
        <f t="shared" si="57"/>
        <v>736</v>
      </c>
      <c r="D838" t="s">
        <v>22</v>
      </c>
      <c r="E838" t="s">
        <v>29</v>
      </c>
      <c r="F838" t="s">
        <v>544</v>
      </c>
      <c r="G838" t="s">
        <v>1219</v>
      </c>
      <c r="H838" t="str">
        <f t="shared" si="59"/>
        <v>94993</v>
      </c>
      <c r="I838" t="s">
        <v>50</v>
      </c>
    </row>
    <row r="839" spans="1:9" x14ac:dyDescent="0.3">
      <c r="A839" t="str">
        <f>"60383143"</f>
        <v>60383143</v>
      </c>
      <c r="B839" t="s">
        <v>1942</v>
      </c>
      <c r="C839" t="str">
        <f t="shared" si="57"/>
        <v>736</v>
      </c>
      <c r="D839" t="s">
        <v>22</v>
      </c>
      <c r="E839" t="s">
        <v>83</v>
      </c>
      <c r="F839" t="s">
        <v>944</v>
      </c>
      <c r="G839" t="s">
        <v>1943</v>
      </c>
      <c r="H839" t="str">
        <f t="shared" si="59"/>
        <v>94993</v>
      </c>
      <c r="I839" t="s">
        <v>50</v>
      </c>
    </row>
    <row r="840" spans="1:9" x14ac:dyDescent="0.3">
      <c r="A840" t="str">
        <f>"46311637"</f>
        <v>46311637</v>
      </c>
      <c r="B840" t="s">
        <v>1944</v>
      </c>
      <c r="C840" t="str">
        <f t="shared" si="57"/>
        <v>736</v>
      </c>
      <c r="D840" t="s">
        <v>22</v>
      </c>
      <c r="E840" t="s">
        <v>23</v>
      </c>
      <c r="F840" t="s">
        <v>1581</v>
      </c>
      <c r="G840" t="s">
        <v>1945</v>
      </c>
      <c r="H840" t="str">
        <f t="shared" si="59"/>
        <v>94993</v>
      </c>
      <c r="I840" t="s">
        <v>50</v>
      </c>
    </row>
    <row r="841" spans="1:9" x14ac:dyDescent="0.3">
      <c r="A841" t="str">
        <f>"70807728"</f>
        <v>70807728</v>
      </c>
      <c r="B841" t="s">
        <v>1946</v>
      </c>
      <c r="C841" t="str">
        <f t="shared" si="57"/>
        <v>736</v>
      </c>
      <c r="D841" t="s">
        <v>22</v>
      </c>
      <c r="E841" t="s">
        <v>23</v>
      </c>
      <c r="F841" t="s">
        <v>23</v>
      </c>
      <c r="G841" t="s">
        <v>1947</v>
      </c>
      <c r="H841" t="str">
        <f t="shared" si="59"/>
        <v>94993</v>
      </c>
      <c r="I841" t="s">
        <v>50</v>
      </c>
    </row>
    <row r="842" spans="1:9" x14ac:dyDescent="0.3">
      <c r="A842" t="str">
        <f>"62334786"</f>
        <v>62334786</v>
      </c>
      <c r="B842" t="s">
        <v>1948</v>
      </c>
      <c r="C842" t="str">
        <f t="shared" si="57"/>
        <v>736</v>
      </c>
      <c r="D842" t="s">
        <v>22</v>
      </c>
      <c r="E842" t="s">
        <v>29</v>
      </c>
      <c r="F842" t="s">
        <v>45</v>
      </c>
      <c r="G842" t="s">
        <v>1949</v>
      </c>
      <c r="H842" t="str">
        <f t="shared" si="59"/>
        <v>94993</v>
      </c>
      <c r="I842" t="s">
        <v>50</v>
      </c>
    </row>
    <row r="843" spans="1:9" x14ac:dyDescent="0.3">
      <c r="A843" t="str">
        <f>"22712518"</f>
        <v>22712518</v>
      </c>
      <c r="B843" t="s">
        <v>1950</v>
      </c>
      <c r="C843" t="str">
        <f t="shared" si="57"/>
        <v>736</v>
      </c>
      <c r="D843" t="s">
        <v>22</v>
      </c>
      <c r="E843" t="s">
        <v>52</v>
      </c>
      <c r="F843" t="s">
        <v>113</v>
      </c>
      <c r="G843" t="s">
        <v>1951</v>
      </c>
      <c r="H843" t="str">
        <f t="shared" si="59"/>
        <v>94993</v>
      </c>
      <c r="I843" t="s">
        <v>50</v>
      </c>
    </row>
    <row r="844" spans="1:9" x14ac:dyDescent="0.3">
      <c r="A844" t="str">
        <f>"75108551"</f>
        <v>75108551</v>
      </c>
      <c r="B844" t="s">
        <v>1952</v>
      </c>
      <c r="C844" t="str">
        <f t="shared" si="57"/>
        <v>736</v>
      </c>
      <c r="D844" t="s">
        <v>22</v>
      </c>
      <c r="E844" t="s">
        <v>23</v>
      </c>
      <c r="F844" t="s">
        <v>1953</v>
      </c>
      <c r="G844" t="s">
        <v>1954</v>
      </c>
      <c r="H844" t="str">
        <f t="shared" si="59"/>
        <v>94993</v>
      </c>
      <c r="I844" t="s">
        <v>50</v>
      </c>
    </row>
    <row r="845" spans="1:9" x14ac:dyDescent="0.3">
      <c r="A845" t="str">
        <f>"22895051"</f>
        <v>22895051</v>
      </c>
      <c r="B845" t="s">
        <v>1957</v>
      </c>
      <c r="C845" t="str">
        <f t="shared" ref="C845:C849" si="60">"706"</f>
        <v>706</v>
      </c>
      <c r="D845" t="s">
        <v>28</v>
      </c>
      <c r="E845" t="s">
        <v>83</v>
      </c>
      <c r="F845" t="s">
        <v>1958</v>
      </c>
      <c r="G845" t="s">
        <v>1959</v>
      </c>
      <c r="H845" t="str">
        <f>"94995"</f>
        <v>94995</v>
      </c>
      <c r="I845" t="s">
        <v>232</v>
      </c>
    </row>
    <row r="846" spans="1:9" x14ac:dyDescent="0.3">
      <c r="A846" t="str">
        <f>"01905627"</f>
        <v>01905627</v>
      </c>
      <c r="B846" t="s">
        <v>1960</v>
      </c>
      <c r="C846" t="str">
        <f t="shared" si="60"/>
        <v>706</v>
      </c>
      <c r="D846" t="s">
        <v>28</v>
      </c>
      <c r="E846" t="s">
        <v>23</v>
      </c>
      <c r="F846" t="s">
        <v>23</v>
      </c>
      <c r="G846" t="s">
        <v>1961</v>
      </c>
      <c r="H846" t="str">
        <f>"9499"</f>
        <v>9499</v>
      </c>
      <c r="I846" t="s">
        <v>31</v>
      </c>
    </row>
    <row r="847" spans="1:9" x14ac:dyDescent="0.3">
      <c r="A847" t="str">
        <f>"22892761"</f>
        <v>22892761</v>
      </c>
      <c r="B847" t="s">
        <v>1962</v>
      </c>
      <c r="C847" t="str">
        <f t="shared" si="60"/>
        <v>706</v>
      </c>
      <c r="D847" t="s">
        <v>28</v>
      </c>
      <c r="E847" t="s">
        <v>29</v>
      </c>
      <c r="F847" t="s">
        <v>38</v>
      </c>
      <c r="G847" t="s">
        <v>1963</v>
      </c>
      <c r="H847" t="str">
        <f>"9499"</f>
        <v>9499</v>
      </c>
      <c r="I847" t="s">
        <v>31</v>
      </c>
    </row>
    <row r="848" spans="1:9" x14ac:dyDescent="0.3">
      <c r="A848" t="str">
        <f>"62182901"</f>
        <v>62182901</v>
      </c>
      <c r="B848" t="s">
        <v>1964</v>
      </c>
      <c r="C848" t="str">
        <f t="shared" si="60"/>
        <v>706</v>
      </c>
      <c r="D848" t="s">
        <v>28</v>
      </c>
      <c r="E848" t="s">
        <v>23</v>
      </c>
      <c r="F848" t="s">
        <v>23</v>
      </c>
      <c r="G848" t="s">
        <v>1965</v>
      </c>
      <c r="H848" t="str">
        <f>"9499"</f>
        <v>9499</v>
      </c>
      <c r="I848" t="s">
        <v>31</v>
      </c>
    </row>
    <row r="849" spans="1:11" x14ac:dyDescent="0.3">
      <c r="A849" t="str">
        <f>"17578001"</f>
        <v>17578001</v>
      </c>
      <c r="B849" t="s">
        <v>1966</v>
      </c>
      <c r="C849" t="str">
        <f t="shared" si="60"/>
        <v>706</v>
      </c>
      <c r="D849" t="s">
        <v>28</v>
      </c>
      <c r="E849" t="s">
        <v>29</v>
      </c>
      <c r="F849" t="s">
        <v>681</v>
      </c>
      <c r="G849" t="s">
        <v>1967</v>
      </c>
      <c r="H849" t="str">
        <f>"94993"</f>
        <v>94993</v>
      </c>
      <c r="I849" t="s">
        <v>50</v>
      </c>
    </row>
    <row r="850" spans="1:11" x14ac:dyDescent="0.3">
      <c r="A850" t="str">
        <f>"60370033"</f>
        <v>60370033</v>
      </c>
      <c r="B850" t="s">
        <v>1968</v>
      </c>
      <c r="C850" t="str">
        <f t="shared" ref="C850:C864" si="61">"736"</f>
        <v>736</v>
      </c>
      <c r="D850" t="s">
        <v>22</v>
      </c>
      <c r="E850" t="s">
        <v>52</v>
      </c>
      <c r="F850" t="s">
        <v>631</v>
      </c>
      <c r="G850" t="s">
        <v>1969</v>
      </c>
      <c r="H850" t="str">
        <f>"9319"</f>
        <v>9319</v>
      </c>
      <c r="I850" t="s">
        <v>59</v>
      </c>
    </row>
    <row r="851" spans="1:11" x14ac:dyDescent="0.3">
      <c r="A851" t="str">
        <f>"62831674"</f>
        <v>62831674</v>
      </c>
      <c r="B851" t="s">
        <v>1970</v>
      </c>
      <c r="C851" t="str">
        <f t="shared" si="61"/>
        <v>736</v>
      </c>
      <c r="D851" t="s">
        <v>22</v>
      </c>
      <c r="E851" t="s">
        <v>52</v>
      </c>
      <c r="F851" t="s">
        <v>344</v>
      </c>
      <c r="G851" t="s">
        <v>1971</v>
      </c>
      <c r="H851" t="str">
        <f>"94993"</f>
        <v>94993</v>
      </c>
      <c r="I851" t="s">
        <v>50</v>
      </c>
    </row>
    <row r="852" spans="1:11" x14ac:dyDescent="0.3">
      <c r="A852" t="str">
        <f>"22888837"</f>
        <v>22888837</v>
      </c>
      <c r="B852" t="s">
        <v>1972</v>
      </c>
      <c r="C852" t="str">
        <f t="shared" si="61"/>
        <v>736</v>
      </c>
      <c r="D852" t="s">
        <v>22</v>
      </c>
      <c r="E852" t="s">
        <v>52</v>
      </c>
      <c r="F852" t="s">
        <v>1973</v>
      </c>
      <c r="G852" t="s">
        <v>1974</v>
      </c>
      <c r="H852" t="str">
        <f>"93110"</f>
        <v>93110</v>
      </c>
      <c r="I852" t="s">
        <v>92</v>
      </c>
    </row>
    <row r="853" spans="1:11" x14ac:dyDescent="0.3">
      <c r="A853" t="str">
        <f>"63458624"</f>
        <v>63458624</v>
      </c>
      <c r="B853" t="s">
        <v>1975</v>
      </c>
      <c r="C853" t="str">
        <f t="shared" si="61"/>
        <v>736</v>
      </c>
      <c r="D853" t="s">
        <v>22</v>
      </c>
      <c r="E853" t="s">
        <v>83</v>
      </c>
      <c r="F853" t="s">
        <v>480</v>
      </c>
      <c r="G853" t="s">
        <v>1976</v>
      </c>
      <c r="H853" t="str">
        <f>"93190"</f>
        <v>93190</v>
      </c>
      <c r="I853" t="s">
        <v>59</v>
      </c>
    </row>
    <row r="854" spans="1:11" x14ac:dyDescent="0.3">
      <c r="A854" t="str">
        <f>"70930601"</f>
        <v>70930601</v>
      </c>
      <c r="B854" t="s">
        <v>1977</v>
      </c>
      <c r="C854" t="str">
        <f t="shared" si="61"/>
        <v>736</v>
      </c>
      <c r="D854" t="s">
        <v>22</v>
      </c>
      <c r="E854" t="s">
        <v>83</v>
      </c>
      <c r="F854" t="s">
        <v>217</v>
      </c>
      <c r="G854" t="s">
        <v>1978</v>
      </c>
      <c r="H854" t="str">
        <f>"93120"</f>
        <v>93120</v>
      </c>
      <c r="I854" t="s">
        <v>54</v>
      </c>
    </row>
    <row r="855" spans="1:11" x14ac:dyDescent="0.3">
      <c r="A855" t="str">
        <f>"70933731"</f>
        <v>70933731</v>
      </c>
      <c r="B855" t="s">
        <v>1980</v>
      </c>
      <c r="C855" t="str">
        <f t="shared" si="61"/>
        <v>736</v>
      </c>
      <c r="D855" t="s">
        <v>22</v>
      </c>
      <c r="E855" t="s">
        <v>29</v>
      </c>
      <c r="F855" t="s">
        <v>195</v>
      </c>
      <c r="G855" t="s">
        <v>1981</v>
      </c>
      <c r="H855" t="str">
        <f>"93120"</f>
        <v>93120</v>
      </c>
      <c r="I855" t="s">
        <v>54</v>
      </c>
    </row>
    <row r="856" spans="1:11" x14ac:dyDescent="0.3">
      <c r="A856" t="str">
        <f>"47997630"</f>
        <v>47997630</v>
      </c>
      <c r="B856" t="s">
        <v>1982</v>
      </c>
      <c r="C856" t="str">
        <f t="shared" si="61"/>
        <v>736</v>
      </c>
      <c r="D856" t="s">
        <v>22</v>
      </c>
      <c r="E856" t="s">
        <v>29</v>
      </c>
      <c r="F856" t="s">
        <v>45</v>
      </c>
      <c r="G856" t="s">
        <v>1983</v>
      </c>
      <c r="H856" t="str">
        <f>"93120"</f>
        <v>93120</v>
      </c>
      <c r="I856" t="s">
        <v>54</v>
      </c>
    </row>
    <row r="857" spans="1:11" x14ac:dyDescent="0.3">
      <c r="A857" t="str">
        <f>"60369639"</f>
        <v>60369639</v>
      </c>
      <c r="B857" t="s">
        <v>1984</v>
      </c>
      <c r="C857" t="str">
        <f t="shared" si="61"/>
        <v>736</v>
      </c>
      <c r="D857" t="s">
        <v>22</v>
      </c>
      <c r="E857" t="s">
        <v>52</v>
      </c>
      <c r="F857" t="s">
        <v>94</v>
      </c>
      <c r="G857" t="s">
        <v>1985</v>
      </c>
      <c r="H857" t="str">
        <f>"93110"</f>
        <v>93110</v>
      </c>
      <c r="I857" t="s">
        <v>92</v>
      </c>
    </row>
    <row r="858" spans="1:11" x14ac:dyDescent="0.3">
      <c r="A858" t="str">
        <f>"22897712"</f>
        <v>22897712</v>
      </c>
      <c r="B858" t="s">
        <v>1986</v>
      </c>
      <c r="C858" t="str">
        <f t="shared" si="61"/>
        <v>736</v>
      </c>
      <c r="D858" t="s">
        <v>22</v>
      </c>
      <c r="E858" t="s">
        <v>23</v>
      </c>
      <c r="F858" t="s">
        <v>107</v>
      </c>
      <c r="G858" t="s">
        <v>1987</v>
      </c>
      <c r="H858" t="str">
        <f>"9319"</f>
        <v>9319</v>
      </c>
      <c r="I858" t="s">
        <v>59</v>
      </c>
    </row>
    <row r="859" spans="1:11" x14ac:dyDescent="0.3">
      <c r="A859" t="str">
        <f>"48472531"</f>
        <v>48472531</v>
      </c>
      <c r="B859" t="s">
        <v>1988</v>
      </c>
      <c r="C859" t="str">
        <f t="shared" si="61"/>
        <v>736</v>
      </c>
      <c r="D859" t="s">
        <v>22</v>
      </c>
      <c r="E859" t="s">
        <v>23</v>
      </c>
      <c r="F859" t="s">
        <v>23</v>
      </c>
      <c r="G859" t="s">
        <v>1989</v>
      </c>
      <c r="H859" t="str">
        <f>"93190"</f>
        <v>93190</v>
      </c>
      <c r="I859" t="s">
        <v>59</v>
      </c>
    </row>
    <row r="860" spans="1:11" x14ac:dyDescent="0.3">
      <c r="A860" t="str">
        <f>"70874646"</f>
        <v>70874646</v>
      </c>
      <c r="B860" t="s">
        <v>1990</v>
      </c>
      <c r="C860" t="str">
        <f t="shared" si="61"/>
        <v>736</v>
      </c>
      <c r="D860" t="s">
        <v>22</v>
      </c>
      <c r="E860" t="s">
        <v>23</v>
      </c>
      <c r="F860" t="s">
        <v>190</v>
      </c>
      <c r="G860" t="s">
        <v>1991</v>
      </c>
      <c r="H860" t="str">
        <f>"93110"</f>
        <v>93110</v>
      </c>
      <c r="I860" t="s">
        <v>92</v>
      </c>
    </row>
    <row r="861" spans="1:11" x14ac:dyDescent="0.3">
      <c r="A861" t="str">
        <f>"48739260"</f>
        <v>48739260</v>
      </c>
      <c r="B861" t="s">
        <v>1992</v>
      </c>
      <c r="C861" t="str">
        <f t="shared" si="61"/>
        <v>736</v>
      </c>
      <c r="D861" t="s">
        <v>22</v>
      </c>
      <c r="E861" t="s">
        <v>29</v>
      </c>
      <c r="F861" t="s">
        <v>135</v>
      </c>
      <c r="G861" t="s">
        <v>1993</v>
      </c>
      <c r="H861" t="str">
        <f>"93120"</f>
        <v>93120</v>
      </c>
      <c r="I861" t="s">
        <v>54</v>
      </c>
    </row>
    <row r="862" spans="1:11" x14ac:dyDescent="0.3">
      <c r="A862" t="str">
        <f>"62334816"</f>
        <v>62334816</v>
      </c>
      <c r="B862" t="s">
        <v>1994</v>
      </c>
      <c r="C862" t="str">
        <f t="shared" si="61"/>
        <v>736</v>
      </c>
      <c r="D862" t="s">
        <v>22</v>
      </c>
      <c r="E862" t="s">
        <v>29</v>
      </c>
      <c r="F862" t="s">
        <v>271</v>
      </c>
      <c r="G862" t="s">
        <v>1660</v>
      </c>
      <c r="H862" t="str">
        <f>"9319"</f>
        <v>9319</v>
      </c>
      <c r="I862" t="s">
        <v>59</v>
      </c>
      <c r="J862" t="s">
        <v>26</v>
      </c>
      <c r="K862" t="s">
        <v>126</v>
      </c>
    </row>
    <row r="863" spans="1:11" x14ac:dyDescent="0.3">
      <c r="A863" t="str">
        <f>"61703729"</f>
        <v>61703729</v>
      </c>
      <c r="B863" t="s">
        <v>1995</v>
      </c>
      <c r="C863" t="str">
        <f t="shared" si="61"/>
        <v>736</v>
      </c>
      <c r="D863" t="s">
        <v>22</v>
      </c>
      <c r="E863" t="s">
        <v>52</v>
      </c>
      <c r="F863" t="s">
        <v>113</v>
      </c>
      <c r="G863" t="s">
        <v>1996</v>
      </c>
      <c r="H863" t="str">
        <f>"93120"</f>
        <v>93120</v>
      </c>
      <c r="I863" t="s">
        <v>54</v>
      </c>
    </row>
    <row r="864" spans="1:11" x14ac:dyDescent="0.3">
      <c r="A864" t="str">
        <f>"70925381"</f>
        <v>70925381</v>
      </c>
      <c r="B864" t="s">
        <v>1997</v>
      </c>
      <c r="C864" t="str">
        <f t="shared" si="61"/>
        <v>736</v>
      </c>
      <c r="D864" t="s">
        <v>22</v>
      </c>
      <c r="E864" t="s">
        <v>52</v>
      </c>
      <c r="F864" t="s">
        <v>514</v>
      </c>
      <c r="G864" t="s">
        <v>1979</v>
      </c>
      <c r="H864" t="str">
        <f>"931"</f>
        <v>931</v>
      </c>
      <c r="I864" t="s">
        <v>26</v>
      </c>
    </row>
    <row r="865" spans="1:9" x14ac:dyDescent="0.3">
      <c r="A865" t="str">
        <f>"27057470"</f>
        <v>27057470</v>
      </c>
      <c r="B865" t="s">
        <v>1998</v>
      </c>
      <c r="C865" t="str">
        <f t="shared" ref="C865:C896" si="62">"706"</f>
        <v>706</v>
      </c>
      <c r="D865" t="s">
        <v>28</v>
      </c>
      <c r="E865" t="s">
        <v>29</v>
      </c>
      <c r="F865" t="s">
        <v>29</v>
      </c>
      <c r="G865" t="s">
        <v>1999</v>
      </c>
      <c r="H865" t="str">
        <f>"9499"</f>
        <v>9499</v>
      </c>
      <c r="I865" t="s">
        <v>31</v>
      </c>
    </row>
    <row r="866" spans="1:9" x14ac:dyDescent="0.3">
      <c r="A866" t="str">
        <f>"04081790"</f>
        <v>04081790</v>
      </c>
      <c r="B866" t="s">
        <v>2000</v>
      </c>
      <c r="C866" t="str">
        <f t="shared" si="62"/>
        <v>706</v>
      </c>
      <c r="D866" t="s">
        <v>28</v>
      </c>
      <c r="E866" t="s">
        <v>23</v>
      </c>
      <c r="F866" t="s">
        <v>23</v>
      </c>
      <c r="G866" t="s">
        <v>2001</v>
      </c>
      <c r="H866" t="str">
        <f>"9499"</f>
        <v>9499</v>
      </c>
      <c r="I866" t="s">
        <v>31</v>
      </c>
    </row>
    <row r="867" spans="1:9" x14ac:dyDescent="0.3">
      <c r="A867" t="str">
        <f>"45659125"</f>
        <v>45659125</v>
      </c>
      <c r="B867" t="s">
        <v>2002</v>
      </c>
      <c r="C867" t="str">
        <f t="shared" si="62"/>
        <v>706</v>
      </c>
      <c r="D867" t="s">
        <v>28</v>
      </c>
      <c r="E867" t="s">
        <v>23</v>
      </c>
      <c r="F867" t="s">
        <v>23</v>
      </c>
      <c r="G867" t="s">
        <v>2003</v>
      </c>
      <c r="H867" t="str">
        <f>"9499"</f>
        <v>9499</v>
      </c>
      <c r="I867" t="s">
        <v>31</v>
      </c>
    </row>
    <row r="868" spans="1:9" x14ac:dyDescent="0.3">
      <c r="A868" t="str">
        <f>"22840303"</f>
        <v>22840303</v>
      </c>
      <c r="B868" t="s">
        <v>2004</v>
      </c>
      <c r="C868" t="str">
        <f t="shared" si="62"/>
        <v>706</v>
      </c>
      <c r="D868" t="s">
        <v>28</v>
      </c>
      <c r="E868" t="s">
        <v>52</v>
      </c>
      <c r="F868" t="s">
        <v>234</v>
      </c>
      <c r="G868" t="s">
        <v>2005</v>
      </c>
      <c r="H868" t="str">
        <f>"93120"</f>
        <v>93120</v>
      </c>
      <c r="I868" t="s">
        <v>54</v>
      </c>
    </row>
    <row r="869" spans="1:9" x14ac:dyDescent="0.3">
      <c r="A869" t="str">
        <f>"22839739"</f>
        <v>22839739</v>
      </c>
      <c r="B869" t="s">
        <v>2006</v>
      </c>
      <c r="C869" t="str">
        <f t="shared" si="62"/>
        <v>706</v>
      </c>
      <c r="D869" t="s">
        <v>28</v>
      </c>
      <c r="E869" t="s">
        <v>52</v>
      </c>
      <c r="F869" t="s">
        <v>52</v>
      </c>
      <c r="G869" t="s">
        <v>2007</v>
      </c>
      <c r="H869" t="str">
        <f>"93120"</f>
        <v>93120</v>
      </c>
      <c r="I869" t="s">
        <v>54</v>
      </c>
    </row>
    <row r="870" spans="1:9" x14ac:dyDescent="0.3">
      <c r="A870" t="str">
        <f>"08531510"</f>
        <v>08531510</v>
      </c>
      <c r="B870" t="s">
        <v>2008</v>
      </c>
      <c r="C870" t="str">
        <f t="shared" si="62"/>
        <v>706</v>
      </c>
      <c r="D870" t="s">
        <v>28</v>
      </c>
      <c r="E870" t="s">
        <v>52</v>
      </c>
      <c r="F870" t="s">
        <v>1625</v>
      </c>
      <c r="G870" t="s">
        <v>2009</v>
      </c>
      <c r="H870" t="str">
        <f>"9499"</f>
        <v>9499</v>
      </c>
      <c r="I870" t="s">
        <v>31</v>
      </c>
    </row>
    <row r="871" spans="1:9" x14ac:dyDescent="0.3">
      <c r="A871" t="str">
        <f>"26645017"</f>
        <v>26645017</v>
      </c>
      <c r="B871" t="s">
        <v>2010</v>
      </c>
      <c r="C871" t="str">
        <f t="shared" si="62"/>
        <v>706</v>
      </c>
      <c r="D871" t="s">
        <v>28</v>
      </c>
      <c r="E871" t="s">
        <v>83</v>
      </c>
      <c r="F871" t="s">
        <v>183</v>
      </c>
      <c r="G871" t="s">
        <v>2011</v>
      </c>
      <c r="H871" t="str">
        <f>"9499"</f>
        <v>9499</v>
      </c>
      <c r="I871" t="s">
        <v>31</v>
      </c>
    </row>
    <row r="872" spans="1:9" x14ac:dyDescent="0.3">
      <c r="A872" t="str">
        <f>"01805045"</f>
        <v>01805045</v>
      </c>
      <c r="B872" t="s">
        <v>2012</v>
      </c>
      <c r="C872" t="str">
        <f t="shared" si="62"/>
        <v>706</v>
      </c>
      <c r="D872" t="s">
        <v>28</v>
      </c>
      <c r="E872" t="s">
        <v>29</v>
      </c>
      <c r="F872" t="s">
        <v>775</v>
      </c>
      <c r="G872" t="s">
        <v>2013</v>
      </c>
      <c r="H872" t="str">
        <f>"90010"</f>
        <v>90010</v>
      </c>
      <c r="I872" t="s">
        <v>2014</v>
      </c>
    </row>
    <row r="873" spans="1:9" x14ac:dyDescent="0.3">
      <c r="A873" t="str">
        <f>"22762019"</f>
        <v>22762019</v>
      </c>
      <c r="B873" t="s">
        <v>2015</v>
      </c>
      <c r="C873" t="str">
        <f t="shared" si="62"/>
        <v>706</v>
      </c>
      <c r="D873" t="s">
        <v>28</v>
      </c>
      <c r="E873" t="s">
        <v>23</v>
      </c>
      <c r="F873" t="s">
        <v>23</v>
      </c>
      <c r="G873" t="s">
        <v>2016</v>
      </c>
      <c r="H873" t="str">
        <f>"90010"</f>
        <v>90010</v>
      </c>
      <c r="I873" t="s">
        <v>2014</v>
      </c>
    </row>
    <row r="874" spans="1:9" x14ac:dyDescent="0.3">
      <c r="A874" t="str">
        <f>"04108311"</f>
        <v>04108311</v>
      </c>
      <c r="B874" t="s">
        <v>2017</v>
      </c>
      <c r="C874" t="str">
        <f t="shared" si="62"/>
        <v>706</v>
      </c>
      <c r="D874" t="s">
        <v>28</v>
      </c>
      <c r="E874" t="s">
        <v>23</v>
      </c>
      <c r="F874" t="s">
        <v>24</v>
      </c>
      <c r="G874" t="s">
        <v>2018</v>
      </c>
      <c r="H874" t="str">
        <f>"9499"</f>
        <v>9499</v>
      </c>
      <c r="I874" t="s">
        <v>31</v>
      </c>
    </row>
    <row r="875" spans="1:9" x14ac:dyDescent="0.3">
      <c r="A875" t="str">
        <f>"22681922"</f>
        <v>22681922</v>
      </c>
      <c r="B875" t="s">
        <v>2019</v>
      </c>
      <c r="C875" t="str">
        <f t="shared" si="62"/>
        <v>706</v>
      </c>
      <c r="D875" t="s">
        <v>28</v>
      </c>
      <c r="E875" t="s">
        <v>29</v>
      </c>
      <c r="F875" t="s">
        <v>29</v>
      </c>
      <c r="G875" t="s">
        <v>2020</v>
      </c>
      <c r="H875" t="str">
        <f>"9499"</f>
        <v>9499</v>
      </c>
      <c r="I875" t="s">
        <v>31</v>
      </c>
    </row>
    <row r="876" spans="1:9" x14ac:dyDescent="0.3">
      <c r="A876" t="str">
        <f>"22693785"</f>
        <v>22693785</v>
      </c>
      <c r="B876" t="s">
        <v>2021</v>
      </c>
      <c r="C876" t="str">
        <f t="shared" si="62"/>
        <v>706</v>
      </c>
      <c r="D876" t="s">
        <v>28</v>
      </c>
      <c r="E876" t="s">
        <v>29</v>
      </c>
      <c r="F876" t="s">
        <v>29</v>
      </c>
      <c r="G876" t="s">
        <v>2022</v>
      </c>
      <c r="H876" t="str">
        <f>"9499"</f>
        <v>9499</v>
      </c>
      <c r="I876" t="s">
        <v>31</v>
      </c>
    </row>
    <row r="877" spans="1:9" x14ac:dyDescent="0.3">
      <c r="A877" t="str">
        <f>"67006850"</f>
        <v>67006850</v>
      </c>
      <c r="B877" t="s">
        <v>2023</v>
      </c>
      <c r="C877" t="str">
        <f t="shared" si="62"/>
        <v>706</v>
      </c>
      <c r="D877" t="s">
        <v>28</v>
      </c>
      <c r="E877" t="s">
        <v>83</v>
      </c>
      <c r="F877" t="s">
        <v>480</v>
      </c>
      <c r="G877" t="s">
        <v>2024</v>
      </c>
      <c r="H877" t="str">
        <f>"931"</f>
        <v>931</v>
      </c>
      <c r="I877" t="s">
        <v>26</v>
      </c>
    </row>
    <row r="878" spans="1:9" x14ac:dyDescent="0.3">
      <c r="A878" t="str">
        <f>"65828216"</f>
        <v>65828216</v>
      </c>
      <c r="B878" t="s">
        <v>2025</v>
      </c>
      <c r="C878" t="str">
        <f t="shared" si="62"/>
        <v>706</v>
      </c>
      <c r="D878" t="s">
        <v>28</v>
      </c>
      <c r="E878" t="s">
        <v>83</v>
      </c>
      <c r="F878" t="s">
        <v>83</v>
      </c>
      <c r="G878" t="s">
        <v>2026</v>
      </c>
      <c r="H878" t="str">
        <f>"931"</f>
        <v>931</v>
      </c>
      <c r="I878" t="s">
        <v>26</v>
      </c>
    </row>
    <row r="879" spans="1:9" x14ac:dyDescent="0.3">
      <c r="A879" t="str">
        <f>"65270088"</f>
        <v>65270088</v>
      </c>
      <c r="B879" t="s">
        <v>2027</v>
      </c>
      <c r="C879" t="str">
        <f t="shared" si="62"/>
        <v>706</v>
      </c>
      <c r="D879" t="s">
        <v>28</v>
      </c>
      <c r="E879" t="s">
        <v>83</v>
      </c>
      <c r="F879" t="s">
        <v>83</v>
      </c>
      <c r="G879" t="s">
        <v>2028</v>
      </c>
      <c r="H879" t="str">
        <f>"931"</f>
        <v>931</v>
      </c>
      <c r="I879" t="s">
        <v>26</v>
      </c>
    </row>
    <row r="880" spans="1:9" x14ac:dyDescent="0.3">
      <c r="A880" t="str">
        <f>"69211442"</f>
        <v>69211442</v>
      </c>
      <c r="B880" t="s">
        <v>2029</v>
      </c>
      <c r="C880" t="str">
        <f t="shared" si="62"/>
        <v>706</v>
      </c>
      <c r="D880" t="s">
        <v>28</v>
      </c>
      <c r="E880" t="s">
        <v>29</v>
      </c>
      <c r="F880" t="s">
        <v>775</v>
      </c>
      <c r="G880" t="s">
        <v>2030</v>
      </c>
      <c r="H880" t="str">
        <f>"931"</f>
        <v>931</v>
      </c>
      <c r="I880" t="s">
        <v>26</v>
      </c>
    </row>
    <row r="881" spans="1:10" x14ac:dyDescent="0.3">
      <c r="A881" t="str">
        <f>"67028594"</f>
        <v>67028594</v>
      </c>
      <c r="B881" t="s">
        <v>2031</v>
      </c>
      <c r="C881" t="str">
        <f t="shared" si="62"/>
        <v>706</v>
      </c>
      <c r="D881" t="s">
        <v>28</v>
      </c>
      <c r="E881" t="s">
        <v>83</v>
      </c>
      <c r="F881" t="s">
        <v>1691</v>
      </c>
      <c r="G881" t="s">
        <v>2032</v>
      </c>
      <c r="H881" t="str">
        <f>"93120"</f>
        <v>93120</v>
      </c>
      <c r="I881" t="s">
        <v>54</v>
      </c>
    </row>
    <row r="882" spans="1:10" x14ac:dyDescent="0.3">
      <c r="A882" t="str">
        <f>"02853116"</f>
        <v>02853116</v>
      </c>
      <c r="B882" t="s">
        <v>2033</v>
      </c>
      <c r="C882" t="str">
        <f t="shared" si="62"/>
        <v>706</v>
      </c>
      <c r="D882" t="s">
        <v>28</v>
      </c>
      <c r="E882" t="s">
        <v>23</v>
      </c>
      <c r="F882" t="s">
        <v>245</v>
      </c>
      <c r="G882" t="s">
        <v>2034</v>
      </c>
      <c r="H882" t="str">
        <f>"94996"</f>
        <v>94996</v>
      </c>
      <c r="I882" t="s">
        <v>47</v>
      </c>
      <c r="J882" t="s">
        <v>59</v>
      </c>
    </row>
    <row r="883" spans="1:10" x14ac:dyDescent="0.3">
      <c r="A883" t="str">
        <f>"70896321"</f>
        <v>70896321</v>
      </c>
      <c r="B883" t="s">
        <v>2035</v>
      </c>
      <c r="C883" t="str">
        <f t="shared" si="62"/>
        <v>706</v>
      </c>
      <c r="D883" t="s">
        <v>28</v>
      </c>
      <c r="E883" t="s">
        <v>23</v>
      </c>
      <c r="F883" t="s">
        <v>107</v>
      </c>
      <c r="G883" t="s">
        <v>2036</v>
      </c>
      <c r="H883" t="str">
        <f t="shared" ref="H883:H894" si="63">"9499"</f>
        <v>9499</v>
      </c>
      <c r="I883" t="s">
        <v>31</v>
      </c>
    </row>
    <row r="884" spans="1:10" x14ac:dyDescent="0.3">
      <c r="A884" t="str">
        <f>"08700907"</f>
        <v>08700907</v>
      </c>
      <c r="B884" t="s">
        <v>2037</v>
      </c>
      <c r="C884" t="str">
        <f t="shared" si="62"/>
        <v>706</v>
      </c>
      <c r="D884" t="s">
        <v>28</v>
      </c>
      <c r="E884" t="s">
        <v>52</v>
      </c>
      <c r="F884" t="s">
        <v>2038</v>
      </c>
      <c r="G884" t="s">
        <v>2039</v>
      </c>
      <c r="H884" t="str">
        <f t="shared" si="63"/>
        <v>9499</v>
      </c>
      <c r="I884" t="s">
        <v>31</v>
      </c>
    </row>
    <row r="885" spans="1:10" x14ac:dyDescent="0.3">
      <c r="A885" t="str">
        <f>"65370007"</f>
        <v>65370007</v>
      </c>
      <c r="B885" t="s">
        <v>2040</v>
      </c>
      <c r="C885" t="str">
        <f t="shared" si="62"/>
        <v>706</v>
      </c>
      <c r="D885" t="s">
        <v>28</v>
      </c>
      <c r="E885" t="s">
        <v>23</v>
      </c>
      <c r="F885" t="s">
        <v>1885</v>
      </c>
      <c r="G885" t="s">
        <v>2041</v>
      </c>
      <c r="H885" t="str">
        <f t="shared" si="63"/>
        <v>9499</v>
      </c>
      <c r="I885" t="s">
        <v>31</v>
      </c>
    </row>
    <row r="886" spans="1:10" x14ac:dyDescent="0.3">
      <c r="A886" t="str">
        <f>"09050710"</f>
        <v>09050710</v>
      </c>
      <c r="B886" t="s">
        <v>2042</v>
      </c>
      <c r="C886" t="str">
        <f t="shared" si="62"/>
        <v>706</v>
      </c>
      <c r="D886" t="s">
        <v>28</v>
      </c>
      <c r="E886" t="s">
        <v>52</v>
      </c>
      <c r="F886" t="s">
        <v>514</v>
      </c>
      <c r="G886" t="s">
        <v>1674</v>
      </c>
      <c r="H886" t="str">
        <f t="shared" si="63"/>
        <v>9499</v>
      </c>
      <c r="I886" t="s">
        <v>31</v>
      </c>
    </row>
    <row r="887" spans="1:10" x14ac:dyDescent="0.3">
      <c r="A887" t="str">
        <f>"27004520"</f>
        <v>27004520</v>
      </c>
      <c r="B887" t="s">
        <v>2043</v>
      </c>
      <c r="C887" t="str">
        <f t="shared" si="62"/>
        <v>706</v>
      </c>
      <c r="D887" t="s">
        <v>28</v>
      </c>
      <c r="E887" t="s">
        <v>52</v>
      </c>
      <c r="F887" t="s">
        <v>334</v>
      </c>
      <c r="G887" t="s">
        <v>2044</v>
      </c>
      <c r="H887" t="str">
        <f t="shared" si="63"/>
        <v>9499</v>
      </c>
      <c r="I887" t="s">
        <v>31</v>
      </c>
    </row>
    <row r="888" spans="1:10" x14ac:dyDescent="0.3">
      <c r="A888" t="str">
        <f>"70640475"</f>
        <v>70640475</v>
      </c>
      <c r="B888" t="s">
        <v>2045</v>
      </c>
      <c r="C888" t="str">
        <f t="shared" si="62"/>
        <v>706</v>
      </c>
      <c r="D888" t="s">
        <v>28</v>
      </c>
      <c r="E888" t="s">
        <v>29</v>
      </c>
      <c r="F888" t="s">
        <v>1922</v>
      </c>
      <c r="G888" t="s">
        <v>2046</v>
      </c>
      <c r="H888" t="str">
        <f t="shared" si="63"/>
        <v>9499</v>
      </c>
      <c r="I888" t="s">
        <v>31</v>
      </c>
    </row>
    <row r="889" spans="1:10" x14ac:dyDescent="0.3">
      <c r="A889" t="str">
        <f>"27004953"</f>
        <v>27004953</v>
      </c>
      <c r="B889" t="s">
        <v>2047</v>
      </c>
      <c r="C889" t="str">
        <f t="shared" si="62"/>
        <v>706</v>
      </c>
      <c r="D889" t="s">
        <v>28</v>
      </c>
      <c r="E889" t="s">
        <v>52</v>
      </c>
      <c r="F889" t="s">
        <v>65</v>
      </c>
      <c r="G889" t="s">
        <v>2048</v>
      </c>
      <c r="H889" t="str">
        <f t="shared" si="63"/>
        <v>9499</v>
      </c>
      <c r="I889" t="s">
        <v>31</v>
      </c>
    </row>
    <row r="890" spans="1:10" x14ac:dyDescent="0.3">
      <c r="A890" t="str">
        <f>"04047290"</f>
        <v>04047290</v>
      </c>
      <c r="B890" t="s">
        <v>2049</v>
      </c>
      <c r="C890" t="str">
        <f t="shared" si="62"/>
        <v>706</v>
      </c>
      <c r="D890" t="s">
        <v>28</v>
      </c>
      <c r="E890" t="s">
        <v>29</v>
      </c>
      <c r="F890" t="s">
        <v>778</v>
      </c>
      <c r="G890" t="s">
        <v>2050</v>
      </c>
      <c r="H890" t="str">
        <f t="shared" si="63"/>
        <v>9499</v>
      </c>
      <c r="I890" t="s">
        <v>31</v>
      </c>
    </row>
    <row r="891" spans="1:10" x14ac:dyDescent="0.3">
      <c r="A891" t="str">
        <f>"26632403"</f>
        <v>26632403</v>
      </c>
      <c r="B891" t="s">
        <v>2051</v>
      </c>
      <c r="C891" t="str">
        <f t="shared" si="62"/>
        <v>706</v>
      </c>
      <c r="D891" t="s">
        <v>28</v>
      </c>
      <c r="E891" t="s">
        <v>29</v>
      </c>
      <c r="F891" t="s">
        <v>45</v>
      </c>
      <c r="G891" t="s">
        <v>2052</v>
      </c>
      <c r="H891" t="str">
        <f t="shared" si="63"/>
        <v>9499</v>
      </c>
      <c r="I891" t="s">
        <v>31</v>
      </c>
    </row>
    <row r="892" spans="1:10" x14ac:dyDescent="0.3">
      <c r="A892" t="str">
        <f>"28555481"</f>
        <v>28555481</v>
      </c>
      <c r="B892" t="s">
        <v>2053</v>
      </c>
      <c r="C892" t="str">
        <f t="shared" si="62"/>
        <v>706</v>
      </c>
      <c r="D892" t="s">
        <v>28</v>
      </c>
      <c r="E892" t="s">
        <v>52</v>
      </c>
      <c r="F892" t="s">
        <v>344</v>
      </c>
      <c r="G892" t="s">
        <v>1286</v>
      </c>
      <c r="H892" t="str">
        <f t="shared" si="63"/>
        <v>9499</v>
      </c>
      <c r="I892" t="s">
        <v>31</v>
      </c>
    </row>
    <row r="893" spans="1:10" x14ac:dyDescent="0.3">
      <c r="A893" t="str">
        <f>"21510822"</f>
        <v>21510822</v>
      </c>
      <c r="B893" t="s">
        <v>2054</v>
      </c>
      <c r="C893" t="str">
        <f t="shared" si="62"/>
        <v>706</v>
      </c>
      <c r="D893" t="s">
        <v>28</v>
      </c>
      <c r="E893" t="s">
        <v>52</v>
      </c>
      <c r="F893" t="s">
        <v>73</v>
      </c>
      <c r="G893" t="s">
        <v>2055</v>
      </c>
      <c r="H893" t="str">
        <f t="shared" si="63"/>
        <v>9499</v>
      </c>
      <c r="I893" t="s">
        <v>31</v>
      </c>
    </row>
    <row r="894" spans="1:10" x14ac:dyDescent="0.3">
      <c r="A894" t="str">
        <f>"26602962"</f>
        <v>26602962</v>
      </c>
      <c r="B894" t="s">
        <v>2056</v>
      </c>
      <c r="C894" t="str">
        <f t="shared" si="62"/>
        <v>706</v>
      </c>
      <c r="D894" t="s">
        <v>28</v>
      </c>
      <c r="E894" t="s">
        <v>29</v>
      </c>
      <c r="F894" t="s">
        <v>1266</v>
      </c>
      <c r="G894" t="s">
        <v>2057</v>
      </c>
      <c r="H894" t="str">
        <f t="shared" si="63"/>
        <v>9499</v>
      </c>
      <c r="I894" t="s">
        <v>31</v>
      </c>
    </row>
    <row r="895" spans="1:10" x14ac:dyDescent="0.3">
      <c r="A895" t="str">
        <f>"22765735"</f>
        <v>22765735</v>
      </c>
      <c r="B895" t="s">
        <v>2058</v>
      </c>
      <c r="C895" t="str">
        <f t="shared" si="62"/>
        <v>706</v>
      </c>
      <c r="D895" t="s">
        <v>28</v>
      </c>
      <c r="E895" t="s">
        <v>29</v>
      </c>
      <c r="F895" t="s">
        <v>29</v>
      </c>
      <c r="G895" t="s">
        <v>1314</v>
      </c>
      <c r="H895" t="str">
        <f>"94995"</f>
        <v>94995</v>
      </c>
      <c r="I895" t="s">
        <v>232</v>
      </c>
    </row>
    <row r="896" spans="1:10" x14ac:dyDescent="0.3">
      <c r="A896" t="str">
        <f>"22718222"</f>
        <v>22718222</v>
      </c>
      <c r="B896" t="s">
        <v>2059</v>
      </c>
      <c r="C896" t="str">
        <f t="shared" si="62"/>
        <v>706</v>
      </c>
      <c r="D896" t="s">
        <v>28</v>
      </c>
      <c r="E896" t="s">
        <v>29</v>
      </c>
      <c r="F896" t="s">
        <v>1810</v>
      </c>
      <c r="G896" t="s">
        <v>2060</v>
      </c>
      <c r="H896" t="str">
        <f>"9499"</f>
        <v>9499</v>
      </c>
      <c r="I896" t="s">
        <v>31</v>
      </c>
    </row>
    <row r="897" spans="1:14" x14ac:dyDescent="0.3">
      <c r="A897" t="str">
        <f>"69707456"</f>
        <v>69707456</v>
      </c>
      <c r="B897" t="s">
        <v>2061</v>
      </c>
      <c r="C897" t="str">
        <f>"736"</f>
        <v>736</v>
      </c>
      <c r="D897" t="s">
        <v>22</v>
      </c>
      <c r="E897" t="s">
        <v>23</v>
      </c>
      <c r="F897" t="s">
        <v>245</v>
      </c>
      <c r="G897" t="s">
        <v>2062</v>
      </c>
      <c r="H897" t="str">
        <f>"93120"</f>
        <v>93120</v>
      </c>
      <c r="I897" t="s">
        <v>54</v>
      </c>
    </row>
    <row r="898" spans="1:14" x14ac:dyDescent="0.3">
      <c r="A898" t="str">
        <f>"02760746"</f>
        <v>02760746</v>
      </c>
      <c r="B898" t="s">
        <v>2063</v>
      </c>
      <c r="C898" t="str">
        <f t="shared" ref="C898:C908" si="64">"706"</f>
        <v>706</v>
      </c>
      <c r="D898" t="s">
        <v>28</v>
      </c>
      <c r="E898" t="s">
        <v>52</v>
      </c>
      <c r="F898" t="s">
        <v>739</v>
      </c>
      <c r="G898" t="s">
        <v>2064</v>
      </c>
      <c r="H898" t="str">
        <f>"9499"</f>
        <v>9499</v>
      </c>
      <c r="I898" t="s">
        <v>31</v>
      </c>
    </row>
    <row r="899" spans="1:14" x14ac:dyDescent="0.3">
      <c r="A899" t="str">
        <f>"26591545"</f>
        <v>26591545</v>
      </c>
      <c r="B899" t="s">
        <v>2065</v>
      </c>
      <c r="C899" t="str">
        <f t="shared" si="64"/>
        <v>706</v>
      </c>
      <c r="D899" t="s">
        <v>28</v>
      </c>
      <c r="E899" t="s">
        <v>83</v>
      </c>
      <c r="F899" t="s">
        <v>944</v>
      </c>
      <c r="G899" t="s">
        <v>2066</v>
      </c>
      <c r="H899" t="str">
        <f>"94991"</f>
        <v>94991</v>
      </c>
      <c r="I899" t="s">
        <v>433</v>
      </c>
    </row>
    <row r="900" spans="1:14" x14ac:dyDescent="0.3">
      <c r="A900" t="str">
        <f>"65325648"</f>
        <v>65325648</v>
      </c>
      <c r="B900" t="s">
        <v>2067</v>
      </c>
      <c r="C900" t="str">
        <f t="shared" si="64"/>
        <v>706</v>
      </c>
      <c r="D900" t="s">
        <v>28</v>
      </c>
      <c r="E900" t="s">
        <v>52</v>
      </c>
      <c r="F900" t="s">
        <v>864</v>
      </c>
      <c r="G900" t="s">
        <v>2068</v>
      </c>
      <c r="H900" t="str">
        <f>"931"</f>
        <v>931</v>
      </c>
      <c r="I900" t="s">
        <v>26</v>
      </c>
      <c r="J900" t="s">
        <v>157</v>
      </c>
      <c r="K900" t="s">
        <v>2069</v>
      </c>
      <c r="L900" t="s">
        <v>161</v>
      </c>
      <c r="M900" t="s">
        <v>162</v>
      </c>
      <c r="N900" t="s">
        <v>163</v>
      </c>
    </row>
    <row r="901" spans="1:14" x14ac:dyDescent="0.3">
      <c r="A901" t="str">
        <f>"60382848"</f>
        <v>60382848</v>
      </c>
      <c r="B901" t="s">
        <v>2070</v>
      </c>
      <c r="C901" t="str">
        <f t="shared" si="64"/>
        <v>706</v>
      </c>
      <c r="D901" t="s">
        <v>28</v>
      </c>
      <c r="E901" t="s">
        <v>83</v>
      </c>
      <c r="F901" t="s">
        <v>175</v>
      </c>
      <c r="G901" t="s">
        <v>175</v>
      </c>
      <c r="H901" t="str">
        <f>"93120"</f>
        <v>93120</v>
      </c>
      <c r="I901" t="s">
        <v>54</v>
      </c>
    </row>
    <row r="902" spans="1:14" x14ac:dyDescent="0.3">
      <c r="A902" t="str">
        <f>"04965515"</f>
        <v>04965515</v>
      </c>
      <c r="B902" t="s">
        <v>2071</v>
      </c>
      <c r="C902" t="str">
        <f t="shared" si="64"/>
        <v>706</v>
      </c>
      <c r="D902" t="s">
        <v>28</v>
      </c>
      <c r="E902" t="s">
        <v>52</v>
      </c>
      <c r="F902" t="s">
        <v>2072</v>
      </c>
      <c r="G902" t="s">
        <v>2073</v>
      </c>
      <c r="H902" t="str">
        <f>"9499"</f>
        <v>9499</v>
      </c>
      <c r="I902" t="s">
        <v>31</v>
      </c>
    </row>
    <row r="903" spans="1:14" x14ac:dyDescent="0.3">
      <c r="A903" t="str">
        <f>"60042249"</f>
        <v>60042249</v>
      </c>
      <c r="B903" t="s">
        <v>2074</v>
      </c>
      <c r="C903" t="str">
        <f t="shared" si="64"/>
        <v>706</v>
      </c>
      <c r="D903" t="s">
        <v>28</v>
      </c>
      <c r="E903" t="s">
        <v>29</v>
      </c>
      <c r="F903" t="s">
        <v>195</v>
      </c>
      <c r="G903" t="s">
        <v>2075</v>
      </c>
      <c r="H903" t="str">
        <f>"94996"</f>
        <v>94996</v>
      </c>
      <c r="I903" t="s">
        <v>47</v>
      </c>
    </row>
    <row r="904" spans="1:14" x14ac:dyDescent="0.3">
      <c r="A904" t="str">
        <f>"01231464"</f>
        <v>01231464</v>
      </c>
      <c r="B904" t="s">
        <v>2076</v>
      </c>
      <c r="C904" t="str">
        <f t="shared" si="64"/>
        <v>706</v>
      </c>
      <c r="D904" t="s">
        <v>28</v>
      </c>
      <c r="E904" t="s">
        <v>83</v>
      </c>
      <c r="F904" t="s">
        <v>83</v>
      </c>
      <c r="G904" t="s">
        <v>2077</v>
      </c>
      <c r="H904" t="str">
        <f t="shared" ref="H904:H908" si="65">"9499"</f>
        <v>9499</v>
      </c>
      <c r="I904" t="s">
        <v>31</v>
      </c>
    </row>
    <row r="905" spans="1:14" x14ac:dyDescent="0.3">
      <c r="A905" t="str">
        <f>"46307729"</f>
        <v>46307729</v>
      </c>
      <c r="B905" t="s">
        <v>2079</v>
      </c>
      <c r="C905" t="str">
        <f t="shared" si="64"/>
        <v>706</v>
      </c>
      <c r="D905" t="s">
        <v>28</v>
      </c>
      <c r="E905" t="s">
        <v>23</v>
      </c>
      <c r="F905" t="s">
        <v>459</v>
      </c>
      <c r="G905" t="s">
        <v>2080</v>
      </c>
      <c r="H905" t="str">
        <f t="shared" si="65"/>
        <v>9499</v>
      </c>
      <c r="I905" t="s">
        <v>31</v>
      </c>
    </row>
    <row r="906" spans="1:14" x14ac:dyDescent="0.3">
      <c r="A906" t="str">
        <f>"67011225"</f>
        <v>67011225</v>
      </c>
      <c r="B906" t="s">
        <v>2081</v>
      </c>
      <c r="C906" t="str">
        <f t="shared" si="64"/>
        <v>706</v>
      </c>
      <c r="D906" t="s">
        <v>28</v>
      </c>
      <c r="E906" t="s">
        <v>52</v>
      </c>
      <c r="F906" t="s">
        <v>52</v>
      </c>
      <c r="G906" t="s">
        <v>2082</v>
      </c>
      <c r="H906" t="str">
        <f t="shared" si="65"/>
        <v>9499</v>
      </c>
      <c r="I906" t="s">
        <v>31</v>
      </c>
    </row>
    <row r="907" spans="1:14" x14ac:dyDescent="0.3">
      <c r="A907" t="str">
        <f>"03441181"</f>
        <v>03441181</v>
      </c>
      <c r="B907" t="s">
        <v>2083</v>
      </c>
      <c r="C907" t="str">
        <f t="shared" si="64"/>
        <v>706</v>
      </c>
      <c r="D907" t="s">
        <v>28</v>
      </c>
      <c r="E907" t="s">
        <v>52</v>
      </c>
      <c r="F907" t="s">
        <v>1676</v>
      </c>
      <c r="G907" t="s">
        <v>2084</v>
      </c>
      <c r="H907" t="str">
        <f t="shared" si="65"/>
        <v>9499</v>
      </c>
      <c r="I907" t="s">
        <v>31</v>
      </c>
    </row>
    <row r="908" spans="1:14" x14ac:dyDescent="0.3">
      <c r="A908" t="str">
        <f>"07591837"</f>
        <v>07591837</v>
      </c>
      <c r="B908" t="s">
        <v>2085</v>
      </c>
      <c r="C908" t="str">
        <f t="shared" si="64"/>
        <v>706</v>
      </c>
      <c r="D908" t="s">
        <v>28</v>
      </c>
      <c r="E908" t="s">
        <v>52</v>
      </c>
      <c r="F908" t="s">
        <v>334</v>
      </c>
      <c r="G908" t="s">
        <v>2086</v>
      </c>
      <c r="H908" t="str">
        <f t="shared" si="65"/>
        <v>9499</v>
      </c>
      <c r="I908" t="s">
        <v>31</v>
      </c>
    </row>
    <row r="909" spans="1:14" x14ac:dyDescent="0.3">
      <c r="A909" t="str">
        <f>"25583611"</f>
        <v>25583611</v>
      </c>
      <c r="B909" t="s">
        <v>2087</v>
      </c>
      <c r="C909" t="str">
        <f>"141"</f>
        <v>141</v>
      </c>
      <c r="D909" t="s">
        <v>112</v>
      </c>
      <c r="E909" t="s">
        <v>23</v>
      </c>
      <c r="F909" t="s">
        <v>23</v>
      </c>
      <c r="G909" t="s">
        <v>2088</v>
      </c>
      <c r="H909" t="str">
        <f>"94991"</f>
        <v>94991</v>
      </c>
      <c r="I909" t="s">
        <v>433</v>
      </c>
      <c r="J909" t="s">
        <v>262</v>
      </c>
      <c r="K909" t="s">
        <v>163</v>
      </c>
      <c r="L909" t="s">
        <v>59</v>
      </c>
    </row>
    <row r="910" spans="1:14" x14ac:dyDescent="0.3">
      <c r="A910" t="str">
        <f>"19800797"</f>
        <v>19800797</v>
      </c>
      <c r="B910" t="s">
        <v>2089</v>
      </c>
      <c r="C910" t="str">
        <f t="shared" ref="C910:C915" si="66">"706"</f>
        <v>706</v>
      </c>
      <c r="D910" t="s">
        <v>28</v>
      </c>
      <c r="E910" t="s">
        <v>29</v>
      </c>
      <c r="F910" t="s">
        <v>195</v>
      </c>
      <c r="G910" t="s">
        <v>2090</v>
      </c>
      <c r="H910" t="str">
        <f>"855"</f>
        <v>855</v>
      </c>
      <c r="I910" t="s">
        <v>146</v>
      </c>
      <c r="J910" t="s">
        <v>59</v>
      </c>
    </row>
    <row r="911" spans="1:14" x14ac:dyDescent="0.3">
      <c r="A911" t="str">
        <f>"21151318"</f>
        <v>21151318</v>
      </c>
      <c r="B911" t="s">
        <v>2091</v>
      </c>
      <c r="C911" t="str">
        <f t="shared" si="66"/>
        <v>706</v>
      </c>
      <c r="D911" t="s">
        <v>28</v>
      </c>
      <c r="E911" t="s">
        <v>29</v>
      </c>
      <c r="F911" t="s">
        <v>670</v>
      </c>
      <c r="G911" t="s">
        <v>2092</v>
      </c>
      <c r="H911" t="str">
        <f>"94991"</f>
        <v>94991</v>
      </c>
      <c r="I911" t="s">
        <v>433</v>
      </c>
    </row>
    <row r="912" spans="1:14" x14ac:dyDescent="0.3">
      <c r="A912" t="str">
        <f>"17649731"</f>
        <v>17649731</v>
      </c>
      <c r="B912" t="s">
        <v>2093</v>
      </c>
      <c r="C912" t="str">
        <f t="shared" si="66"/>
        <v>706</v>
      </c>
      <c r="D912" t="s">
        <v>28</v>
      </c>
      <c r="E912" t="s">
        <v>29</v>
      </c>
      <c r="F912" t="s">
        <v>195</v>
      </c>
      <c r="G912" t="s">
        <v>2094</v>
      </c>
      <c r="H912" t="str">
        <f>"93110"</f>
        <v>93110</v>
      </c>
      <c r="I912" t="s">
        <v>92</v>
      </c>
      <c r="J912" t="s">
        <v>59</v>
      </c>
    </row>
    <row r="913" spans="1:9" x14ac:dyDescent="0.3">
      <c r="A913" t="str">
        <f>"06485871"</f>
        <v>06485871</v>
      </c>
      <c r="B913" t="s">
        <v>2095</v>
      </c>
      <c r="C913" t="str">
        <f t="shared" si="66"/>
        <v>706</v>
      </c>
      <c r="D913" t="s">
        <v>28</v>
      </c>
      <c r="E913" t="s">
        <v>23</v>
      </c>
      <c r="F913" t="s">
        <v>23</v>
      </c>
      <c r="G913" t="s">
        <v>2096</v>
      </c>
      <c r="H913" t="str">
        <f>"9499"</f>
        <v>9499</v>
      </c>
      <c r="I913" t="s">
        <v>31</v>
      </c>
    </row>
    <row r="914" spans="1:9" x14ac:dyDescent="0.3">
      <c r="A914" t="str">
        <f>"22864008"</f>
        <v>22864008</v>
      </c>
      <c r="B914" t="s">
        <v>2097</v>
      </c>
      <c r="C914" t="str">
        <f t="shared" si="66"/>
        <v>706</v>
      </c>
      <c r="D914" t="s">
        <v>28</v>
      </c>
      <c r="E914" t="s">
        <v>23</v>
      </c>
      <c r="F914" t="s">
        <v>23</v>
      </c>
      <c r="G914" t="s">
        <v>2098</v>
      </c>
      <c r="H914" t="str">
        <f>"9499"</f>
        <v>9499</v>
      </c>
      <c r="I914" t="s">
        <v>31</v>
      </c>
    </row>
    <row r="915" spans="1:9" x14ac:dyDescent="0.3">
      <c r="A915" t="str">
        <f>"05213215"</f>
        <v>05213215</v>
      </c>
      <c r="B915" t="s">
        <v>2099</v>
      </c>
      <c r="C915" t="str">
        <f t="shared" si="66"/>
        <v>706</v>
      </c>
      <c r="D915" t="s">
        <v>28</v>
      </c>
      <c r="E915" t="s">
        <v>23</v>
      </c>
      <c r="F915" t="s">
        <v>23</v>
      </c>
      <c r="G915" t="s">
        <v>2100</v>
      </c>
      <c r="H915" t="str">
        <f>"94991"</f>
        <v>94991</v>
      </c>
      <c r="I915" t="s">
        <v>433</v>
      </c>
    </row>
    <row r="916" spans="1:9" x14ac:dyDescent="0.3">
      <c r="A916" t="str">
        <f>"02628058"</f>
        <v>02628058</v>
      </c>
      <c r="B916" t="s">
        <v>2101</v>
      </c>
      <c r="C916" t="str">
        <f>"161"</f>
        <v>161</v>
      </c>
      <c r="D916" t="s">
        <v>152</v>
      </c>
      <c r="E916" t="s">
        <v>23</v>
      </c>
      <c r="F916" t="s">
        <v>23</v>
      </c>
      <c r="G916" t="s">
        <v>2102</v>
      </c>
      <c r="H916" t="str">
        <f>"9319"</f>
        <v>9319</v>
      </c>
      <c r="I916" t="s">
        <v>59</v>
      </c>
    </row>
    <row r="917" spans="1:9" x14ac:dyDescent="0.3">
      <c r="A917" t="str">
        <f>"22867856"</f>
        <v>22867856</v>
      </c>
      <c r="B917" t="s">
        <v>2103</v>
      </c>
      <c r="C917" t="str">
        <f t="shared" ref="C917:C936" si="67">"706"</f>
        <v>706</v>
      </c>
      <c r="D917" t="s">
        <v>28</v>
      </c>
      <c r="E917" t="s">
        <v>52</v>
      </c>
      <c r="F917" t="s">
        <v>344</v>
      </c>
      <c r="G917" t="s">
        <v>2104</v>
      </c>
      <c r="H917" t="str">
        <f>"9499"</f>
        <v>9499</v>
      </c>
      <c r="I917" t="s">
        <v>31</v>
      </c>
    </row>
    <row r="918" spans="1:9" x14ac:dyDescent="0.3">
      <c r="A918" t="str">
        <f>"14269180"</f>
        <v>14269180</v>
      </c>
      <c r="B918" t="s">
        <v>2105</v>
      </c>
      <c r="C918" t="str">
        <f t="shared" si="67"/>
        <v>706</v>
      </c>
      <c r="D918" t="s">
        <v>28</v>
      </c>
      <c r="E918" t="s">
        <v>52</v>
      </c>
      <c r="F918" t="s">
        <v>960</v>
      </c>
      <c r="G918" t="s">
        <v>1763</v>
      </c>
      <c r="H918" t="str">
        <f>"94991"</f>
        <v>94991</v>
      </c>
      <c r="I918" t="s">
        <v>433</v>
      </c>
    </row>
    <row r="919" spans="1:9" x14ac:dyDescent="0.3">
      <c r="A919" t="str">
        <f>"22879366"</f>
        <v>22879366</v>
      </c>
      <c r="B919" t="s">
        <v>2106</v>
      </c>
      <c r="C919" t="str">
        <f t="shared" si="67"/>
        <v>706</v>
      </c>
      <c r="D919" t="s">
        <v>28</v>
      </c>
      <c r="E919" t="s">
        <v>52</v>
      </c>
      <c r="F919" t="s">
        <v>379</v>
      </c>
      <c r="G919" t="s">
        <v>629</v>
      </c>
      <c r="H919" t="str">
        <f>"9499"</f>
        <v>9499</v>
      </c>
      <c r="I919" t="s">
        <v>31</v>
      </c>
    </row>
    <row r="920" spans="1:9" x14ac:dyDescent="0.3">
      <c r="A920" t="str">
        <f>"08814155"</f>
        <v>08814155</v>
      </c>
      <c r="B920" t="s">
        <v>2107</v>
      </c>
      <c r="C920" t="str">
        <f t="shared" si="67"/>
        <v>706</v>
      </c>
      <c r="D920" t="s">
        <v>28</v>
      </c>
      <c r="E920" t="s">
        <v>52</v>
      </c>
      <c r="F920" t="s">
        <v>1027</v>
      </c>
      <c r="G920" t="s">
        <v>2108</v>
      </c>
      <c r="H920" t="str">
        <f>"94991"</f>
        <v>94991</v>
      </c>
      <c r="I920" t="s">
        <v>433</v>
      </c>
    </row>
    <row r="921" spans="1:9" x14ac:dyDescent="0.3">
      <c r="A921" t="str">
        <f>"27047237"</f>
        <v>27047237</v>
      </c>
      <c r="B921" t="s">
        <v>2109</v>
      </c>
      <c r="C921" t="str">
        <f t="shared" si="67"/>
        <v>706</v>
      </c>
      <c r="D921" t="s">
        <v>28</v>
      </c>
      <c r="E921" t="s">
        <v>52</v>
      </c>
      <c r="F921" t="s">
        <v>1894</v>
      </c>
      <c r="G921" t="s">
        <v>1895</v>
      </c>
      <c r="H921" t="str">
        <f>"9499"</f>
        <v>9499</v>
      </c>
      <c r="I921" t="s">
        <v>31</v>
      </c>
    </row>
    <row r="922" spans="1:9" x14ac:dyDescent="0.3">
      <c r="A922" t="str">
        <f>"60369825"</f>
        <v>60369825</v>
      </c>
      <c r="B922" t="s">
        <v>2110</v>
      </c>
      <c r="C922" t="str">
        <f t="shared" si="67"/>
        <v>706</v>
      </c>
      <c r="D922" t="s">
        <v>28</v>
      </c>
      <c r="E922" t="s">
        <v>52</v>
      </c>
      <c r="F922" t="s">
        <v>113</v>
      </c>
      <c r="G922" t="s">
        <v>570</v>
      </c>
      <c r="H922" t="str">
        <f>"9499"</f>
        <v>9499</v>
      </c>
      <c r="I922" t="s">
        <v>31</v>
      </c>
    </row>
    <row r="923" spans="1:9" x14ac:dyDescent="0.3">
      <c r="A923" t="str">
        <f>"01245872"</f>
        <v>01245872</v>
      </c>
      <c r="B923" t="s">
        <v>2111</v>
      </c>
      <c r="C923" t="str">
        <f t="shared" si="67"/>
        <v>706</v>
      </c>
      <c r="D923" t="s">
        <v>28</v>
      </c>
      <c r="E923" t="s">
        <v>52</v>
      </c>
      <c r="F923" t="s">
        <v>52</v>
      </c>
      <c r="G923" t="s">
        <v>2112</v>
      </c>
      <c r="H923" t="str">
        <f>"9499"</f>
        <v>9499</v>
      </c>
      <c r="I923" t="s">
        <v>31</v>
      </c>
    </row>
    <row r="924" spans="1:9" x14ac:dyDescent="0.3">
      <c r="A924" t="str">
        <f>"26644711"</f>
        <v>26644711</v>
      </c>
      <c r="B924" t="s">
        <v>2113</v>
      </c>
      <c r="C924" t="str">
        <f t="shared" si="67"/>
        <v>706</v>
      </c>
      <c r="D924" t="s">
        <v>28</v>
      </c>
      <c r="E924" t="s">
        <v>29</v>
      </c>
      <c r="F924" t="s">
        <v>195</v>
      </c>
      <c r="G924" t="s">
        <v>2114</v>
      </c>
      <c r="H924" t="str">
        <f>"9499"</f>
        <v>9499</v>
      </c>
      <c r="I924" t="s">
        <v>31</v>
      </c>
    </row>
    <row r="925" spans="1:9" x14ac:dyDescent="0.3">
      <c r="A925" t="str">
        <f>"26593432"</f>
        <v>26593432</v>
      </c>
      <c r="B925" t="s">
        <v>2115</v>
      </c>
      <c r="C925" t="str">
        <f t="shared" si="67"/>
        <v>706</v>
      </c>
      <c r="D925" t="s">
        <v>28</v>
      </c>
      <c r="E925" t="s">
        <v>29</v>
      </c>
      <c r="F925" t="s">
        <v>117</v>
      </c>
      <c r="G925" t="s">
        <v>2116</v>
      </c>
      <c r="H925" t="str">
        <f>"9499"</f>
        <v>9499</v>
      </c>
      <c r="I925" t="s">
        <v>31</v>
      </c>
    </row>
    <row r="926" spans="1:9" x14ac:dyDescent="0.3">
      <c r="A926" t="str">
        <f>"07421567"</f>
        <v>07421567</v>
      </c>
      <c r="B926" t="s">
        <v>2117</v>
      </c>
      <c r="C926" t="str">
        <f t="shared" si="67"/>
        <v>706</v>
      </c>
      <c r="D926" t="s">
        <v>28</v>
      </c>
      <c r="E926" t="s">
        <v>52</v>
      </c>
      <c r="F926" t="s">
        <v>960</v>
      </c>
      <c r="G926" t="s">
        <v>2118</v>
      </c>
      <c r="H926" t="str">
        <f>"93110"</f>
        <v>93110</v>
      </c>
      <c r="I926" t="s">
        <v>92</v>
      </c>
    </row>
    <row r="927" spans="1:9" x14ac:dyDescent="0.3">
      <c r="A927" t="str">
        <f>"07616457"</f>
        <v>07616457</v>
      </c>
      <c r="B927" t="s">
        <v>2119</v>
      </c>
      <c r="C927" t="str">
        <f t="shared" si="67"/>
        <v>706</v>
      </c>
      <c r="D927" t="s">
        <v>28</v>
      </c>
      <c r="E927" t="s">
        <v>52</v>
      </c>
      <c r="F927" t="s">
        <v>113</v>
      </c>
      <c r="G927" t="s">
        <v>2120</v>
      </c>
      <c r="H927" t="str">
        <f>"94991"</f>
        <v>94991</v>
      </c>
      <c r="I927" t="s">
        <v>433</v>
      </c>
    </row>
    <row r="928" spans="1:9" x14ac:dyDescent="0.3">
      <c r="A928" t="str">
        <f>"26611911"</f>
        <v>26611911</v>
      </c>
      <c r="B928" t="s">
        <v>2121</v>
      </c>
      <c r="C928" t="str">
        <f t="shared" si="67"/>
        <v>706</v>
      </c>
      <c r="D928" t="s">
        <v>28</v>
      </c>
      <c r="E928" t="s">
        <v>83</v>
      </c>
      <c r="F928" t="s">
        <v>83</v>
      </c>
      <c r="G928" t="s">
        <v>2122</v>
      </c>
      <c r="H928" t="str">
        <f>"93110"</f>
        <v>93110</v>
      </c>
      <c r="I928" t="s">
        <v>92</v>
      </c>
    </row>
    <row r="929" spans="1:11" x14ac:dyDescent="0.3">
      <c r="A929" t="str">
        <f>"21198900"</f>
        <v>21198900</v>
      </c>
      <c r="B929" t="s">
        <v>2123</v>
      </c>
      <c r="C929" t="str">
        <f t="shared" si="67"/>
        <v>706</v>
      </c>
      <c r="D929" t="s">
        <v>28</v>
      </c>
      <c r="E929" t="s">
        <v>52</v>
      </c>
      <c r="F929" t="s">
        <v>113</v>
      </c>
      <c r="G929" t="s">
        <v>2124</v>
      </c>
      <c r="H929" t="str">
        <f>"94991"</f>
        <v>94991</v>
      </c>
      <c r="I929" t="s">
        <v>433</v>
      </c>
    </row>
    <row r="930" spans="1:11" x14ac:dyDescent="0.3">
      <c r="A930" t="str">
        <f>"65828071"</f>
        <v>65828071</v>
      </c>
      <c r="B930" t="s">
        <v>2125</v>
      </c>
      <c r="C930" t="str">
        <f t="shared" si="67"/>
        <v>706</v>
      </c>
      <c r="D930" t="s">
        <v>28</v>
      </c>
      <c r="E930" t="s">
        <v>83</v>
      </c>
      <c r="F930" t="s">
        <v>175</v>
      </c>
      <c r="G930" t="s">
        <v>2126</v>
      </c>
      <c r="H930" t="str">
        <f>"9499"</f>
        <v>9499</v>
      </c>
      <c r="I930" t="s">
        <v>31</v>
      </c>
    </row>
    <row r="931" spans="1:11" x14ac:dyDescent="0.3">
      <c r="A931" t="str">
        <f>"22677241"</f>
        <v>22677241</v>
      </c>
      <c r="B931" t="s">
        <v>2127</v>
      </c>
      <c r="C931" t="str">
        <f t="shared" si="67"/>
        <v>706</v>
      </c>
      <c r="D931" t="s">
        <v>28</v>
      </c>
      <c r="E931" t="s">
        <v>52</v>
      </c>
      <c r="F931" t="s">
        <v>927</v>
      </c>
      <c r="G931" t="s">
        <v>2128</v>
      </c>
      <c r="H931" t="str">
        <f>"9499"</f>
        <v>9499</v>
      </c>
      <c r="I931" t="s">
        <v>31</v>
      </c>
    </row>
    <row r="932" spans="1:11" x14ac:dyDescent="0.3">
      <c r="A932" t="str">
        <f>"01284487"</f>
        <v>01284487</v>
      </c>
      <c r="B932" t="s">
        <v>2129</v>
      </c>
      <c r="C932" t="str">
        <f t="shared" si="67"/>
        <v>706</v>
      </c>
      <c r="D932" t="s">
        <v>28</v>
      </c>
      <c r="E932" t="s">
        <v>83</v>
      </c>
      <c r="F932" t="s">
        <v>83</v>
      </c>
      <c r="G932" t="s">
        <v>1346</v>
      </c>
      <c r="H932" t="str">
        <f>"9499"</f>
        <v>9499</v>
      </c>
      <c r="I932" t="s">
        <v>31</v>
      </c>
    </row>
    <row r="933" spans="1:11" x14ac:dyDescent="0.3">
      <c r="A933" t="str">
        <f>"26643413"</f>
        <v>26643413</v>
      </c>
      <c r="B933" t="s">
        <v>2130</v>
      </c>
      <c r="C933" t="str">
        <f t="shared" si="67"/>
        <v>706</v>
      </c>
      <c r="D933" t="s">
        <v>28</v>
      </c>
      <c r="E933" t="s">
        <v>52</v>
      </c>
      <c r="F933" t="s">
        <v>52</v>
      </c>
      <c r="G933" t="s">
        <v>2131</v>
      </c>
      <c r="H933" t="str">
        <f>"93110"</f>
        <v>93110</v>
      </c>
      <c r="I933" t="s">
        <v>92</v>
      </c>
    </row>
    <row r="934" spans="1:11" x14ac:dyDescent="0.3">
      <c r="A934" t="str">
        <f>"22884114"</f>
        <v>22884114</v>
      </c>
      <c r="B934" t="s">
        <v>2132</v>
      </c>
      <c r="C934" t="str">
        <f t="shared" si="67"/>
        <v>706</v>
      </c>
      <c r="D934" t="s">
        <v>28</v>
      </c>
      <c r="E934" t="s">
        <v>52</v>
      </c>
      <c r="F934" t="s">
        <v>1773</v>
      </c>
      <c r="G934" t="s">
        <v>2133</v>
      </c>
      <c r="H934" t="str">
        <f>"9499"</f>
        <v>9499</v>
      </c>
      <c r="I934" t="s">
        <v>31</v>
      </c>
    </row>
    <row r="935" spans="1:11" x14ac:dyDescent="0.3">
      <c r="A935" t="str">
        <f>"07989199"</f>
        <v>07989199</v>
      </c>
      <c r="B935" t="s">
        <v>2134</v>
      </c>
      <c r="C935" t="str">
        <f t="shared" si="67"/>
        <v>706</v>
      </c>
      <c r="D935" t="s">
        <v>28</v>
      </c>
      <c r="E935" t="s">
        <v>52</v>
      </c>
      <c r="F935" t="s">
        <v>1788</v>
      </c>
      <c r="G935" t="s">
        <v>1789</v>
      </c>
      <c r="H935" t="str">
        <f>"9499"</f>
        <v>9499</v>
      </c>
      <c r="I935" t="s">
        <v>31</v>
      </c>
    </row>
    <row r="936" spans="1:11" x14ac:dyDescent="0.3">
      <c r="A936" t="str">
        <f>"22814701"</f>
        <v>22814701</v>
      </c>
      <c r="B936" t="s">
        <v>2135</v>
      </c>
      <c r="C936" t="str">
        <f t="shared" si="67"/>
        <v>706</v>
      </c>
      <c r="D936" t="s">
        <v>28</v>
      </c>
      <c r="E936" t="s">
        <v>83</v>
      </c>
      <c r="F936" t="s">
        <v>83</v>
      </c>
      <c r="G936" t="s">
        <v>2136</v>
      </c>
      <c r="H936" t="str">
        <f>"9499"</f>
        <v>9499</v>
      </c>
      <c r="I936" t="s">
        <v>31</v>
      </c>
    </row>
    <row r="937" spans="1:11" x14ac:dyDescent="0.3">
      <c r="A937" t="str">
        <f>"65267991"</f>
        <v>65267991</v>
      </c>
      <c r="B937" t="s">
        <v>2137</v>
      </c>
      <c r="C937" t="str">
        <f>"722"</f>
        <v>722</v>
      </c>
      <c r="D937" t="s">
        <v>315</v>
      </c>
      <c r="E937" t="s">
        <v>52</v>
      </c>
      <c r="F937" t="s">
        <v>52</v>
      </c>
      <c r="G937" t="s">
        <v>2138</v>
      </c>
      <c r="H937" t="str">
        <f>"8810"</f>
        <v>8810</v>
      </c>
      <c r="I937" t="s">
        <v>1134</v>
      </c>
      <c r="J937" t="s">
        <v>154</v>
      </c>
    </row>
    <row r="938" spans="1:11" x14ac:dyDescent="0.3">
      <c r="A938" t="str">
        <f>"73633178"</f>
        <v>73633178</v>
      </c>
      <c r="B938" t="s">
        <v>2139</v>
      </c>
      <c r="C938" t="str">
        <f>"722"</f>
        <v>722</v>
      </c>
      <c r="D938" t="s">
        <v>315</v>
      </c>
      <c r="E938" t="s">
        <v>29</v>
      </c>
      <c r="F938" t="s">
        <v>29</v>
      </c>
      <c r="G938" t="s">
        <v>2140</v>
      </c>
      <c r="H938" t="str">
        <f>"87301"</f>
        <v>87301</v>
      </c>
      <c r="I938" t="s">
        <v>1186</v>
      </c>
      <c r="J938" t="s">
        <v>1183</v>
      </c>
      <c r="K938" t="s">
        <v>1125</v>
      </c>
    </row>
    <row r="939" spans="1:11" x14ac:dyDescent="0.3">
      <c r="A939" t="str">
        <f>"73632783"</f>
        <v>73632783</v>
      </c>
      <c r="B939" t="s">
        <v>2141</v>
      </c>
      <c r="C939" t="str">
        <f>"722"</f>
        <v>722</v>
      </c>
      <c r="D939" t="s">
        <v>315</v>
      </c>
      <c r="E939" t="s">
        <v>29</v>
      </c>
      <c r="F939" t="s">
        <v>195</v>
      </c>
      <c r="G939" t="s">
        <v>2142</v>
      </c>
      <c r="H939" t="str">
        <f>"8810"</f>
        <v>8810</v>
      </c>
      <c r="I939" t="s">
        <v>1134</v>
      </c>
    </row>
    <row r="940" spans="1:11" x14ac:dyDescent="0.3">
      <c r="A940" t="str">
        <f>"27040861"</f>
        <v>27040861</v>
      </c>
      <c r="B940" t="s">
        <v>2143</v>
      </c>
      <c r="C940" t="str">
        <f t="shared" ref="C940:C963" si="68">"706"</f>
        <v>706</v>
      </c>
      <c r="D940" t="s">
        <v>28</v>
      </c>
      <c r="E940" t="s">
        <v>83</v>
      </c>
      <c r="F940" t="s">
        <v>175</v>
      </c>
      <c r="G940" t="s">
        <v>2144</v>
      </c>
      <c r="H940" t="str">
        <f>"9499"</f>
        <v>9499</v>
      </c>
      <c r="I940" t="s">
        <v>31</v>
      </c>
    </row>
    <row r="941" spans="1:11" x14ac:dyDescent="0.3">
      <c r="A941" t="str">
        <f>"22730451"</f>
        <v>22730451</v>
      </c>
      <c r="B941" t="s">
        <v>2145</v>
      </c>
      <c r="C941" t="str">
        <f t="shared" si="68"/>
        <v>706</v>
      </c>
      <c r="D941" t="s">
        <v>28</v>
      </c>
      <c r="E941" t="s">
        <v>83</v>
      </c>
      <c r="F941" t="s">
        <v>83</v>
      </c>
      <c r="G941" t="s">
        <v>826</v>
      </c>
      <c r="H941" t="str">
        <f>"9499"</f>
        <v>9499</v>
      </c>
      <c r="I941" t="s">
        <v>31</v>
      </c>
    </row>
    <row r="942" spans="1:11" x14ac:dyDescent="0.3">
      <c r="A942" t="str">
        <f>"09935118"</f>
        <v>09935118</v>
      </c>
      <c r="B942" t="s">
        <v>2146</v>
      </c>
      <c r="C942" t="str">
        <f t="shared" si="68"/>
        <v>706</v>
      </c>
      <c r="D942" t="s">
        <v>28</v>
      </c>
      <c r="E942" t="s">
        <v>23</v>
      </c>
      <c r="F942" t="s">
        <v>23</v>
      </c>
      <c r="G942" t="s">
        <v>2147</v>
      </c>
      <c r="H942" t="str">
        <f>"93190"</f>
        <v>93190</v>
      </c>
      <c r="I942" t="s">
        <v>59</v>
      </c>
    </row>
    <row r="943" spans="1:11" x14ac:dyDescent="0.3">
      <c r="A943" t="str">
        <f>"22904182"</f>
        <v>22904182</v>
      </c>
      <c r="B943" t="s">
        <v>2148</v>
      </c>
      <c r="C943" t="str">
        <f t="shared" si="68"/>
        <v>706</v>
      </c>
      <c r="D943" t="s">
        <v>28</v>
      </c>
      <c r="E943" t="s">
        <v>29</v>
      </c>
      <c r="F943" t="s">
        <v>195</v>
      </c>
      <c r="G943" t="s">
        <v>2149</v>
      </c>
      <c r="H943" t="str">
        <f>"94120"</f>
        <v>94120</v>
      </c>
      <c r="I943" t="s">
        <v>43</v>
      </c>
    </row>
    <row r="944" spans="1:11" x14ac:dyDescent="0.3">
      <c r="A944" t="str">
        <f>"07553081"</f>
        <v>07553081</v>
      </c>
      <c r="B944" t="s">
        <v>2150</v>
      </c>
      <c r="C944" t="str">
        <f t="shared" si="68"/>
        <v>706</v>
      </c>
      <c r="D944" t="s">
        <v>28</v>
      </c>
      <c r="E944" t="s">
        <v>29</v>
      </c>
      <c r="F944" t="s">
        <v>195</v>
      </c>
      <c r="G944" t="s">
        <v>2151</v>
      </c>
      <c r="H944" t="str">
        <f>"9499"</f>
        <v>9499</v>
      </c>
      <c r="I944" t="s">
        <v>31</v>
      </c>
    </row>
    <row r="945" spans="1:9" x14ac:dyDescent="0.3">
      <c r="A945" t="str">
        <f>"27023036"</f>
        <v>27023036</v>
      </c>
      <c r="B945" t="s">
        <v>2152</v>
      </c>
      <c r="C945" t="str">
        <f t="shared" si="68"/>
        <v>706</v>
      </c>
      <c r="D945" t="s">
        <v>28</v>
      </c>
      <c r="E945" t="s">
        <v>23</v>
      </c>
      <c r="F945" t="s">
        <v>99</v>
      </c>
      <c r="G945" t="s">
        <v>2153</v>
      </c>
      <c r="H945" t="str">
        <f>"90020"</f>
        <v>90020</v>
      </c>
      <c r="I945" t="s">
        <v>163</v>
      </c>
    </row>
    <row r="946" spans="1:9" x14ac:dyDescent="0.3">
      <c r="A946" t="str">
        <f>"70867330"</f>
        <v>70867330</v>
      </c>
      <c r="B946" t="s">
        <v>2154</v>
      </c>
      <c r="C946" t="str">
        <f t="shared" si="68"/>
        <v>706</v>
      </c>
      <c r="D946" t="s">
        <v>28</v>
      </c>
      <c r="E946" t="s">
        <v>23</v>
      </c>
      <c r="F946" t="s">
        <v>68</v>
      </c>
      <c r="G946" t="s">
        <v>2155</v>
      </c>
      <c r="H946" t="str">
        <f>"90010"</f>
        <v>90010</v>
      </c>
      <c r="I946" t="s">
        <v>2014</v>
      </c>
    </row>
    <row r="947" spans="1:9" x14ac:dyDescent="0.3">
      <c r="A947" t="str">
        <f>"26526395"</f>
        <v>26526395</v>
      </c>
      <c r="B947" t="s">
        <v>2156</v>
      </c>
      <c r="C947" t="str">
        <f t="shared" si="68"/>
        <v>706</v>
      </c>
      <c r="D947" t="s">
        <v>28</v>
      </c>
      <c r="E947" t="s">
        <v>29</v>
      </c>
      <c r="F947" t="s">
        <v>29</v>
      </c>
      <c r="G947" t="s">
        <v>2157</v>
      </c>
      <c r="H947" t="str">
        <f>"90010"</f>
        <v>90010</v>
      </c>
      <c r="I947" t="s">
        <v>2014</v>
      </c>
    </row>
    <row r="948" spans="1:9" x14ac:dyDescent="0.3">
      <c r="A948" t="str">
        <f>"26592223"</f>
        <v>26592223</v>
      </c>
      <c r="B948" t="s">
        <v>2158</v>
      </c>
      <c r="C948" t="str">
        <f t="shared" si="68"/>
        <v>706</v>
      </c>
      <c r="D948" t="s">
        <v>28</v>
      </c>
      <c r="E948" t="s">
        <v>52</v>
      </c>
      <c r="F948" t="s">
        <v>344</v>
      </c>
      <c r="G948" t="s">
        <v>2159</v>
      </c>
      <c r="H948" t="str">
        <f>"90010"</f>
        <v>90010</v>
      </c>
      <c r="I948" t="s">
        <v>2014</v>
      </c>
    </row>
    <row r="949" spans="1:9" x14ac:dyDescent="0.3">
      <c r="A949" t="str">
        <f>"07704046"</f>
        <v>07704046</v>
      </c>
      <c r="B949" t="s">
        <v>2160</v>
      </c>
      <c r="C949" t="str">
        <f t="shared" si="68"/>
        <v>706</v>
      </c>
      <c r="D949" t="s">
        <v>28</v>
      </c>
      <c r="E949" t="s">
        <v>83</v>
      </c>
      <c r="F949" t="s">
        <v>881</v>
      </c>
      <c r="G949" t="s">
        <v>2161</v>
      </c>
      <c r="H949" t="str">
        <f>"9499"</f>
        <v>9499</v>
      </c>
      <c r="I949" t="s">
        <v>31</v>
      </c>
    </row>
    <row r="950" spans="1:9" x14ac:dyDescent="0.3">
      <c r="A950" t="str">
        <f>"21367621"</f>
        <v>21367621</v>
      </c>
      <c r="B950" t="s">
        <v>2162</v>
      </c>
      <c r="C950" t="str">
        <f t="shared" si="68"/>
        <v>706</v>
      </c>
      <c r="D950" t="s">
        <v>28</v>
      </c>
      <c r="E950" t="s">
        <v>52</v>
      </c>
      <c r="F950" t="s">
        <v>65</v>
      </c>
      <c r="G950" t="s">
        <v>2163</v>
      </c>
      <c r="H950" t="str">
        <f>"9499"</f>
        <v>9499</v>
      </c>
      <c r="I950" t="s">
        <v>31</v>
      </c>
    </row>
    <row r="951" spans="1:9" x14ac:dyDescent="0.3">
      <c r="A951" t="str">
        <f>"70640351"</f>
        <v>70640351</v>
      </c>
      <c r="B951" t="s">
        <v>2164</v>
      </c>
      <c r="C951" t="str">
        <f t="shared" si="68"/>
        <v>706</v>
      </c>
      <c r="D951" t="s">
        <v>28</v>
      </c>
      <c r="E951" t="s">
        <v>29</v>
      </c>
      <c r="F951" t="s">
        <v>138</v>
      </c>
      <c r="G951" t="s">
        <v>2165</v>
      </c>
      <c r="H951" t="str">
        <f>"9499"</f>
        <v>9499</v>
      </c>
      <c r="I951" t="s">
        <v>31</v>
      </c>
    </row>
    <row r="952" spans="1:9" x14ac:dyDescent="0.3">
      <c r="A952" t="str">
        <f>"28558626"</f>
        <v>28558626</v>
      </c>
      <c r="B952" t="s">
        <v>2166</v>
      </c>
      <c r="C952" t="str">
        <f t="shared" si="68"/>
        <v>706</v>
      </c>
      <c r="D952" t="s">
        <v>28</v>
      </c>
      <c r="E952" t="s">
        <v>83</v>
      </c>
      <c r="F952" t="s">
        <v>183</v>
      </c>
      <c r="G952" t="s">
        <v>2167</v>
      </c>
      <c r="H952" t="str">
        <f>"90010"</f>
        <v>90010</v>
      </c>
      <c r="I952" t="s">
        <v>2014</v>
      </c>
    </row>
    <row r="953" spans="1:9" x14ac:dyDescent="0.3">
      <c r="A953" t="str">
        <f>"21494703"</f>
        <v>21494703</v>
      </c>
      <c r="B953" t="s">
        <v>2168</v>
      </c>
      <c r="C953" t="str">
        <f t="shared" si="68"/>
        <v>706</v>
      </c>
      <c r="D953" t="s">
        <v>28</v>
      </c>
      <c r="E953" t="s">
        <v>23</v>
      </c>
      <c r="F953" t="s">
        <v>1418</v>
      </c>
      <c r="G953" t="s">
        <v>2169</v>
      </c>
      <c r="H953" t="str">
        <f>"9499"</f>
        <v>9499</v>
      </c>
      <c r="I953" t="s">
        <v>31</v>
      </c>
    </row>
    <row r="954" spans="1:9" x14ac:dyDescent="0.3">
      <c r="A954" t="str">
        <f>"26643430"</f>
        <v>26643430</v>
      </c>
      <c r="B954" t="s">
        <v>2170</v>
      </c>
      <c r="C954" t="str">
        <f t="shared" si="68"/>
        <v>706</v>
      </c>
      <c r="D954" t="s">
        <v>28</v>
      </c>
      <c r="E954" t="s">
        <v>29</v>
      </c>
      <c r="F954" t="s">
        <v>1121</v>
      </c>
      <c r="G954" t="s">
        <v>2171</v>
      </c>
      <c r="H954" t="str">
        <f>"90010"</f>
        <v>90010</v>
      </c>
      <c r="I954" t="s">
        <v>2014</v>
      </c>
    </row>
    <row r="955" spans="1:9" x14ac:dyDescent="0.3">
      <c r="A955" t="str">
        <f>"08299757"</f>
        <v>08299757</v>
      </c>
      <c r="B955" t="s">
        <v>2172</v>
      </c>
      <c r="C955" t="str">
        <f t="shared" si="68"/>
        <v>706</v>
      </c>
      <c r="D955" t="s">
        <v>28</v>
      </c>
      <c r="E955" t="s">
        <v>29</v>
      </c>
      <c r="F955" t="s">
        <v>195</v>
      </c>
      <c r="G955" t="s">
        <v>2173</v>
      </c>
      <c r="H955" t="str">
        <f>"90010"</f>
        <v>90010</v>
      </c>
      <c r="I955" t="s">
        <v>2014</v>
      </c>
    </row>
    <row r="956" spans="1:9" x14ac:dyDescent="0.3">
      <c r="A956" t="str">
        <f>"27035018"</f>
        <v>27035018</v>
      </c>
      <c r="B956" t="s">
        <v>2174</v>
      </c>
      <c r="C956" t="str">
        <f t="shared" si="68"/>
        <v>706</v>
      </c>
      <c r="D956" t="s">
        <v>28</v>
      </c>
      <c r="E956" t="s">
        <v>83</v>
      </c>
      <c r="F956" t="s">
        <v>83</v>
      </c>
      <c r="G956" t="s">
        <v>2175</v>
      </c>
      <c r="H956" t="str">
        <f>"90010"</f>
        <v>90010</v>
      </c>
      <c r="I956" t="s">
        <v>2014</v>
      </c>
    </row>
    <row r="957" spans="1:9" x14ac:dyDescent="0.3">
      <c r="A957" t="str">
        <f>"03160017"</f>
        <v>03160017</v>
      </c>
      <c r="B957" t="s">
        <v>2176</v>
      </c>
      <c r="C957" t="str">
        <f t="shared" si="68"/>
        <v>706</v>
      </c>
      <c r="D957" t="s">
        <v>28</v>
      </c>
      <c r="E957" t="s">
        <v>29</v>
      </c>
      <c r="F957" t="s">
        <v>2177</v>
      </c>
      <c r="G957" t="s">
        <v>2178</v>
      </c>
      <c r="H957" t="str">
        <f>"90010"</f>
        <v>90010</v>
      </c>
      <c r="I957" t="s">
        <v>2014</v>
      </c>
    </row>
    <row r="958" spans="1:9" x14ac:dyDescent="0.3">
      <c r="A958" t="str">
        <f>"06495630"</f>
        <v>06495630</v>
      </c>
      <c r="B958" t="s">
        <v>2179</v>
      </c>
      <c r="C958" t="str">
        <f t="shared" si="68"/>
        <v>706</v>
      </c>
      <c r="D958" t="s">
        <v>28</v>
      </c>
      <c r="E958" t="s">
        <v>52</v>
      </c>
      <c r="F958" t="s">
        <v>80</v>
      </c>
      <c r="G958" t="s">
        <v>1761</v>
      </c>
      <c r="H958" t="str">
        <f>"90010"</f>
        <v>90010</v>
      </c>
      <c r="I958" t="s">
        <v>2014</v>
      </c>
    </row>
    <row r="959" spans="1:9" x14ac:dyDescent="0.3">
      <c r="A959" t="str">
        <f>"22759697"</f>
        <v>22759697</v>
      </c>
      <c r="B959" t="s">
        <v>2180</v>
      </c>
      <c r="C959" t="str">
        <f t="shared" si="68"/>
        <v>706</v>
      </c>
      <c r="D959" t="s">
        <v>28</v>
      </c>
      <c r="E959" t="s">
        <v>52</v>
      </c>
      <c r="F959" t="s">
        <v>52</v>
      </c>
      <c r="G959" t="s">
        <v>2181</v>
      </c>
      <c r="H959" t="str">
        <f>"9499"</f>
        <v>9499</v>
      </c>
      <c r="I959" t="s">
        <v>31</v>
      </c>
    </row>
    <row r="960" spans="1:9" x14ac:dyDescent="0.3">
      <c r="A960" t="str">
        <f>"06708366"</f>
        <v>06708366</v>
      </c>
      <c r="B960" t="s">
        <v>2182</v>
      </c>
      <c r="C960" t="str">
        <f t="shared" si="68"/>
        <v>706</v>
      </c>
      <c r="D960" t="s">
        <v>28</v>
      </c>
      <c r="E960" t="s">
        <v>83</v>
      </c>
      <c r="F960" t="s">
        <v>1451</v>
      </c>
      <c r="G960" t="s">
        <v>2183</v>
      </c>
      <c r="H960" t="str">
        <f>"90010"</f>
        <v>90010</v>
      </c>
      <c r="I960" t="s">
        <v>2014</v>
      </c>
    </row>
    <row r="961" spans="1:10" x14ac:dyDescent="0.3">
      <c r="A961" t="str">
        <f>"67010318"</f>
        <v>67010318</v>
      </c>
      <c r="B961" t="s">
        <v>2184</v>
      </c>
      <c r="C961" t="str">
        <f t="shared" si="68"/>
        <v>706</v>
      </c>
      <c r="D961" t="s">
        <v>28</v>
      </c>
      <c r="E961" t="s">
        <v>23</v>
      </c>
      <c r="F961" t="s">
        <v>23</v>
      </c>
      <c r="G961" t="s">
        <v>418</v>
      </c>
      <c r="H961" t="str">
        <f>"90010"</f>
        <v>90010</v>
      </c>
      <c r="I961" t="s">
        <v>2014</v>
      </c>
    </row>
    <row r="962" spans="1:10" x14ac:dyDescent="0.3">
      <c r="A962" t="str">
        <f>"22689842"</f>
        <v>22689842</v>
      </c>
      <c r="B962" t="s">
        <v>2185</v>
      </c>
      <c r="C962" t="str">
        <f t="shared" si="68"/>
        <v>706</v>
      </c>
      <c r="D962" t="s">
        <v>28</v>
      </c>
      <c r="E962" t="s">
        <v>52</v>
      </c>
      <c r="F962" t="s">
        <v>52</v>
      </c>
      <c r="G962" t="s">
        <v>1240</v>
      </c>
      <c r="H962" t="str">
        <f>"90010"</f>
        <v>90010</v>
      </c>
      <c r="I962" t="s">
        <v>2014</v>
      </c>
    </row>
    <row r="963" spans="1:10" x14ac:dyDescent="0.3">
      <c r="A963" t="str">
        <f>"07577303"</f>
        <v>07577303</v>
      </c>
      <c r="B963" t="s">
        <v>2186</v>
      </c>
      <c r="C963" t="str">
        <f t="shared" si="68"/>
        <v>706</v>
      </c>
      <c r="D963" t="s">
        <v>28</v>
      </c>
      <c r="E963" t="s">
        <v>83</v>
      </c>
      <c r="F963" t="s">
        <v>183</v>
      </c>
      <c r="G963" t="s">
        <v>2187</v>
      </c>
      <c r="H963" t="str">
        <f>"90010"</f>
        <v>90010</v>
      </c>
      <c r="I963" t="s">
        <v>2014</v>
      </c>
    </row>
    <row r="964" spans="1:10" x14ac:dyDescent="0.3">
      <c r="A964" t="str">
        <f>"01892487"</f>
        <v>01892487</v>
      </c>
      <c r="B964" t="s">
        <v>2188</v>
      </c>
      <c r="C964" t="str">
        <f>"141"</f>
        <v>141</v>
      </c>
      <c r="D964" t="s">
        <v>112</v>
      </c>
      <c r="E964" t="s">
        <v>52</v>
      </c>
      <c r="F964" t="s">
        <v>52</v>
      </c>
      <c r="G964" t="s">
        <v>2189</v>
      </c>
      <c r="H964" t="str">
        <f>"855"</f>
        <v>855</v>
      </c>
      <c r="I964" t="s">
        <v>146</v>
      </c>
      <c r="J964" t="s">
        <v>163</v>
      </c>
    </row>
    <row r="965" spans="1:10" x14ac:dyDescent="0.3">
      <c r="A965" t="str">
        <f>"26533588"</f>
        <v>26533588</v>
      </c>
      <c r="B965" t="s">
        <v>2190</v>
      </c>
      <c r="C965" t="str">
        <f t="shared" ref="C965:C1002" si="69">"706"</f>
        <v>706</v>
      </c>
      <c r="D965" t="s">
        <v>28</v>
      </c>
      <c r="E965" t="s">
        <v>52</v>
      </c>
      <c r="F965" t="s">
        <v>334</v>
      </c>
      <c r="G965" t="s">
        <v>2191</v>
      </c>
      <c r="H965" t="str">
        <f>"90010"</f>
        <v>90010</v>
      </c>
      <c r="I965" t="s">
        <v>2014</v>
      </c>
    </row>
    <row r="966" spans="1:10" x14ac:dyDescent="0.3">
      <c r="A966" t="str">
        <f>"48506397"</f>
        <v>48506397</v>
      </c>
      <c r="B966" t="s">
        <v>2192</v>
      </c>
      <c r="C966" t="str">
        <f t="shared" si="69"/>
        <v>706</v>
      </c>
      <c r="D966" t="s">
        <v>28</v>
      </c>
      <c r="E966" t="s">
        <v>52</v>
      </c>
      <c r="F966" t="s">
        <v>113</v>
      </c>
      <c r="G966" t="s">
        <v>570</v>
      </c>
      <c r="H966" t="str">
        <f>"90010"</f>
        <v>90010</v>
      </c>
      <c r="I966" t="s">
        <v>2014</v>
      </c>
    </row>
    <row r="967" spans="1:10" x14ac:dyDescent="0.3">
      <c r="A967" t="str">
        <f>"21289107"</f>
        <v>21289107</v>
      </c>
      <c r="B967" t="s">
        <v>2193</v>
      </c>
      <c r="C967" t="str">
        <f t="shared" si="69"/>
        <v>706</v>
      </c>
      <c r="D967" t="s">
        <v>28</v>
      </c>
      <c r="E967" t="s">
        <v>83</v>
      </c>
      <c r="F967" t="s">
        <v>537</v>
      </c>
      <c r="G967" t="s">
        <v>2194</v>
      </c>
      <c r="H967" t="str">
        <f>"9499"</f>
        <v>9499</v>
      </c>
      <c r="I967" t="s">
        <v>31</v>
      </c>
    </row>
    <row r="968" spans="1:10" x14ac:dyDescent="0.3">
      <c r="A968" t="str">
        <f>"26530473"</f>
        <v>26530473</v>
      </c>
      <c r="B968" t="s">
        <v>2195</v>
      </c>
      <c r="C968" t="str">
        <f t="shared" si="69"/>
        <v>706</v>
      </c>
      <c r="D968" t="s">
        <v>28</v>
      </c>
      <c r="E968" t="s">
        <v>23</v>
      </c>
      <c r="F968" t="s">
        <v>107</v>
      </c>
      <c r="G968" t="s">
        <v>2196</v>
      </c>
      <c r="H968" t="str">
        <f t="shared" ref="H968:H975" si="70">"90010"</f>
        <v>90010</v>
      </c>
      <c r="I968" t="s">
        <v>2014</v>
      </c>
    </row>
    <row r="969" spans="1:10" x14ac:dyDescent="0.3">
      <c r="A969" t="str">
        <f>"05717027"</f>
        <v>05717027</v>
      </c>
      <c r="B969" t="s">
        <v>2197</v>
      </c>
      <c r="C969" t="str">
        <f t="shared" si="69"/>
        <v>706</v>
      </c>
      <c r="D969" t="s">
        <v>28</v>
      </c>
      <c r="E969" t="s">
        <v>29</v>
      </c>
      <c r="F969" t="s">
        <v>29</v>
      </c>
      <c r="G969" t="s">
        <v>2198</v>
      </c>
      <c r="H969" t="str">
        <f t="shared" si="70"/>
        <v>90010</v>
      </c>
      <c r="I969" t="s">
        <v>2014</v>
      </c>
    </row>
    <row r="970" spans="1:10" x14ac:dyDescent="0.3">
      <c r="A970" t="str">
        <f>"48471917"</f>
        <v>48471917</v>
      </c>
      <c r="B970" t="s">
        <v>2199</v>
      </c>
      <c r="C970" t="str">
        <f t="shared" si="69"/>
        <v>706</v>
      </c>
      <c r="D970" t="s">
        <v>28</v>
      </c>
      <c r="E970" t="s">
        <v>23</v>
      </c>
      <c r="F970" t="s">
        <v>1492</v>
      </c>
      <c r="G970" t="s">
        <v>2200</v>
      </c>
      <c r="H970" t="str">
        <f t="shared" si="70"/>
        <v>90010</v>
      </c>
      <c r="I970" t="s">
        <v>2014</v>
      </c>
    </row>
    <row r="971" spans="1:10" x14ac:dyDescent="0.3">
      <c r="A971" t="str">
        <f>"26582678"</f>
        <v>26582678</v>
      </c>
      <c r="B971" t="s">
        <v>2201</v>
      </c>
      <c r="C971" t="str">
        <f t="shared" si="69"/>
        <v>706</v>
      </c>
      <c r="D971" t="s">
        <v>28</v>
      </c>
      <c r="E971" t="s">
        <v>23</v>
      </c>
      <c r="F971" t="s">
        <v>350</v>
      </c>
      <c r="G971" t="s">
        <v>2202</v>
      </c>
      <c r="H971" t="str">
        <f t="shared" si="70"/>
        <v>90010</v>
      </c>
      <c r="I971" t="s">
        <v>2014</v>
      </c>
    </row>
    <row r="972" spans="1:10" x14ac:dyDescent="0.3">
      <c r="A972" t="str">
        <f>"27029433"</f>
        <v>27029433</v>
      </c>
      <c r="B972" t="s">
        <v>2203</v>
      </c>
      <c r="C972" t="str">
        <f t="shared" si="69"/>
        <v>706</v>
      </c>
      <c r="D972" t="s">
        <v>28</v>
      </c>
      <c r="E972" t="s">
        <v>52</v>
      </c>
      <c r="F972" t="s">
        <v>52</v>
      </c>
      <c r="G972" t="s">
        <v>2204</v>
      </c>
      <c r="H972" t="str">
        <f t="shared" si="70"/>
        <v>90010</v>
      </c>
      <c r="I972" t="s">
        <v>2014</v>
      </c>
    </row>
    <row r="973" spans="1:10" x14ac:dyDescent="0.3">
      <c r="A973" t="str">
        <f>"22759310"</f>
        <v>22759310</v>
      </c>
      <c r="B973" t="s">
        <v>2205</v>
      </c>
      <c r="C973" t="str">
        <f t="shared" si="69"/>
        <v>706</v>
      </c>
      <c r="D973" t="s">
        <v>28</v>
      </c>
      <c r="E973" t="s">
        <v>23</v>
      </c>
      <c r="F973" t="s">
        <v>24</v>
      </c>
      <c r="G973" t="s">
        <v>2206</v>
      </c>
      <c r="H973" t="str">
        <f t="shared" si="70"/>
        <v>90010</v>
      </c>
      <c r="I973" t="s">
        <v>2014</v>
      </c>
    </row>
    <row r="974" spans="1:10" x14ac:dyDescent="0.3">
      <c r="A974" t="str">
        <f>"22764003"</f>
        <v>22764003</v>
      </c>
      <c r="B974" t="s">
        <v>2207</v>
      </c>
      <c r="C974" t="str">
        <f t="shared" si="69"/>
        <v>706</v>
      </c>
      <c r="D974" t="s">
        <v>28</v>
      </c>
      <c r="E974" t="s">
        <v>29</v>
      </c>
      <c r="F974" t="s">
        <v>852</v>
      </c>
      <c r="G974" t="s">
        <v>2208</v>
      </c>
      <c r="H974" t="str">
        <f t="shared" si="70"/>
        <v>90010</v>
      </c>
      <c r="I974" t="s">
        <v>2014</v>
      </c>
    </row>
    <row r="975" spans="1:10" x14ac:dyDescent="0.3">
      <c r="A975" t="str">
        <f>"26583283"</f>
        <v>26583283</v>
      </c>
      <c r="B975" t="s">
        <v>2209</v>
      </c>
      <c r="C975" t="str">
        <f t="shared" si="69"/>
        <v>706</v>
      </c>
      <c r="D975" t="s">
        <v>28</v>
      </c>
      <c r="E975" t="s">
        <v>29</v>
      </c>
      <c r="F975" t="s">
        <v>29</v>
      </c>
      <c r="G975" t="s">
        <v>2210</v>
      </c>
      <c r="H975" t="str">
        <f t="shared" si="70"/>
        <v>90010</v>
      </c>
      <c r="I975" t="s">
        <v>2014</v>
      </c>
    </row>
    <row r="976" spans="1:10" x14ac:dyDescent="0.3">
      <c r="A976" t="str">
        <f>"07042591"</f>
        <v>07042591</v>
      </c>
      <c r="B976" t="s">
        <v>2211</v>
      </c>
      <c r="C976" t="str">
        <f t="shared" si="69"/>
        <v>706</v>
      </c>
      <c r="D976" t="s">
        <v>28</v>
      </c>
      <c r="E976" t="s">
        <v>23</v>
      </c>
      <c r="F976" t="s">
        <v>975</v>
      </c>
      <c r="G976" t="s">
        <v>2212</v>
      </c>
      <c r="H976" t="str">
        <f>"9499"</f>
        <v>9499</v>
      </c>
      <c r="I976" t="s">
        <v>31</v>
      </c>
    </row>
    <row r="977" spans="1:10" x14ac:dyDescent="0.3">
      <c r="A977" t="str">
        <f>"26535360"</f>
        <v>26535360</v>
      </c>
      <c r="B977" t="s">
        <v>2213</v>
      </c>
      <c r="C977" t="str">
        <f t="shared" si="69"/>
        <v>706</v>
      </c>
      <c r="D977" t="s">
        <v>28</v>
      </c>
      <c r="E977" t="s">
        <v>83</v>
      </c>
      <c r="F977" t="s">
        <v>183</v>
      </c>
      <c r="G977" t="s">
        <v>2214</v>
      </c>
      <c r="H977" t="str">
        <f>"93120"</f>
        <v>93120</v>
      </c>
      <c r="I977" t="s">
        <v>54</v>
      </c>
    </row>
    <row r="978" spans="1:10" x14ac:dyDescent="0.3">
      <c r="A978" t="str">
        <f>"49157191"</f>
        <v>49157191</v>
      </c>
      <c r="B978" t="s">
        <v>2215</v>
      </c>
      <c r="C978" t="str">
        <f t="shared" si="69"/>
        <v>706</v>
      </c>
      <c r="D978" t="s">
        <v>28</v>
      </c>
      <c r="E978" t="s">
        <v>23</v>
      </c>
      <c r="F978" t="s">
        <v>99</v>
      </c>
      <c r="G978" t="s">
        <v>2216</v>
      </c>
      <c r="H978" t="str">
        <f>"9499"</f>
        <v>9499</v>
      </c>
      <c r="I978" t="s">
        <v>31</v>
      </c>
    </row>
    <row r="979" spans="1:10" x14ac:dyDescent="0.3">
      <c r="A979" t="str">
        <f>"05734410"</f>
        <v>05734410</v>
      </c>
      <c r="B979" t="s">
        <v>2217</v>
      </c>
      <c r="C979" t="str">
        <f t="shared" si="69"/>
        <v>706</v>
      </c>
      <c r="D979" t="s">
        <v>28</v>
      </c>
      <c r="E979" t="s">
        <v>29</v>
      </c>
      <c r="F979" t="s">
        <v>29</v>
      </c>
      <c r="G979" t="s">
        <v>2218</v>
      </c>
      <c r="H979" t="str">
        <f>"93190"</f>
        <v>93190</v>
      </c>
      <c r="I979" t="s">
        <v>59</v>
      </c>
    </row>
    <row r="980" spans="1:10" x14ac:dyDescent="0.3">
      <c r="A980" t="str">
        <f>"22245928"</f>
        <v>22245928</v>
      </c>
      <c r="B980" t="s">
        <v>2219</v>
      </c>
      <c r="C980" t="str">
        <f t="shared" si="69"/>
        <v>706</v>
      </c>
      <c r="D980" t="s">
        <v>28</v>
      </c>
      <c r="E980" t="s">
        <v>29</v>
      </c>
      <c r="F980" t="s">
        <v>2220</v>
      </c>
      <c r="G980" t="s">
        <v>2221</v>
      </c>
      <c r="H980" t="str">
        <f>"9499"</f>
        <v>9499</v>
      </c>
      <c r="I980" t="s">
        <v>31</v>
      </c>
    </row>
    <row r="981" spans="1:10" x14ac:dyDescent="0.3">
      <c r="A981" t="str">
        <f>"22758933"</f>
        <v>22758933</v>
      </c>
      <c r="B981" t="s">
        <v>2222</v>
      </c>
      <c r="C981" t="str">
        <f t="shared" si="69"/>
        <v>706</v>
      </c>
      <c r="D981" t="s">
        <v>28</v>
      </c>
      <c r="E981" t="s">
        <v>23</v>
      </c>
      <c r="F981" t="s">
        <v>23</v>
      </c>
      <c r="G981" t="s">
        <v>280</v>
      </c>
      <c r="H981" t="str">
        <f>"9499"</f>
        <v>9499</v>
      </c>
      <c r="I981" t="s">
        <v>31</v>
      </c>
    </row>
    <row r="982" spans="1:10" x14ac:dyDescent="0.3">
      <c r="A982" t="str">
        <f>"01185403"</f>
        <v>01185403</v>
      </c>
      <c r="B982" t="s">
        <v>2223</v>
      </c>
      <c r="C982" t="str">
        <f t="shared" si="69"/>
        <v>706</v>
      </c>
      <c r="D982" t="s">
        <v>28</v>
      </c>
      <c r="E982" t="s">
        <v>29</v>
      </c>
      <c r="F982" t="s">
        <v>195</v>
      </c>
      <c r="G982" t="s">
        <v>2224</v>
      </c>
      <c r="H982" t="str">
        <f>"93190"</f>
        <v>93190</v>
      </c>
      <c r="I982" t="s">
        <v>59</v>
      </c>
    </row>
    <row r="983" spans="1:10" x14ac:dyDescent="0.3">
      <c r="A983" t="str">
        <f>"08942455"</f>
        <v>08942455</v>
      </c>
      <c r="B983" t="s">
        <v>2225</v>
      </c>
      <c r="C983" t="str">
        <f t="shared" si="69"/>
        <v>706</v>
      </c>
      <c r="D983" t="s">
        <v>28</v>
      </c>
      <c r="E983" t="s">
        <v>83</v>
      </c>
      <c r="F983" t="s">
        <v>537</v>
      </c>
      <c r="G983" t="s">
        <v>2226</v>
      </c>
      <c r="H983" t="str">
        <f>"9499"</f>
        <v>9499</v>
      </c>
      <c r="I983" t="s">
        <v>31</v>
      </c>
    </row>
    <row r="984" spans="1:10" x14ac:dyDescent="0.3">
      <c r="A984" t="str">
        <f>"14307235"</f>
        <v>14307235</v>
      </c>
      <c r="B984" t="s">
        <v>2227</v>
      </c>
      <c r="C984" t="str">
        <f t="shared" si="69"/>
        <v>706</v>
      </c>
      <c r="D984" t="s">
        <v>28</v>
      </c>
      <c r="E984" t="s">
        <v>83</v>
      </c>
      <c r="F984" t="s">
        <v>130</v>
      </c>
      <c r="G984" t="s">
        <v>2228</v>
      </c>
      <c r="H984" t="str">
        <f>"94991"</f>
        <v>94991</v>
      </c>
      <c r="I984" t="s">
        <v>433</v>
      </c>
    </row>
    <row r="985" spans="1:10" x14ac:dyDescent="0.3">
      <c r="A985" t="str">
        <f>"22829016"</f>
        <v>22829016</v>
      </c>
      <c r="B985" t="s">
        <v>2230</v>
      </c>
      <c r="C985" t="str">
        <f t="shared" si="69"/>
        <v>706</v>
      </c>
      <c r="D985" t="s">
        <v>28</v>
      </c>
      <c r="E985" t="s">
        <v>23</v>
      </c>
      <c r="F985" t="s">
        <v>245</v>
      </c>
      <c r="G985" t="s">
        <v>2231</v>
      </c>
      <c r="H985" t="str">
        <f>"9499"</f>
        <v>9499</v>
      </c>
      <c r="I985" t="s">
        <v>31</v>
      </c>
    </row>
    <row r="986" spans="1:10" x14ac:dyDescent="0.3">
      <c r="A986" t="str">
        <f>"05421659"</f>
        <v>05421659</v>
      </c>
      <c r="B986" t="s">
        <v>2232</v>
      </c>
      <c r="C986" t="str">
        <f t="shared" si="69"/>
        <v>706</v>
      </c>
      <c r="D986" t="s">
        <v>28</v>
      </c>
      <c r="E986" t="s">
        <v>23</v>
      </c>
      <c r="F986" t="s">
        <v>1418</v>
      </c>
      <c r="G986" t="s">
        <v>2229</v>
      </c>
      <c r="H986" t="str">
        <f>"855"</f>
        <v>855</v>
      </c>
      <c r="I986" t="s">
        <v>146</v>
      </c>
      <c r="J986" t="s">
        <v>2233</v>
      </c>
    </row>
    <row r="987" spans="1:10" x14ac:dyDescent="0.3">
      <c r="A987" t="str">
        <f>"22610448"</f>
        <v>22610448</v>
      </c>
      <c r="B987" t="s">
        <v>2234</v>
      </c>
      <c r="C987" t="str">
        <f t="shared" si="69"/>
        <v>706</v>
      </c>
      <c r="D987" t="s">
        <v>28</v>
      </c>
      <c r="E987" t="s">
        <v>23</v>
      </c>
      <c r="F987" t="s">
        <v>23</v>
      </c>
      <c r="G987" t="s">
        <v>2235</v>
      </c>
      <c r="H987" t="str">
        <f>"94993"</f>
        <v>94993</v>
      </c>
      <c r="I987" t="s">
        <v>50</v>
      </c>
    </row>
    <row r="988" spans="1:10" x14ac:dyDescent="0.3">
      <c r="A988" t="str">
        <f>"22832246"</f>
        <v>22832246</v>
      </c>
      <c r="B988" t="s">
        <v>2236</v>
      </c>
      <c r="C988" t="str">
        <f t="shared" si="69"/>
        <v>706</v>
      </c>
      <c r="D988" t="s">
        <v>28</v>
      </c>
      <c r="E988" t="s">
        <v>52</v>
      </c>
      <c r="F988" t="s">
        <v>52</v>
      </c>
      <c r="G988" t="s">
        <v>2237</v>
      </c>
      <c r="H988" t="str">
        <f>"9499"</f>
        <v>9499</v>
      </c>
      <c r="I988" t="s">
        <v>31</v>
      </c>
    </row>
    <row r="989" spans="1:10" x14ac:dyDescent="0.3">
      <c r="A989" t="str">
        <f>"22729364"</f>
        <v>22729364</v>
      </c>
      <c r="B989" t="s">
        <v>2238</v>
      </c>
      <c r="C989" t="str">
        <f t="shared" si="69"/>
        <v>706</v>
      </c>
      <c r="D989" t="s">
        <v>28</v>
      </c>
      <c r="E989" t="s">
        <v>83</v>
      </c>
      <c r="F989" t="s">
        <v>1042</v>
      </c>
      <c r="G989" t="s">
        <v>2239</v>
      </c>
      <c r="H989" t="str">
        <f>"9499"</f>
        <v>9499</v>
      </c>
      <c r="I989" t="s">
        <v>31</v>
      </c>
    </row>
    <row r="990" spans="1:10" x14ac:dyDescent="0.3">
      <c r="A990" t="str">
        <f>"22737111"</f>
        <v>22737111</v>
      </c>
      <c r="B990" t="s">
        <v>2240</v>
      </c>
      <c r="C990" t="str">
        <f t="shared" si="69"/>
        <v>706</v>
      </c>
      <c r="D990" t="s">
        <v>28</v>
      </c>
      <c r="E990" t="s">
        <v>52</v>
      </c>
      <c r="F990" t="s">
        <v>1625</v>
      </c>
      <c r="G990" t="s">
        <v>2241</v>
      </c>
      <c r="H990" t="str">
        <f>"94991"</f>
        <v>94991</v>
      </c>
      <c r="I990" t="s">
        <v>433</v>
      </c>
    </row>
    <row r="991" spans="1:10" x14ac:dyDescent="0.3">
      <c r="A991" t="str">
        <f>"22034757"</f>
        <v>22034757</v>
      </c>
      <c r="B991" t="s">
        <v>2242</v>
      </c>
      <c r="C991" t="str">
        <f t="shared" si="69"/>
        <v>706</v>
      </c>
      <c r="D991" t="s">
        <v>28</v>
      </c>
      <c r="E991" t="s">
        <v>23</v>
      </c>
      <c r="F991" t="s">
        <v>23</v>
      </c>
      <c r="G991" t="s">
        <v>2243</v>
      </c>
      <c r="H991" t="str">
        <f>"93190"</f>
        <v>93190</v>
      </c>
      <c r="I991" t="s">
        <v>59</v>
      </c>
    </row>
    <row r="992" spans="1:10" x14ac:dyDescent="0.3">
      <c r="A992" t="str">
        <f>"05419131"</f>
        <v>05419131</v>
      </c>
      <c r="B992" t="s">
        <v>2244</v>
      </c>
      <c r="C992" t="str">
        <f t="shared" si="69"/>
        <v>706</v>
      </c>
      <c r="D992" t="s">
        <v>28</v>
      </c>
      <c r="E992" t="s">
        <v>29</v>
      </c>
      <c r="F992" t="s">
        <v>271</v>
      </c>
      <c r="G992" t="s">
        <v>2245</v>
      </c>
      <c r="H992" t="str">
        <f>"9499"</f>
        <v>9499</v>
      </c>
      <c r="I992" t="s">
        <v>31</v>
      </c>
    </row>
    <row r="993" spans="1:9" x14ac:dyDescent="0.3">
      <c r="A993" t="str">
        <f>"11806095"</f>
        <v>11806095</v>
      </c>
      <c r="B993" t="s">
        <v>2246</v>
      </c>
      <c r="C993" t="str">
        <f t="shared" si="69"/>
        <v>706</v>
      </c>
      <c r="D993" t="s">
        <v>28</v>
      </c>
      <c r="E993" t="s">
        <v>29</v>
      </c>
      <c r="F993" t="s">
        <v>195</v>
      </c>
      <c r="G993" t="s">
        <v>2142</v>
      </c>
      <c r="H993" t="str">
        <f>"9499"</f>
        <v>9499</v>
      </c>
      <c r="I993" t="s">
        <v>31</v>
      </c>
    </row>
    <row r="994" spans="1:9" x14ac:dyDescent="0.3">
      <c r="A994" t="str">
        <f>"26989697"</f>
        <v>26989697</v>
      </c>
      <c r="B994" t="s">
        <v>2247</v>
      </c>
      <c r="C994" t="str">
        <f t="shared" si="69"/>
        <v>706</v>
      </c>
      <c r="D994" t="s">
        <v>28</v>
      </c>
      <c r="E994" t="s">
        <v>83</v>
      </c>
      <c r="F994" t="s">
        <v>83</v>
      </c>
      <c r="G994" t="s">
        <v>1083</v>
      </c>
      <c r="H994" t="str">
        <f>"9499"</f>
        <v>9499</v>
      </c>
      <c r="I994" t="s">
        <v>31</v>
      </c>
    </row>
    <row r="995" spans="1:9" x14ac:dyDescent="0.3">
      <c r="A995" t="str">
        <f>"21673802"</f>
        <v>21673802</v>
      </c>
      <c r="B995" t="s">
        <v>2248</v>
      </c>
      <c r="C995" t="str">
        <f t="shared" si="69"/>
        <v>706</v>
      </c>
      <c r="D995" t="s">
        <v>28</v>
      </c>
      <c r="E995" t="s">
        <v>52</v>
      </c>
      <c r="F995" t="s">
        <v>796</v>
      </c>
      <c r="G995" t="s">
        <v>2249</v>
      </c>
      <c r="H995" t="str">
        <f>"9499"</f>
        <v>9499</v>
      </c>
      <c r="I995" t="s">
        <v>31</v>
      </c>
    </row>
    <row r="996" spans="1:9" x14ac:dyDescent="0.3">
      <c r="A996" t="str">
        <f>"22870652"</f>
        <v>22870652</v>
      </c>
      <c r="B996" t="s">
        <v>2250</v>
      </c>
      <c r="C996" t="str">
        <f t="shared" si="69"/>
        <v>706</v>
      </c>
      <c r="D996" t="s">
        <v>28</v>
      </c>
      <c r="E996" t="s">
        <v>23</v>
      </c>
      <c r="F996" t="s">
        <v>1935</v>
      </c>
      <c r="G996" t="s">
        <v>2251</v>
      </c>
      <c r="H996" t="str">
        <f>"94995"</f>
        <v>94995</v>
      </c>
      <c r="I996" t="s">
        <v>232</v>
      </c>
    </row>
    <row r="997" spans="1:9" x14ac:dyDescent="0.3">
      <c r="A997" t="str">
        <f>"26647371"</f>
        <v>26647371</v>
      </c>
      <c r="B997" t="s">
        <v>2252</v>
      </c>
      <c r="C997" t="str">
        <f t="shared" si="69"/>
        <v>706</v>
      </c>
      <c r="D997" t="s">
        <v>28</v>
      </c>
      <c r="E997" t="s">
        <v>23</v>
      </c>
      <c r="F997" t="s">
        <v>24</v>
      </c>
      <c r="G997" t="s">
        <v>2253</v>
      </c>
      <c r="H997" t="str">
        <f>"93110"</f>
        <v>93110</v>
      </c>
      <c r="I997" t="s">
        <v>92</v>
      </c>
    </row>
    <row r="998" spans="1:9" x14ac:dyDescent="0.3">
      <c r="A998" t="str">
        <f>"22820230"</f>
        <v>22820230</v>
      </c>
      <c r="B998" t="s">
        <v>2254</v>
      </c>
      <c r="C998" t="str">
        <f t="shared" si="69"/>
        <v>706</v>
      </c>
      <c r="D998" t="s">
        <v>28</v>
      </c>
      <c r="E998" t="s">
        <v>52</v>
      </c>
      <c r="F998" t="s">
        <v>379</v>
      </c>
      <c r="G998" t="s">
        <v>2255</v>
      </c>
      <c r="H998" t="str">
        <f>"9499"</f>
        <v>9499</v>
      </c>
      <c r="I998" t="s">
        <v>31</v>
      </c>
    </row>
    <row r="999" spans="1:9" x14ac:dyDescent="0.3">
      <c r="A999" t="str">
        <f>"09729089"</f>
        <v>09729089</v>
      </c>
      <c r="B999" t="s">
        <v>2256</v>
      </c>
      <c r="C999" t="str">
        <f t="shared" si="69"/>
        <v>706</v>
      </c>
      <c r="D999" t="s">
        <v>28</v>
      </c>
      <c r="E999" t="s">
        <v>83</v>
      </c>
      <c r="F999" t="s">
        <v>183</v>
      </c>
      <c r="G999" t="s">
        <v>2257</v>
      </c>
      <c r="H999" t="str">
        <f>"9499"</f>
        <v>9499</v>
      </c>
      <c r="I999" t="s">
        <v>31</v>
      </c>
    </row>
    <row r="1000" spans="1:9" x14ac:dyDescent="0.3">
      <c r="A1000" t="str">
        <f>"05262500"</f>
        <v>05262500</v>
      </c>
      <c r="B1000" t="s">
        <v>2258</v>
      </c>
      <c r="C1000" t="str">
        <f t="shared" si="69"/>
        <v>706</v>
      </c>
      <c r="D1000" t="s">
        <v>28</v>
      </c>
      <c r="E1000" t="s">
        <v>23</v>
      </c>
      <c r="F1000" t="s">
        <v>1885</v>
      </c>
      <c r="G1000" t="s">
        <v>2259</v>
      </c>
      <c r="H1000" t="str">
        <f>"93190"</f>
        <v>93190</v>
      </c>
      <c r="I1000" t="s">
        <v>59</v>
      </c>
    </row>
    <row r="1001" spans="1:9" x14ac:dyDescent="0.3">
      <c r="A1001" t="str">
        <f>"23210320"</f>
        <v>23210320</v>
      </c>
      <c r="B1001" t="s">
        <v>2260</v>
      </c>
      <c r="C1001" t="str">
        <f t="shared" si="69"/>
        <v>706</v>
      </c>
      <c r="D1001" t="s">
        <v>28</v>
      </c>
      <c r="E1001" t="s">
        <v>52</v>
      </c>
      <c r="F1001" t="s">
        <v>52</v>
      </c>
      <c r="G1001" t="s">
        <v>2261</v>
      </c>
      <c r="H1001" t="str">
        <f>"9499"</f>
        <v>9499</v>
      </c>
      <c r="I1001" t="s">
        <v>31</v>
      </c>
    </row>
    <row r="1002" spans="1:9" x14ac:dyDescent="0.3">
      <c r="A1002" t="str">
        <f>"70869324"</f>
        <v>70869324</v>
      </c>
      <c r="B1002" t="s">
        <v>2262</v>
      </c>
      <c r="C1002" t="str">
        <f t="shared" si="69"/>
        <v>706</v>
      </c>
      <c r="D1002" t="s">
        <v>28</v>
      </c>
      <c r="E1002" t="s">
        <v>23</v>
      </c>
      <c r="F1002" t="s">
        <v>23</v>
      </c>
      <c r="G1002" t="s">
        <v>2263</v>
      </c>
      <c r="H1002" t="str">
        <f>"9499"</f>
        <v>9499</v>
      </c>
      <c r="I1002" t="s">
        <v>31</v>
      </c>
    </row>
    <row r="1003" spans="1:9" x14ac:dyDescent="0.3">
      <c r="A1003" t="str">
        <f>"48472476"</f>
        <v>48472476</v>
      </c>
      <c r="B1003" t="s">
        <v>2264</v>
      </c>
      <c r="C1003" t="str">
        <f>"141"</f>
        <v>141</v>
      </c>
      <c r="D1003" t="s">
        <v>112</v>
      </c>
      <c r="E1003" t="s">
        <v>23</v>
      </c>
      <c r="F1003" t="s">
        <v>23</v>
      </c>
      <c r="G1003" t="s">
        <v>2265</v>
      </c>
      <c r="H1003" t="str">
        <f>"94991"</f>
        <v>94991</v>
      </c>
      <c r="I1003" t="s">
        <v>433</v>
      </c>
    </row>
    <row r="1004" spans="1:9" x14ac:dyDescent="0.3">
      <c r="A1004" t="str">
        <f>"48489522"</f>
        <v>48489522</v>
      </c>
      <c r="B1004" t="s">
        <v>2266</v>
      </c>
      <c r="C1004" t="str">
        <f>"706"</f>
        <v>706</v>
      </c>
      <c r="D1004" t="s">
        <v>28</v>
      </c>
      <c r="E1004" t="s">
        <v>52</v>
      </c>
      <c r="F1004" t="s">
        <v>2038</v>
      </c>
      <c r="G1004" t="s">
        <v>2038</v>
      </c>
      <c r="H1004" t="str">
        <f>"02"</f>
        <v>02</v>
      </c>
      <c r="I1004" t="s">
        <v>2267</v>
      </c>
    </row>
    <row r="1005" spans="1:9" x14ac:dyDescent="0.3">
      <c r="A1005" t="str">
        <f>"05292409"</f>
        <v>05292409</v>
      </c>
      <c r="B1005" t="s">
        <v>2268</v>
      </c>
      <c r="C1005" t="str">
        <f>"161"</f>
        <v>161</v>
      </c>
      <c r="D1005" t="s">
        <v>152</v>
      </c>
      <c r="E1005" t="s">
        <v>83</v>
      </c>
      <c r="F1005" t="s">
        <v>83</v>
      </c>
      <c r="G1005" t="s">
        <v>2269</v>
      </c>
      <c r="H1005" t="str">
        <f>"87301"</f>
        <v>87301</v>
      </c>
      <c r="I1005" t="s">
        <v>1186</v>
      </c>
    </row>
    <row r="1006" spans="1:9" x14ac:dyDescent="0.3">
      <c r="A1006" t="str">
        <f>"05292425"</f>
        <v>05292425</v>
      </c>
      <c r="B1006" t="s">
        <v>2270</v>
      </c>
      <c r="C1006" t="str">
        <f>"161"</f>
        <v>161</v>
      </c>
      <c r="D1006" t="s">
        <v>152</v>
      </c>
      <c r="E1006" t="s">
        <v>83</v>
      </c>
      <c r="F1006" t="s">
        <v>83</v>
      </c>
      <c r="G1006" t="s">
        <v>2269</v>
      </c>
      <c r="H1006" t="str">
        <f>"87301"</f>
        <v>87301</v>
      </c>
      <c r="I1006" t="s">
        <v>1186</v>
      </c>
    </row>
    <row r="1007" spans="1:9" x14ac:dyDescent="0.3">
      <c r="A1007" t="str">
        <f>"22816046"</f>
        <v>22816046</v>
      </c>
      <c r="B1007" t="s">
        <v>2272</v>
      </c>
      <c r="C1007" t="str">
        <f t="shared" ref="C1007:C1026" si="71">"706"</f>
        <v>706</v>
      </c>
      <c r="D1007" t="s">
        <v>28</v>
      </c>
      <c r="E1007" t="s">
        <v>23</v>
      </c>
      <c r="F1007" t="s">
        <v>23</v>
      </c>
      <c r="G1007" t="s">
        <v>2273</v>
      </c>
      <c r="H1007" t="str">
        <f>"9499"</f>
        <v>9499</v>
      </c>
      <c r="I1007" t="s">
        <v>31</v>
      </c>
    </row>
    <row r="1008" spans="1:9" x14ac:dyDescent="0.3">
      <c r="A1008" t="str">
        <f>"04144406"</f>
        <v>04144406</v>
      </c>
      <c r="B1008" t="s">
        <v>2274</v>
      </c>
      <c r="C1008" t="str">
        <f t="shared" si="71"/>
        <v>706</v>
      </c>
      <c r="D1008" t="s">
        <v>28</v>
      </c>
      <c r="E1008" t="s">
        <v>52</v>
      </c>
      <c r="F1008" t="s">
        <v>52</v>
      </c>
      <c r="G1008" t="s">
        <v>2275</v>
      </c>
      <c r="H1008" t="str">
        <f>"9499"</f>
        <v>9499</v>
      </c>
      <c r="I1008" t="s">
        <v>31</v>
      </c>
    </row>
    <row r="1009" spans="1:17" x14ac:dyDescent="0.3">
      <c r="A1009" t="str">
        <f>"22861645"</f>
        <v>22861645</v>
      </c>
      <c r="B1009" t="s">
        <v>2276</v>
      </c>
      <c r="C1009" t="str">
        <f t="shared" si="71"/>
        <v>706</v>
      </c>
      <c r="D1009" t="s">
        <v>28</v>
      </c>
      <c r="E1009" t="s">
        <v>23</v>
      </c>
      <c r="F1009" t="s">
        <v>23</v>
      </c>
      <c r="G1009" t="s">
        <v>2277</v>
      </c>
      <c r="H1009" t="str">
        <f>"93190"</f>
        <v>93190</v>
      </c>
      <c r="I1009" t="s">
        <v>59</v>
      </c>
    </row>
    <row r="1010" spans="1:17" x14ac:dyDescent="0.3">
      <c r="A1010" t="str">
        <f>"22734732"</f>
        <v>22734732</v>
      </c>
      <c r="B1010" t="s">
        <v>2278</v>
      </c>
      <c r="C1010" t="str">
        <f t="shared" si="71"/>
        <v>706</v>
      </c>
      <c r="D1010" t="s">
        <v>28</v>
      </c>
      <c r="E1010" t="s">
        <v>52</v>
      </c>
      <c r="F1010" t="s">
        <v>334</v>
      </c>
      <c r="G1010" t="s">
        <v>2279</v>
      </c>
      <c r="H1010" t="str">
        <f>"93110"</f>
        <v>93110</v>
      </c>
      <c r="I1010" t="s">
        <v>92</v>
      </c>
    </row>
    <row r="1011" spans="1:17" x14ac:dyDescent="0.3">
      <c r="A1011" t="str">
        <f>"47935251"</f>
        <v>47935251</v>
      </c>
      <c r="B1011" t="s">
        <v>2280</v>
      </c>
      <c r="C1011" t="str">
        <f t="shared" si="71"/>
        <v>706</v>
      </c>
      <c r="D1011" t="s">
        <v>28</v>
      </c>
      <c r="E1011" t="s">
        <v>83</v>
      </c>
      <c r="F1011" t="s">
        <v>183</v>
      </c>
      <c r="G1011" t="s">
        <v>2281</v>
      </c>
      <c r="H1011" t="str">
        <f>"931"</f>
        <v>931</v>
      </c>
      <c r="I1011" t="s">
        <v>26</v>
      </c>
    </row>
    <row r="1012" spans="1:17" x14ac:dyDescent="0.3">
      <c r="A1012" t="str">
        <f>"46311297"</f>
        <v>46311297</v>
      </c>
      <c r="B1012" t="s">
        <v>2282</v>
      </c>
      <c r="C1012" t="str">
        <f t="shared" si="71"/>
        <v>706</v>
      </c>
      <c r="D1012" t="s">
        <v>28</v>
      </c>
      <c r="E1012" t="s">
        <v>23</v>
      </c>
      <c r="F1012" t="s">
        <v>23</v>
      </c>
      <c r="G1012" t="s">
        <v>2283</v>
      </c>
      <c r="H1012" t="str">
        <f>"9499"</f>
        <v>9499</v>
      </c>
      <c r="I1012" t="s">
        <v>31</v>
      </c>
    </row>
    <row r="1013" spans="1:17" x14ac:dyDescent="0.3">
      <c r="A1013" t="str">
        <f>"23007427"</f>
        <v>23007427</v>
      </c>
      <c r="B1013" t="s">
        <v>2284</v>
      </c>
      <c r="C1013" t="str">
        <f t="shared" si="71"/>
        <v>706</v>
      </c>
      <c r="D1013" t="s">
        <v>28</v>
      </c>
      <c r="E1013" t="s">
        <v>23</v>
      </c>
      <c r="F1013" t="s">
        <v>1917</v>
      </c>
      <c r="G1013" t="s">
        <v>2285</v>
      </c>
      <c r="H1013" t="str">
        <f>"94993"</f>
        <v>94993</v>
      </c>
      <c r="I1013" t="s">
        <v>50</v>
      </c>
    </row>
    <row r="1014" spans="1:17" x14ac:dyDescent="0.3">
      <c r="A1014" t="str">
        <f>"27026493"</f>
        <v>27026493</v>
      </c>
      <c r="B1014" t="s">
        <v>2286</v>
      </c>
      <c r="C1014" t="str">
        <f t="shared" si="71"/>
        <v>706</v>
      </c>
      <c r="D1014" t="s">
        <v>28</v>
      </c>
      <c r="E1014" t="s">
        <v>29</v>
      </c>
      <c r="F1014" t="s">
        <v>195</v>
      </c>
      <c r="G1014" t="s">
        <v>2287</v>
      </c>
      <c r="H1014" t="str">
        <f>"9499"</f>
        <v>9499</v>
      </c>
      <c r="I1014" t="s">
        <v>31</v>
      </c>
    </row>
    <row r="1015" spans="1:17" x14ac:dyDescent="0.3">
      <c r="A1015" t="str">
        <f>"22685197"</f>
        <v>22685197</v>
      </c>
      <c r="B1015" t="s">
        <v>2288</v>
      </c>
      <c r="C1015" t="str">
        <f t="shared" si="71"/>
        <v>706</v>
      </c>
      <c r="D1015" t="s">
        <v>28</v>
      </c>
      <c r="E1015" t="s">
        <v>52</v>
      </c>
      <c r="F1015" t="s">
        <v>379</v>
      </c>
      <c r="G1015" t="s">
        <v>2289</v>
      </c>
      <c r="H1015" t="str">
        <f>"93110"</f>
        <v>93110</v>
      </c>
      <c r="I1015" t="s">
        <v>92</v>
      </c>
    </row>
    <row r="1016" spans="1:17" x14ac:dyDescent="0.3">
      <c r="A1016" t="str">
        <f>"47930322"</f>
        <v>47930322</v>
      </c>
      <c r="B1016" t="s">
        <v>2290</v>
      </c>
      <c r="C1016" t="str">
        <f t="shared" si="71"/>
        <v>706</v>
      </c>
      <c r="D1016" t="s">
        <v>28</v>
      </c>
      <c r="E1016" t="s">
        <v>83</v>
      </c>
      <c r="F1016" t="s">
        <v>1718</v>
      </c>
      <c r="G1016" t="s">
        <v>2291</v>
      </c>
      <c r="H1016" t="str">
        <f>"93110"</f>
        <v>93110</v>
      </c>
      <c r="I1016" t="s">
        <v>92</v>
      </c>
    </row>
    <row r="1017" spans="1:17" x14ac:dyDescent="0.3">
      <c r="A1017" t="str">
        <f>"02426391"</f>
        <v>02426391</v>
      </c>
      <c r="B1017" t="s">
        <v>2292</v>
      </c>
      <c r="C1017" t="str">
        <f t="shared" si="71"/>
        <v>706</v>
      </c>
      <c r="D1017" t="s">
        <v>28</v>
      </c>
      <c r="E1017" t="s">
        <v>29</v>
      </c>
      <c r="F1017" t="s">
        <v>117</v>
      </c>
      <c r="G1017" t="s">
        <v>117</v>
      </c>
      <c r="H1017" t="str">
        <f>"9499"</f>
        <v>9499</v>
      </c>
      <c r="I1017" t="s">
        <v>31</v>
      </c>
    </row>
    <row r="1018" spans="1:17" x14ac:dyDescent="0.3">
      <c r="A1018" t="str">
        <f>"26664909"</f>
        <v>26664909</v>
      </c>
      <c r="B1018" t="s">
        <v>2293</v>
      </c>
      <c r="C1018" t="str">
        <f t="shared" si="71"/>
        <v>706</v>
      </c>
      <c r="D1018" t="s">
        <v>28</v>
      </c>
      <c r="E1018" t="s">
        <v>83</v>
      </c>
      <c r="F1018" t="s">
        <v>183</v>
      </c>
      <c r="G1018" t="s">
        <v>2294</v>
      </c>
      <c r="H1018" t="str">
        <f>"93110"</f>
        <v>93110</v>
      </c>
      <c r="I1018" t="s">
        <v>92</v>
      </c>
    </row>
    <row r="1019" spans="1:17" x14ac:dyDescent="0.3">
      <c r="A1019" t="str">
        <f>"22747541"</f>
        <v>22747541</v>
      </c>
      <c r="B1019" t="s">
        <v>2295</v>
      </c>
      <c r="C1019" t="str">
        <f t="shared" si="71"/>
        <v>706</v>
      </c>
      <c r="D1019" t="s">
        <v>28</v>
      </c>
      <c r="E1019" t="s">
        <v>83</v>
      </c>
      <c r="F1019" t="s">
        <v>2296</v>
      </c>
      <c r="G1019" t="s">
        <v>2297</v>
      </c>
      <c r="H1019" t="str">
        <f>"9499"</f>
        <v>9499</v>
      </c>
      <c r="I1019" t="s">
        <v>31</v>
      </c>
    </row>
    <row r="1020" spans="1:17" x14ac:dyDescent="0.3">
      <c r="A1020" t="str">
        <f>"04355814"</f>
        <v>04355814</v>
      </c>
      <c r="B1020" t="s">
        <v>2298</v>
      </c>
      <c r="C1020" t="str">
        <f t="shared" si="71"/>
        <v>706</v>
      </c>
      <c r="D1020" t="s">
        <v>28</v>
      </c>
      <c r="E1020" t="s">
        <v>52</v>
      </c>
      <c r="F1020" t="s">
        <v>379</v>
      </c>
      <c r="G1020" t="s">
        <v>2299</v>
      </c>
      <c r="H1020" t="str">
        <f>"93120"</f>
        <v>93120</v>
      </c>
      <c r="I1020" t="s">
        <v>54</v>
      </c>
      <c r="J1020" t="s">
        <v>259</v>
      </c>
      <c r="K1020" t="s">
        <v>147</v>
      </c>
      <c r="L1020" t="s">
        <v>159</v>
      </c>
      <c r="M1020" t="s">
        <v>146</v>
      </c>
      <c r="N1020" t="s">
        <v>160</v>
      </c>
      <c r="O1020" t="s">
        <v>2300</v>
      </c>
      <c r="P1020" t="s">
        <v>163</v>
      </c>
      <c r="Q1020" t="s">
        <v>59</v>
      </c>
    </row>
    <row r="1021" spans="1:17" x14ac:dyDescent="0.3">
      <c r="A1021" t="str">
        <f>"22723153"</f>
        <v>22723153</v>
      </c>
      <c r="B1021" t="s">
        <v>2301</v>
      </c>
      <c r="C1021" t="str">
        <f t="shared" si="71"/>
        <v>706</v>
      </c>
      <c r="D1021" t="s">
        <v>28</v>
      </c>
      <c r="E1021" t="s">
        <v>52</v>
      </c>
      <c r="F1021" t="s">
        <v>379</v>
      </c>
      <c r="G1021" t="s">
        <v>2299</v>
      </c>
      <c r="H1021" t="str">
        <f>"93110"</f>
        <v>93110</v>
      </c>
      <c r="I1021" t="s">
        <v>92</v>
      </c>
      <c r="J1021" t="s">
        <v>258</v>
      </c>
      <c r="K1021" t="s">
        <v>31</v>
      </c>
      <c r="L1021" t="s">
        <v>221</v>
      </c>
      <c r="M1021" t="s">
        <v>126</v>
      </c>
    </row>
    <row r="1022" spans="1:17" x14ac:dyDescent="0.3">
      <c r="A1022" t="str">
        <f>"26658453"</f>
        <v>26658453</v>
      </c>
      <c r="B1022" t="s">
        <v>2302</v>
      </c>
      <c r="C1022" t="str">
        <f t="shared" si="71"/>
        <v>706</v>
      </c>
      <c r="D1022" t="s">
        <v>28</v>
      </c>
      <c r="E1022" t="s">
        <v>23</v>
      </c>
      <c r="F1022" t="s">
        <v>24</v>
      </c>
      <c r="G1022" t="s">
        <v>2303</v>
      </c>
      <c r="H1022" t="str">
        <f>"93110"</f>
        <v>93110</v>
      </c>
      <c r="I1022" t="s">
        <v>92</v>
      </c>
    </row>
    <row r="1023" spans="1:17" x14ac:dyDescent="0.3">
      <c r="A1023" t="str">
        <f>"02442451"</f>
        <v>02442451</v>
      </c>
      <c r="B1023" t="s">
        <v>2304</v>
      </c>
      <c r="C1023" t="str">
        <f t="shared" si="71"/>
        <v>706</v>
      </c>
      <c r="D1023" t="s">
        <v>28</v>
      </c>
      <c r="E1023" t="s">
        <v>29</v>
      </c>
      <c r="F1023" t="s">
        <v>195</v>
      </c>
      <c r="G1023" t="s">
        <v>195</v>
      </c>
      <c r="H1023" t="str">
        <f>"93110"</f>
        <v>93110</v>
      </c>
      <c r="I1023" t="s">
        <v>92</v>
      </c>
    </row>
    <row r="1024" spans="1:17" x14ac:dyDescent="0.3">
      <c r="A1024" t="str">
        <f>"02442434"</f>
        <v>02442434</v>
      </c>
      <c r="B1024" t="s">
        <v>2305</v>
      </c>
      <c r="C1024" t="str">
        <f t="shared" si="71"/>
        <v>706</v>
      </c>
      <c r="D1024" t="s">
        <v>28</v>
      </c>
      <c r="E1024" t="s">
        <v>29</v>
      </c>
      <c r="F1024" t="s">
        <v>195</v>
      </c>
      <c r="G1024" t="s">
        <v>2306</v>
      </c>
      <c r="H1024" t="str">
        <f>"93110"</f>
        <v>93110</v>
      </c>
      <c r="I1024" t="s">
        <v>92</v>
      </c>
    </row>
    <row r="1025" spans="1:10" x14ac:dyDescent="0.3">
      <c r="A1025" t="str">
        <f>"02450003"</f>
        <v>02450003</v>
      </c>
      <c r="B1025" t="s">
        <v>2307</v>
      </c>
      <c r="C1025" t="str">
        <f t="shared" si="71"/>
        <v>706</v>
      </c>
      <c r="D1025" t="s">
        <v>28</v>
      </c>
      <c r="E1025" t="s">
        <v>29</v>
      </c>
      <c r="F1025" t="s">
        <v>45</v>
      </c>
      <c r="G1025" t="s">
        <v>45</v>
      </c>
      <c r="H1025" t="str">
        <f>"93110"</f>
        <v>93110</v>
      </c>
      <c r="I1025" t="s">
        <v>92</v>
      </c>
    </row>
    <row r="1026" spans="1:10" x14ac:dyDescent="0.3">
      <c r="A1026" t="str">
        <f>"22824219"</f>
        <v>22824219</v>
      </c>
      <c r="B1026" t="s">
        <v>2308</v>
      </c>
      <c r="C1026" t="str">
        <f t="shared" si="71"/>
        <v>706</v>
      </c>
      <c r="D1026" t="s">
        <v>28</v>
      </c>
      <c r="E1026" t="s">
        <v>23</v>
      </c>
      <c r="F1026" t="s">
        <v>23</v>
      </c>
      <c r="G1026" t="s">
        <v>2309</v>
      </c>
      <c r="H1026" t="str">
        <f>"9499"</f>
        <v>9499</v>
      </c>
      <c r="I1026" t="s">
        <v>31</v>
      </c>
    </row>
    <row r="1027" spans="1:10" x14ac:dyDescent="0.3">
      <c r="A1027" t="str">
        <f>"70287341"</f>
        <v>70287341</v>
      </c>
      <c r="B1027" t="s">
        <v>2310</v>
      </c>
      <c r="C1027" t="str">
        <f>"736"</f>
        <v>736</v>
      </c>
      <c r="D1027" t="s">
        <v>22</v>
      </c>
      <c r="E1027" t="s">
        <v>52</v>
      </c>
      <c r="F1027" t="s">
        <v>234</v>
      </c>
      <c r="G1027" t="s">
        <v>2311</v>
      </c>
      <c r="H1027" t="str">
        <f>"94993"</f>
        <v>94993</v>
      </c>
      <c r="I1027" t="s">
        <v>50</v>
      </c>
    </row>
    <row r="1028" spans="1:10" x14ac:dyDescent="0.3">
      <c r="A1028" t="str">
        <f>"07201788"</f>
        <v>07201788</v>
      </c>
      <c r="B1028" t="s">
        <v>2312</v>
      </c>
      <c r="C1028" t="str">
        <f>"736"</f>
        <v>736</v>
      </c>
      <c r="D1028" t="s">
        <v>22</v>
      </c>
      <c r="E1028" t="s">
        <v>83</v>
      </c>
      <c r="F1028" t="s">
        <v>83</v>
      </c>
      <c r="G1028" t="s">
        <v>2313</v>
      </c>
      <c r="H1028" t="str">
        <f>"94993"</f>
        <v>94993</v>
      </c>
      <c r="I1028" t="s">
        <v>50</v>
      </c>
    </row>
    <row r="1029" spans="1:10" x14ac:dyDescent="0.3">
      <c r="A1029" t="str">
        <f>"62832026"</f>
        <v>62832026</v>
      </c>
      <c r="B1029" t="s">
        <v>2314</v>
      </c>
      <c r="C1029" t="str">
        <f>"736"</f>
        <v>736</v>
      </c>
      <c r="D1029" t="s">
        <v>22</v>
      </c>
      <c r="E1029" t="s">
        <v>52</v>
      </c>
      <c r="F1029" t="s">
        <v>612</v>
      </c>
      <c r="G1029" t="s">
        <v>2315</v>
      </c>
      <c r="H1029" t="str">
        <f>"94993"</f>
        <v>94993</v>
      </c>
      <c r="I1029" t="s">
        <v>50</v>
      </c>
    </row>
    <row r="1030" spans="1:10" x14ac:dyDescent="0.3">
      <c r="A1030" t="str">
        <f>"46311009"</f>
        <v>46311009</v>
      </c>
      <c r="B1030" t="s">
        <v>2316</v>
      </c>
      <c r="C1030" t="str">
        <f t="shared" ref="C1030:C1041" si="72">"706"</f>
        <v>706</v>
      </c>
      <c r="D1030" t="s">
        <v>28</v>
      </c>
      <c r="E1030" t="s">
        <v>23</v>
      </c>
      <c r="F1030" t="s">
        <v>23</v>
      </c>
      <c r="G1030" t="s">
        <v>23</v>
      </c>
      <c r="H1030" t="str">
        <f>"9499"</f>
        <v>9499</v>
      </c>
      <c r="I1030" t="s">
        <v>31</v>
      </c>
    </row>
    <row r="1031" spans="1:10" x14ac:dyDescent="0.3">
      <c r="A1031" t="str">
        <f>"06208606"</f>
        <v>06208606</v>
      </c>
      <c r="B1031" t="s">
        <v>2317</v>
      </c>
      <c r="C1031" t="str">
        <f t="shared" si="72"/>
        <v>706</v>
      </c>
      <c r="D1031" t="s">
        <v>28</v>
      </c>
      <c r="E1031" t="s">
        <v>23</v>
      </c>
      <c r="F1031" t="s">
        <v>2318</v>
      </c>
      <c r="G1031" t="s">
        <v>2319</v>
      </c>
      <c r="H1031" t="str">
        <f>"94996"</f>
        <v>94996</v>
      </c>
      <c r="I1031" t="s">
        <v>47</v>
      </c>
    </row>
    <row r="1032" spans="1:10" x14ac:dyDescent="0.3">
      <c r="A1032" t="str">
        <f>"06429874"</f>
        <v>06429874</v>
      </c>
      <c r="B1032" t="s">
        <v>2320</v>
      </c>
      <c r="C1032" t="str">
        <f t="shared" si="72"/>
        <v>706</v>
      </c>
      <c r="D1032" t="s">
        <v>28</v>
      </c>
      <c r="E1032" t="s">
        <v>29</v>
      </c>
      <c r="F1032" t="s">
        <v>29</v>
      </c>
      <c r="G1032" t="s">
        <v>724</v>
      </c>
      <c r="H1032" t="str">
        <f t="shared" ref="H1032:H1037" si="73">"9499"</f>
        <v>9499</v>
      </c>
      <c r="I1032" t="s">
        <v>31</v>
      </c>
    </row>
    <row r="1033" spans="1:10" x14ac:dyDescent="0.3">
      <c r="A1033" t="str">
        <f>"08134413"</f>
        <v>08134413</v>
      </c>
      <c r="B1033" t="s">
        <v>2321</v>
      </c>
      <c r="C1033" t="str">
        <f t="shared" si="72"/>
        <v>706</v>
      </c>
      <c r="D1033" t="s">
        <v>28</v>
      </c>
      <c r="E1033" t="s">
        <v>29</v>
      </c>
      <c r="F1033" t="s">
        <v>775</v>
      </c>
      <c r="G1033" t="s">
        <v>2322</v>
      </c>
      <c r="H1033" t="str">
        <f t="shared" si="73"/>
        <v>9499</v>
      </c>
      <c r="I1033" t="s">
        <v>31</v>
      </c>
      <c r="J1033" t="s">
        <v>2323</v>
      </c>
    </row>
    <row r="1034" spans="1:10" x14ac:dyDescent="0.3">
      <c r="A1034" t="str">
        <f>"01966405"</f>
        <v>01966405</v>
      </c>
      <c r="B1034" t="s">
        <v>2324</v>
      </c>
      <c r="C1034" t="str">
        <f t="shared" si="72"/>
        <v>706</v>
      </c>
      <c r="D1034" t="s">
        <v>28</v>
      </c>
      <c r="E1034" t="s">
        <v>23</v>
      </c>
      <c r="F1034" t="s">
        <v>23</v>
      </c>
      <c r="G1034" t="s">
        <v>2325</v>
      </c>
      <c r="H1034" t="str">
        <f t="shared" si="73"/>
        <v>9499</v>
      </c>
      <c r="I1034" t="s">
        <v>31</v>
      </c>
    </row>
    <row r="1035" spans="1:10" x14ac:dyDescent="0.3">
      <c r="A1035" t="str">
        <f>"22737278"</f>
        <v>22737278</v>
      </c>
      <c r="B1035" t="s">
        <v>2326</v>
      </c>
      <c r="C1035" t="str">
        <f t="shared" si="72"/>
        <v>706</v>
      </c>
      <c r="D1035" t="s">
        <v>28</v>
      </c>
      <c r="E1035" t="s">
        <v>29</v>
      </c>
      <c r="F1035" t="s">
        <v>29</v>
      </c>
      <c r="G1035" t="s">
        <v>2327</v>
      </c>
      <c r="H1035" t="str">
        <f t="shared" si="73"/>
        <v>9499</v>
      </c>
      <c r="I1035" t="s">
        <v>31</v>
      </c>
    </row>
    <row r="1036" spans="1:10" x14ac:dyDescent="0.3">
      <c r="A1036" t="str">
        <f>"09055673"</f>
        <v>09055673</v>
      </c>
      <c r="B1036" t="s">
        <v>2328</v>
      </c>
      <c r="C1036" t="str">
        <f t="shared" si="72"/>
        <v>706</v>
      </c>
      <c r="D1036" t="s">
        <v>28</v>
      </c>
      <c r="E1036" t="s">
        <v>23</v>
      </c>
      <c r="F1036" t="s">
        <v>245</v>
      </c>
      <c r="G1036" t="s">
        <v>2329</v>
      </c>
      <c r="H1036" t="str">
        <f t="shared" si="73"/>
        <v>9499</v>
      </c>
      <c r="I1036" t="s">
        <v>31</v>
      </c>
    </row>
    <row r="1037" spans="1:10" x14ac:dyDescent="0.3">
      <c r="A1037" t="str">
        <f>"69722617"</f>
        <v>69722617</v>
      </c>
      <c r="B1037" t="s">
        <v>2330</v>
      </c>
      <c r="C1037" t="str">
        <f t="shared" si="72"/>
        <v>706</v>
      </c>
      <c r="D1037" t="s">
        <v>28</v>
      </c>
      <c r="E1037" t="s">
        <v>83</v>
      </c>
      <c r="F1037" t="s">
        <v>83</v>
      </c>
      <c r="G1037" t="s">
        <v>2331</v>
      </c>
      <c r="H1037" t="str">
        <f t="shared" si="73"/>
        <v>9499</v>
      </c>
      <c r="I1037" t="s">
        <v>31</v>
      </c>
    </row>
    <row r="1038" spans="1:10" x14ac:dyDescent="0.3">
      <c r="A1038" t="str">
        <f>"22905570"</f>
        <v>22905570</v>
      </c>
      <c r="B1038" t="s">
        <v>2332</v>
      </c>
      <c r="C1038" t="str">
        <f t="shared" si="72"/>
        <v>706</v>
      </c>
      <c r="D1038" t="s">
        <v>28</v>
      </c>
      <c r="E1038" t="s">
        <v>29</v>
      </c>
      <c r="F1038" t="s">
        <v>195</v>
      </c>
      <c r="G1038" t="s">
        <v>2333</v>
      </c>
      <c r="H1038" t="str">
        <f>"94996"</f>
        <v>94996</v>
      </c>
      <c r="I1038" t="s">
        <v>47</v>
      </c>
    </row>
    <row r="1039" spans="1:10" x14ac:dyDescent="0.3">
      <c r="A1039" t="str">
        <f>"05053927"</f>
        <v>05053927</v>
      </c>
      <c r="B1039" t="s">
        <v>2334</v>
      </c>
      <c r="C1039" t="str">
        <f t="shared" si="72"/>
        <v>706</v>
      </c>
      <c r="D1039" t="s">
        <v>28</v>
      </c>
      <c r="E1039" t="s">
        <v>29</v>
      </c>
      <c r="F1039" t="s">
        <v>29</v>
      </c>
      <c r="G1039" t="s">
        <v>2335</v>
      </c>
      <c r="H1039" t="str">
        <f>"9499"</f>
        <v>9499</v>
      </c>
      <c r="I1039" t="s">
        <v>31</v>
      </c>
    </row>
    <row r="1040" spans="1:10" x14ac:dyDescent="0.3">
      <c r="A1040" t="str">
        <f>"26599040"</f>
        <v>26599040</v>
      </c>
      <c r="B1040" t="s">
        <v>2336</v>
      </c>
      <c r="C1040" t="str">
        <f t="shared" si="72"/>
        <v>706</v>
      </c>
      <c r="D1040" t="s">
        <v>28</v>
      </c>
      <c r="E1040" t="s">
        <v>23</v>
      </c>
      <c r="F1040" t="s">
        <v>23</v>
      </c>
      <c r="G1040" t="s">
        <v>2337</v>
      </c>
      <c r="H1040" t="str">
        <f>"9499"</f>
        <v>9499</v>
      </c>
      <c r="I1040" t="s">
        <v>31</v>
      </c>
    </row>
    <row r="1041" spans="1:24" x14ac:dyDescent="0.3">
      <c r="A1041" t="str">
        <f>"21332240"</f>
        <v>21332240</v>
      </c>
      <c r="B1041" t="s">
        <v>2338</v>
      </c>
      <c r="C1041" t="str">
        <f t="shared" si="72"/>
        <v>706</v>
      </c>
      <c r="D1041" t="s">
        <v>28</v>
      </c>
      <c r="E1041" t="s">
        <v>23</v>
      </c>
      <c r="F1041" t="s">
        <v>23</v>
      </c>
      <c r="G1041" t="s">
        <v>2339</v>
      </c>
      <c r="H1041" t="str">
        <f>"96090"</f>
        <v>96090</v>
      </c>
      <c r="I1041" t="s">
        <v>148</v>
      </c>
      <c r="J1041" t="s">
        <v>155</v>
      </c>
      <c r="K1041" t="s">
        <v>258</v>
      </c>
      <c r="L1041" t="s">
        <v>157</v>
      </c>
      <c r="M1041" t="s">
        <v>146</v>
      </c>
      <c r="N1041" t="s">
        <v>262</v>
      </c>
      <c r="O1041" t="s">
        <v>2340</v>
      </c>
      <c r="P1041" t="s">
        <v>162</v>
      </c>
    </row>
    <row r="1042" spans="1:24" x14ac:dyDescent="0.3">
      <c r="A1042" t="str">
        <f>"05266068"</f>
        <v>05266068</v>
      </c>
      <c r="B1042" t="s">
        <v>2341</v>
      </c>
      <c r="C1042" t="str">
        <f>"117"</f>
        <v>117</v>
      </c>
      <c r="D1042" t="s">
        <v>1371</v>
      </c>
      <c r="E1042" t="s">
        <v>52</v>
      </c>
      <c r="F1042" t="s">
        <v>379</v>
      </c>
      <c r="G1042" t="s">
        <v>2342</v>
      </c>
      <c r="H1042" t="str">
        <f>"94999"</f>
        <v>94999</v>
      </c>
      <c r="I1042" t="s">
        <v>202</v>
      </c>
    </row>
    <row r="1043" spans="1:24" x14ac:dyDescent="0.3">
      <c r="A1043" t="str">
        <f>"22689036"</f>
        <v>22689036</v>
      </c>
      <c r="B1043" t="s">
        <v>2343</v>
      </c>
      <c r="C1043" t="str">
        <f>"706"</f>
        <v>706</v>
      </c>
      <c r="D1043" t="s">
        <v>28</v>
      </c>
      <c r="E1043" t="s">
        <v>23</v>
      </c>
      <c r="F1043" t="s">
        <v>23</v>
      </c>
      <c r="G1043" t="s">
        <v>2344</v>
      </c>
      <c r="H1043" t="str">
        <f>"9499"</f>
        <v>9499</v>
      </c>
      <c r="I1043" t="s">
        <v>31</v>
      </c>
    </row>
    <row r="1044" spans="1:24" x14ac:dyDescent="0.3">
      <c r="A1044" t="str">
        <f>"04751604"</f>
        <v>04751604</v>
      </c>
      <c r="B1044" t="s">
        <v>2345</v>
      </c>
      <c r="C1044" t="str">
        <f>"706"</f>
        <v>706</v>
      </c>
      <c r="D1044" t="s">
        <v>28</v>
      </c>
      <c r="E1044" t="s">
        <v>52</v>
      </c>
      <c r="F1044" t="s">
        <v>52</v>
      </c>
      <c r="G1044" t="s">
        <v>2346</v>
      </c>
      <c r="H1044" t="str">
        <f>"9499"</f>
        <v>9499</v>
      </c>
      <c r="I1044" t="s">
        <v>31</v>
      </c>
      <c r="J1044" t="s">
        <v>258</v>
      </c>
      <c r="K1044" t="s">
        <v>2347</v>
      </c>
      <c r="L1044" t="s">
        <v>2348</v>
      </c>
      <c r="M1044" t="s">
        <v>903</v>
      </c>
      <c r="N1044" t="s">
        <v>2349</v>
      </c>
      <c r="O1044" t="s">
        <v>1132</v>
      </c>
      <c r="P1044" t="s">
        <v>2350</v>
      </c>
      <c r="Q1044" t="s">
        <v>2351</v>
      </c>
      <c r="R1044" t="s">
        <v>2352</v>
      </c>
      <c r="S1044" t="s">
        <v>159</v>
      </c>
      <c r="T1044" t="s">
        <v>2353</v>
      </c>
    </row>
    <row r="1045" spans="1:24" x14ac:dyDescent="0.3">
      <c r="A1045" t="str">
        <f>"09147276"</f>
        <v>09147276</v>
      </c>
      <c r="B1045" t="s">
        <v>2354</v>
      </c>
      <c r="C1045" t="str">
        <f>"706"</f>
        <v>706</v>
      </c>
      <c r="D1045" t="s">
        <v>28</v>
      </c>
      <c r="E1045" t="s">
        <v>23</v>
      </c>
      <c r="F1045" t="s">
        <v>23</v>
      </c>
      <c r="G1045" t="s">
        <v>2355</v>
      </c>
      <c r="H1045" t="str">
        <f>"9499"</f>
        <v>9499</v>
      </c>
      <c r="I1045" t="s">
        <v>31</v>
      </c>
    </row>
    <row r="1046" spans="1:24" x14ac:dyDescent="0.3">
      <c r="A1046" t="str">
        <f>"06628711"</f>
        <v>06628711</v>
      </c>
      <c r="B1046" t="s">
        <v>2356</v>
      </c>
      <c r="C1046" t="str">
        <f>"161"</f>
        <v>161</v>
      </c>
      <c r="D1046" t="s">
        <v>152</v>
      </c>
      <c r="E1046" t="s">
        <v>52</v>
      </c>
      <c r="F1046" t="s">
        <v>645</v>
      </c>
      <c r="G1046" t="s">
        <v>2357</v>
      </c>
      <c r="H1046" t="str">
        <f>"85600"</f>
        <v>85600</v>
      </c>
      <c r="I1046" t="s">
        <v>173</v>
      </c>
      <c r="J1046" t="s">
        <v>236</v>
      </c>
      <c r="K1046" t="s">
        <v>156</v>
      </c>
      <c r="L1046" t="s">
        <v>238</v>
      </c>
      <c r="M1046" t="s">
        <v>312</v>
      </c>
      <c r="N1046" t="s">
        <v>2350</v>
      </c>
      <c r="O1046" t="s">
        <v>2358</v>
      </c>
      <c r="P1046" t="s">
        <v>159</v>
      </c>
      <c r="Q1046" t="s">
        <v>260</v>
      </c>
      <c r="R1046" t="s">
        <v>146</v>
      </c>
      <c r="S1046" t="s">
        <v>160</v>
      </c>
      <c r="T1046" t="s">
        <v>31</v>
      </c>
      <c r="U1046" t="s">
        <v>1061</v>
      </c>
      <c r="V1046" t="s">
        <v>262</v>
      </c>
      <c r="W1046" t="str">
        <f>"74300"</f>
        <v>74300</v>
      </c>
      <c r="X1046" t="s">
        <v>2340</v>
      </c>
    </row>
    <row r="1047" spans="1:24" x14ac:dyDescent="0.3">
      <c r="A1047" t="str">
        <f>"22820329"</f>
        <v>22820329</v>
      </c>
      <c r="B1047" t="s">
        <v>2359</v>
      </c>
      <c r="C1047" t="str">
        <f>"706"</f>
        <v>706</v>
      </c>
      <c r="D1047" t="s">
        <v>28</v>
      </c>
      <c r="E1047" t="s">
        <v>29</v>
      </c>
      <c r="F1047" t="s">
        <v>38</v>
      </c>
      <c r="G1047" t="s">
        <v>2360</v>
      </c>
      <c r="H1047" t="str">
        <f>"9499"</f>
        <v>9499</v>
      </c>
      <c r="I1047" t="s">
        <v>31</v>
      </c>
    </row>
    <row r="1048" spans="1:24" x14ac:dyDescent="0.3">
      <c r="A1048" t="str">
        <f>"17427762"</f>
        <v>17427762</v>
      </c>
      <c r="B1048" t="s">
        <v>2361</v>
      </c>
      <c r="C1048" t="str">
        <f>"706"</f>
        <v>706</v>
      </c>
      <c r="D1048" t="s">
        <v>28</v>
      </c>
      <c r="E1048" t="s">
        <v>23</v>
      </c>
      <c r="F1048" t="s">
        <v>24</v>
      </c>
      <c r="G1048" t="s">
        <v>2362</v>
      </c>
      <c r="H1048" t="str">
        <f>"9499"</f>
        <v>9499</v>
      </c>
      <c r="I1048" t="s">
        <v>31</v>
      </c>
    </row>
    <row r="1049" spans="1:24" x14ac:dyDescent="0.3">
      <c r="A1049" t="str">
        <f>"22733591"</f>
        <v>22733591</v>
      </c>
      <c r="B1049" t="s">
        <v>2363</v>
      </c>
      <c r="C1049" t="str">
        <f>"141"</f>
        <v>141</v>
      </c>
      <c r="D1049" t="s">
        <v>112</v>
      </c>
      <c r="E1049" t="s">
        <v>23</v>
      </c>
      <c r="F1049" t="s">
        <v>23</v>
      </c>
      <c r="G1049" t="s">
        <v>2265</v>
      </c>
      <c r="H1049" t="str">
        <f>"855"</f>
        <v>855</v>
      </c>
      <c r="I1049" t="s">
        <v>146</v>
      </c>
      <c r="J1049" t="s">
        <v>312</v>
      </c>
    </row>
    <row r="1050" spans="1:24" x14ac:dyDescent="0.3">
      <c r="A1050" t="str">
        <f>"11741643"</f>
        <v>11741643</v>
      </c>
      <c r="B1050" t="s">
        <v>2364</v>
      </c>
      <c r="C1050" t="str">
        <f>"118"</f>
        <v>118</v>
      </c>
      <c r="D1050" t="s">
        <v>337</v>
      </c>
      <c r="E1050" t="s">
        <v>29</v>
      </c>
      <c r="F1050" t="s">
        <v>1004</v>
      </c>
      <c r="G1050" t="s">
        <v>2365</v>
      </c>
      <c r="H1050" t="str">
        <f>"9499"</f>
        <v>9499</v>
      </c>
      <c r="I1050" t="s">
        <v>31</v>
      </c>
    </row>
    <row r="1051" spans="1:24" x14ac:dyDescent="0.3">
      <c r="A1051" t="str">
        <f>"28998260"</f>
        <v>28998260</v>
      </c>
      <c r="B1051" t="s">
        <v>2366</v>
      </c>
      <c r="C1051" t="str">
        <f>"141"</f>
        <v>141</v>
      </c>
      <c r="D1051" t="s">
        <v>112</v>
      </c>
      <c r="E1051" t="s">
        <v>23</v>
      </c>
      <c r="F1051" t="s">
        <v>23</v>
      </c>
      <c r="G1051" t="s">
        <v>2367</v>
      </c>
      <c r="H1051" t="str">
        <f>"8559"</f>
        <v>8559</v>
      </c>
      <c r="I1051" t="s">
        <v>115</v>
      </c>
    </row>
    <row r="1052" spans="1:24" x14ac:dyDescent="0.3">
      <c r="A1052" t="str">
        <f>"22269576"</f>
        <v>22269576</v>
      </c>
      <c r="B1052" t="s">
        <v>2368</v>
      </c>
      <c r="C1052" t="str">
        <f t="shared" ref="C1052:C1061" si="74">"706"</f>
        <v>706</v>
      </c>
      <c r="D1052" t="s">
        <v>28</v>
      </c>
      <c r="E1052" t="s">
        <v>83</v>
      </c>
      <c r="F1052" t="s">
        <v>83</v>
      </c>
      <c r="G1052" t="s">
        <v>2369</v>
      </c>
      <c r="H1052" t="str">
        <f>"9499"</f>
        <v>9499</v>
      </c>
      <c r="I1052" t="s">
        <v>31</v>
      </c>
    </row>
    <row r="1053" spans="1:24" x14ac:dyDescent="0.3">
      <c r="A1053" t="str">
        <f>"01603183"</f>
        <v>01603183</v>
      </c>
      <c r="B1053" t="s">
        <v>2370</v>
      </c>
      <c r="C1053" t="str">
        <f t="shared" si="74"/>
        <v>706</v>
      </c>
      <c r="D1053" t="s">
        <v>28</v>
      </c>
      <c r="E1053" t="s">
        <v>52</v>
      </c>
      <c r="F1053" t="s">
        <v>52</v>
      </c>
      <c r="G1053" t="s">
        <v>2371</v>
      </c>
      <c r="H1053" t="str">
        <f>"94999"</f>
        <v>94999</v>
      </c>
      <c r="I1053" t="s">
        <v>202</v>
      </c>
    </row>
    <row r="1054" spans="1:24" x14ac:dyDescent="0.3">
      <c r="A1054" t="str">
        <f>"27032680"</f>
        <v>27032680</v>
      </c>
      <c r="B1054" t="s">
        <v>2372</v>
      </c>
      <c r="C1054" t="str">
        <f t="shared" si="74"/>
        <v>706</v>
      </c>
      <c r="D1054" t="s">
        <v>28</v>
      </c>
      <c r="E1054" t="s">
        <v>23</v>
      </c>
      <c r="F1054" t="s">
        <v>1555</v>
      </c>
      <c r="G1054" t="s">
        <v>2373</v>
      </c>
      <c r="H1054" t="str">
        <f>"94995"</f>
        <v>94995</v>
      </c>
      <c r="I1054" t="s">
        <v>232</v>
      </c>
    </row>
    <row r="1055" spans="1:24" x14ac:dyDescent="0.3">
      <c r="A1055" t="str">
        <f>"22892133"</f>
        <v>22892133</v>
      </c>
      <c r="B1055" t="s">
        <v>2374</v>
      </c>
      <c r="C1055" t="str">
        <f t="shared" si="74"/>
        <v>706</v>
      </c>
      <c r="D1055" t="s">
        <v>28</v>
      </c>
      <c r="E1055" t="s">
        <v>23</v>
      </c>
      <c r="F1055" t="s">
        <v>24</v>
      </c>
      <c r="G1055" t="s">
        <v>2375</v>
      </c>
      <c r="H1055" t="str">
        <f>"94995"</f>
        <v>94995</v>
      </c>
      <c r="I1055" t="s">
        <v>232</v>
      </c>
    </row>
    <row r="1056" spans="1:24" x14ac:dyDescent="0.3">
      <c r="A1056" t="str">
        <f>"22904999"</f>
        <v>22904999</v>
      </c>
      <c r="B1056" t="s">
        <v>2376</v>
      </c>
      <c r="C1056" t="str">
        <f t="shared" si="74"/>
        <v>706</v>
      </c>
      <c r="D1056" t="s">
        <v>28</v>
      </c>
      <c r="E1056" t="s">
        <v>52</v>
      </c>
      <c r="F1056" t="s">
        <v>2377</v>
      </c>
      <c r="G1056" t="s">
        <v>2378</v>
      </c>
      <c r="H1056" t="str">
        <f t="shared" ref="H1056:H1061" si="75">"9499"</f>
        <v>9499</v>
      </c>
      <c r="I1056" t="s">
        <v>31</v>
      </c>
    </row>
    <row r="1057" spans="1:13" x14ac:dyDescent="0.3">
      <c r="A1057" t="str">
        <f>"26530309"</f>
        <v>26530309</v>
      </c>
      <c r="B1057" t="s">
        <v>2379</v>
      </c>
      <c r="C1057" t="str">
        <f t="shared" si="74"/>
        <v>706</v>
      </c>
      <c r="D1057" t="s">
        <v>28</v>
      </c>
      <c r="E1057" t="s">
        <v>29</v>
      </c>
      <c r="F1057" t="s">
        <v>38</v>
      </c>
      <c r="G1057" t="s">
        <v>2380</v>
      </c>
      <c r="H1057" t="str">
        <f t="shared" si="75"/>
        <v>9499</v>
      </c>
      <c r="I1057" t="s">
        <v>31</v>
      </c>
    </row>
    <row r="1058" spans="1:13" x14ac:dyDescent="0.3">
      <c r="A1058" t="str">
        <f>"27042928"</f>
        <v>27042928</v>
      </c>
      <c r="B1058" t="s">
        <v>2381</v>
      </c>
      <c r="C1058" t="str">
        <f t="shared" si="74"/>
        <v>706</v>
      </c>
      <c r="D1058" t="s">
        <v>28</v>
      </c>
      <c r="E1058" t="s">
        <v>83</v>
      </c>
      <c r="F1058" t="s">
        <v>1042</v>
      </c>
      <c r="G1058" t="s">
        <v>2382</v>
      </c>
      <c r="H1058" t="str">
        <f t="shared" si="75"/>
        <v>9499</v>
      </c>
      <c r="I1058" t="s">
        <v>31</v>
      </c>
    </row>
    <row r="1059" spans="1:13" x14ac:dyDescent="0.3">
      <c r="A1059" t="str">
        <f>"00395439"</f>
        <v>00395439</v>
      </c>
      <c r="B1059" t="s">
        <v>2383</v>
      </c>
      <c r="C1059" t="str">
        <f t="shared" si="74"/>
        <v>706</v>
      </c>
      <c r="D1059" t="s">
        <v>28</v>
      </c>
      <c r="E1059" t="s">
        <v>52</v>
      </c>
      <c r="F1059" t="s">
        <v>488</v>
      </c>
      <c r="G1059" t="s">
        <v>1768</v>
      </c>
      <c r="H1059" t="str">
        <f t="shared" si="75"/>
        <v>9499</v>
      </c>
      <c r="I1059" t="s">
        <v>31</v>
      </c>
      <c r="J1059" t="s">
        <v>500</v>
      </c>
    </row>
    <row r="1060" spans="1:13" x14ac:dyDescent="0.3">
      <c r="A1060" t="str">
        <f>"22821384"</f>
        <v>22821384</v>
      </c>
      <c r="B1060" t="s">
        <v>2384</v>
      </c>
      <c r="C1060" t="str">
        <f t="shared" si="74"/>
        <v>706</v>
      </c>
      <c r="D1060" t="s">
        <v>28</v>
      </c>
      <c r="E1060" t="s">
        <v>29</v>
      </c>
      <c r="F1060" t="s">
        <v>38</v>
      </c>
      <c r="G1060" t="s">
        <v>290</v>
      </c>
      <c r="H1060" t="str">
        <f t="shared" si="75"/>
        <v>9499</v>
      </c>
      <c r="I1060" t="s">
        <v>31</v>
      </c>
    </row>
    <row r="1061" spans="1:13" x14ac:dyDescent="0.3">
      <c r="A1061" t="str">
        <f>"17137446"</f>
        <v>17137446</v>
      </c>
      <c r="B1061" t="s">
        <v>2385</v>
      </c>
      <c r="C1061" t="str">
        <f t="shared" si="74"/>
        <v>706</v>
      </c>
      <c r="D1061" t="s">
        <v>28</v>
      </c>
      <c r="E1061" t="s">
        <v>23</v>
      </c>
      <c r="F1061" t="s">
        <v>688</v>
      </c>
      <c r="G1061" t="s">
        <v>2386</v>
      </c>
      <c r="H1061" t="str">
        <f t="shared" si="75"/>
        <v>9499</v>
      </c>
      <c r="I1061" t="s">
        <v>31</v>
      </c>
    </row>
    <row r="1062" spans="1:13" x14ac:dyDescent="0.3">
      <c r="A1062" t="str">
        <f>"01955144"</f>
        <v>01955144</v>
      </c>
      <c r="B1062" t="s">
        <v>2387</v>
      </c>
      <c r="C1062" t="str">
        <f>"141"</f>
        <v>141</v>
      </c>
      <c r="D1062" t="s">
        <v>112</v>
      </c>
      <c r="E1062" t="s">
        <v>29</v>
      </c>
      <c r="F1062" t="s">
        <v>29</v>
      </c>
      <c r="G1062" t="s">
        <v>2388</v>
      </c>
      <c r="H1062" t="str">
        <f>"8790"</f>
        <v>8790</v>
      </c>
      <c r="I1062" t="s">
        <v>1187</v>
      </c>
      <c r="J1062" t="s">
        <v>155</v>
      </c>
      <c r="K1062" t="s">
        <v>146</v>
      </c>
      <c r="L1062" t="s">
        <v>126</v>
      </c>
    </row>
    <row r="1063" spans="1:13" x14ac:dyDescent="0.3">
      <c r="A1063" t="str">
        <f>"06167306"</f>
        <v>06167306</v>
      </c>
      <c r="B1063" t="s">
        <v>2389</v>
      </c>
      <c r="C1063" t="str">
        <f>"706"</f>
        <v>706</v>
      </c>
      <c r="D1063" t="s">
        <v>28</v>
      </c>
      <c r="E1063" t="s">
        <v>52</v>
      </c>
      <c r="F1063" t="s">
        <v>52</v>
      </c>
      <c r="G1063" t="s">
        <v>2390</v>
      </c>
      <c r="H1063" t="str">
        <f>"93190"</f>
        <v>93190</v>
      </c>
      <c r="I1063" t="s">
        <v>59</v>
      </c>
    </row>
    <row r="1064" spans="1:13" x14ac:dyDescent="0.3">
      <c r="A1064" t="str">
        <f>"22742522"</f>
        <v>22742522</v>
      </c>
      <c r="B1064" t="s">
        <v>2391</v>
      </c>
      <c r="C1064" t="str">
        <f>"706"</f>
        <v>706</v>
      </c>
      <c r="D1064" t="s">
        <v>28</v>
      </c>
      <c r="E1064" t="s">
        <v>29</v>
      </c>
      <c r="F1064" t="s">
        <v>778</v>
      </c>
      <c r="G1064" t="s">
        <v>2392</v>
      </c>
      <c r="H1064" t="str">
        <f>"9499"</f>
        <v>9499</v>
      </c>
      <c r="I1064" t="s">
        <v>31</v>
      </c>
    </row>
    <row r="1065" spans="1:13" x14ac:dyDescent="0.3">
      <c r="A1065" t="str">
        <f>"27014002"</f>
        <v>27014002</v>
      </c>
      <c r="B1065" t="s">
        <v>2393</v>
      </c>
      <c r="C1065" t="str">
        <f>"706"</f>
        <v>706</v>
      </c>
      <c r="D1065" t="s">
        <v>28</v>
      </c>
      <c r="E1065" t="s">
        <v>23</v>
      </c>
      <c r="F1065" t="s">
        <v>23</v>
      </c>
      <c r="G1065" t="s">
        <v>2394</v>
      </c>
      <c r="H1065" t="str">
        <f>"9499"</f>
        <v>9499</v>
      </c>
      <c r="I1065" t="s">
        <v>31</v>
      </c>
    </row>
    <row r="1066" spans="1:13" x14ac:dyDescent="0.3">
      <c r="A1066" t="str">
        <f>"27009734"</f>
        <v>27009734</v>
      </c>
      <c r="B1066" t="s">
        <v>2395</v>
      </c>
      <c r="C1066" t="str">
        <f>"706"</f>
        <v>706</v>
      </c>
      <c r="D1066" t="s">
        <v>28</v>
      </c>
      <c r="E1066" t="s">
        <v>52</v>
      </c>
      <c r="F1066" t="s">
        <v>2078</v>
      </c>
      <c r="G1066" t="s">
        <v>2396</v>
      </c>
      <c r="H1066" t="str">
        <f>"9499"</f>
        <v>9499</v>
      </c>
      <c r="I1066" t="s">
        <v>31</v>
      </c>
    </row>
    <row r="1067" spans="1:13" x14ac:dyDescent="0.3">
      <c r="A1067" t="str">
        <f>"61716235"</f>
        <v>61716235</v>
      </c>
      <c r="B1067" t="s">
        <v>2397</v>
      </c>
      <c r="C1067" t="str">
        <f>"118"</f>
        <v>118</v>
      </c>
      <c r="D1067" t="s">
        <v>337</v>
      </c>
      <c r="E1067" t="s">
        <v>23</v>
      </c>
      <c r="F1067" t="s">
        <v>23</v>
      </c>
      <c r="G1067" t="s">
        <v>2398</v>
      </c>
      <c r="H1067" t="str">
        <f>"855"</f>
        <v>855</v>
      </c>
      <c r="I1067" t="s">
        <v>146</v>
      </c>
      <c r="J1067" t="s">
        <v>31</v>
      </c>
    </row>
    <row r="1068" spans="1:13" x14ac:dyDescent="0.3">
      <c r="A1068" t="str">
        <f>"07811179"</f>
        <v>07811179</v>
      </c>
      <c r="B1068" t="s">
        <v>2399</v>
      </c>
      <c r="C1068" t="str">
        <f>"706"</f>
        <v>706</v>
      </c>
      <c r="D1068" t="s">
        <v>28</v>
      </c>
      <c r="E1068" t="s">
        <v>52</v>
      </c>
      <c r="F1068" t="s">
        <v>2400</v>
      </c>
      <c r="G1068" t="s">
        <v>2401</v>
      </c>
      <c r="H1068" t="str">
        <f>"94993"</f>
        <v>94993</v>
      </c>
      <c r="I1068" t="s">
        <v>50</v>
      </c>
    </row>
    <row r="1069" spans="1:13" x14ac:dyDescent="0.3">
      <c r="A1069" t="str">
        <f>"27688313"</f>
        <v>27688313</v>
      </c>
      <c r="B1069" t="s">
        <v>2402</v>
      </c>
      <c r="C1069" t="str">
        <f>"141"</f>
        <v>141</v>
      </c>
      <c r="D1069" t="s">
        <v>112</v>
      </c>
      <c r="E1069" t="s">
        <v>23</v>
      </c>
      <c r="F1069" t="s">
        <v>23</v>
      </c>
      <c r="G1069" t="s">
        <v>2403</v>
      </c>
      <c r="H1069" t="str">
        <f>"702"</f>
        <v>702</v>
      </c>
      <c r="I1069" t="s">
        <v>1496</v>
      </c>
      <c r="J1069" t="s">
        <v>258</v>
      </c>
      <c r="K1069" t="s">
        <v>160</v>
      </c>
      <c r="L1069" t="s">
        <v>146</v>
      </c>
      <c r="M1069" t="s">
        <v>163</v>
      </c>
    </row>
    <row r="1070" spans="1:13" x14ac:dyDescent="0.3">
      <c r="A1070" t="str">
        <f>"23275731"</f>
        <v>23275731</v>
      </c>
      <c r="B1070" t="s">
        <v>2404</v>
      </c>
      <c r="C1070" t="str">
        <f t="shared" ref="C1070:C1077" si="76">"706"</f>
        <v>706</v>
      </c>
      <c r="D1070" t="s">
        <v>28</v>
      </c>
      <c r="E1070" t="s">
        <v>23</v>
      </c>
      <c r="F1070" t="s">
        <v>23</v>
      </c>
      <c r="G1070" t="s">
        <v>2405</v>
      </c>
      <c r="H1070" t="str">
        <f>"9499"</f>
        <v>9499</v>
      </c>
      <c r="I1070" t="s">
        <v>31</v>
      </c>
    </row>
    <row r="1071" spans="1:13" x14ac:dyDescent="0.3">
      <c r="A1071" t="str">
        <f>"26554119"</f>
        <v>26554119</v>
      </c>
      <c r="B1071" t="s">
        <v>2406</v>
      </c>
      <c r="C1071" t="str">
        <f t="shared" si="76"/>
        <v>706</v>
      </c>
      <c r="D1071" t="s">
        <v>28</v>
      </c>
      <c r="E1071" t="s">
        <v>23</v>
      </c>
      <c r="F1071" t="s">
        <v>695</v>
      </c>
      <c r="G1071" t="s">
        <v>1034</v>
      </c>
      <c r="H1071" t="str">
        <f>"9499"</f>
        <v>9499</v>
      </c>
      <c r="I1071" t="s">
        <v>31</v>
      </c>
    </row>
    <row r="1072" spans="1:13" x14ac:dyDescent="0.3">
      <c r="A1072" t="str">
        <f>"19831226"</f>
        <v>19831226</v>
      </c>
      <c r="B1072" t="s">
        <v>2407</v>
      </c>
      <c r="C1072" t="str">
        <f t="shared" si="76"/>
        <v>706</v>
      </c>
      <c r="D1072" t="s">
        <v>28</v>
      </c>
      <c r="E1072" t="s">
        <v>52</v>
      </c>
      <c r="F1072" t="s">
        <v>344</v>
      </c>
      <c r="G1072" t="s">
        <v>2408</v>
      </c>
      <c r="H1072" t="str">
        <f>"9499"</f>
        <v>9499</v>
      </c>
      <c r="I1072" t="s">
        <v>31</v>
      </c>
    </row>
    <row r="1073" spans="1:20" x14ac:dyDescent="0.3">
      <c r="A1073" t="str">
        <f>"21115249"</f>
        <v>21115249</v>
      </c>
      <c r="B1073" t="s">
        <v>2409</v>
      </c>
      <c r="C1073" t="str">
        <f t="shared" si="76"/>
        <v>706</v>
      </c>
      <c r="D1073" t="s">
        <v>28</v>
      </c>
      <c r="E1073" t="s">
        <v>83</v>
      </c>
      <c r="F1073" t="s">
        <v>1545</v>
      </c>
      <c r="G1073" t="s">
        <v>2410</v>
      </c>
      <c r="H1073" t="str">
        <f>"96090"</f>
        <v>96090</v>
      </c>
      <c r="I1073" t="s">
        <v>148</v>
      </c>
    </row>
    <row r="1074" spans="1:20" x14ac:dyDescent="0.3">
      <c r="A1074" t="str">
        <f>"19317468"</f>
        <v>19317468</v>
      </c>
      <c r="B1074" t="s">
        <v>2411</v>
      </c>
      <c r="C1074" t="str">
        <f t="shared" si="76"/>
        <v>706</v>
      </c>
      <c r="D1074" t="s">
        <v>28</v>
      </c>
      <c r="E1074" t="s">
        <v>52</v>
      </c>
      <c r="F1074" t="s">
        <v>1902</v>
      </c>
      <c r="G1074" t="s">
        <v>2412</v>
      </c>
      <c r="H1074" t="str">
        <f>"9499"</f>
        <v>9499</v>
      </c>
      <c r="I1074" t="s">
        <v>31</v>
      </c>
    </row>
    <row r="1075" spans="1:20" x14ac:dyDescent="0.3">
      <c r="A1075" t="str">
        <f>"19545703"</f>
        <v>19545703</v>
      </c>
      <c r="B1075" t="s">
        <v>2413</v>
      </c>
      <c r="C1075" t="str">
        <f t="shared" si="76"/>
        <v>706</v>
      </c>
      <c r="D1075" t="s">
        <v>28</v>
      </c>
      <c r="E1075" t="s">
        <v>29</v>
      </c>
      <c r="F1075" t="s">
        <v>852</v>
      </c>
      <c r="G1075" t="s">
        <v>2414</v>
      </c>
      <c r="H1075" t="str">
        <f>"9499"</f>
        <v>9499</v>
      </c>
      <c r="I1075" t="s">
        <v>31</v>
      </c>
      <c r="J1075" t="s">
        <v>155</v>
      </c>
      <c r="K1075" t="s">
        <v>258</v>
      </c>
      <c r="L1075" t="s">
        <v>2415</v>
      </c>
      <c r="M1075" t="s">
        <v>2416</v>
      </c>
      <c r="N1075" t="s">
        <v>146</v>
      </c>
      <c r="O1075" t="s">
        <v>2417</v>
      </c>
      <c r="P1075" t="s">
        <v>160</v>
      </c>
      <c r="Q1075" t="s">
        <v>2418</v>
      </c>
      <c r="R1075" t="s">
        <v>2419</v>
      </c>
      <c r="S1075" t="s">
        <v>2420</v>
      </c>
      <c r="T1075" t="s">
        <v>2421</v>
      </c>
    </row>
    <row r="1076" spans="1:20" x14ac:dyDescent="0.3">
      <c r="A1076" t="str">
        <f>"14328861"</f>
        <v>14328861</v>
      </c>
      <c r="B1076" t="s">
        <v>2422</v>
      </c>
      <c r="C1076" t="str">
        <f t="shared" si="76"/>
        <v>706</v>
      </c>
      <c r="D1076" t="s">
        <v>28</v>
      </c>
      <c r="E1076" t="s">
        <v>83</v>
      </c>
      <c r="F1076" t="s">
        <v>2423</v>
      </c>
      <c r="G1076" t="s">
        <v>2424</v>
      </c>
      <c r="H1076" t="str">
        <f>"9499"</f>
        <v>9499</v>
      </c>
      <c r="I1076" t="s">
        <v>31</v>
      </c>
    </row>
    <row r="1077" spans="1:20" x14ac:dyDescent="0.3">
      <c r="A1077" t="str">
        <f>"18048781"</f>
        <v>18048781</v>
      </c>
      <c r="B1077" t="s">
        <v>2425</v>
      </c>
      <c r="C1077" t="str">
        <f t="shared" si="76"/>
        <v>706</v>
      </c>
      <c r="D1077" t="s">
        <v>28</v>
      </c>
      <c r="E1077" t="s">
        <v>52</v>
      </c>
      <c r="F1077" t="s">
        <v>1902</v>
      </c>
      <c r="G1077" t="s">
        <v>2426</v>
      </c>
      <c r="H1077" t="str">
        <f>"9499"</f>
        <v>9499</v>
      </c>
      <c r="I1077" t="s">
        <v>31</v>
      </c>
    </row>
    <row r="1078" spans="1:20" x14ac:dyDescent="0.3">
      <c r="A1078" t="str">
        <f>"04522940"</f>
        <v>04522940</v>
      </c>
      <c r="B1078" t="s">
        <v>2427</v>
      </c>
      <c r="C1078" t="str">
        <f>"161"</f>
        <v>161</v>
      </c>
      <c r="D1078" t="s">
        <v>152</v>
      </c>
      <c r="E1078" t="s">
        <v>83</v>
      </c>
      <c r="F1078" t="s">
        <v>83</v>
      </c>
      <c r="G1078" t="s">
        <v>373</v>
      </c>
      <c r="H1078" t="str">
        <f>"94995"</f>
        <v>94995</v>
      </c>
      <c r="I1078" t="s">
        <v>232</v>
      </c>
      <c r="J1078" t="s">
        <v>258</v>
      </c>
      <c r="K1078" t="s">
        <v>159</v>
      </c>
      <c r="L1078" t="s">
        <v>146</v>
      </c>
      <c r="M1078" t="s">
        <v>160</v>
      </c>
      <c r="N1078" t="s">
        <v>262</v>
      </c>
      <c r="O1078" t="s">
        <v>263</v>
      </c>
      <c r="P1078" t="s">
        <v>163</v>
      </c>
    </row>
    <row r="1079" spans="1:20" x14ac:dyDescent="0.3">
      <c r="A1079" t="str">
        <f>"01593749"</f>
        <v>01593749</v>
      </c>
      <c r="B1079" t="s">
        <v>2428</v>
      </c>
      <c r="C1079" t="str">
        <f t="shared" ref="C1079:C1086" si="77">"706"</f>
        <v>706</v>
      </c>
      <c r="D1079" t="s">
        <v>28</v>
      </c>
      <c r="E1079" t="s">
        <v>23</v>
      </c>
      <c r="F1079" t="s">
        <v>2429</v>
      </c>
      <c r="G1079" t="s">
        <v>2430</v>
      </c>
      <c r="H1079" t="str">
        <f>"9499"</f>
        <v>9499</v>
      </c>
      <c r="I1079" t="s">
        <v>31</v>
      </c>
    </row>
    <row r="1080" spans="1:20" x14ac:dyDescent="0.3">
      <c r="A1080" t="str">
        <f>"22866710"</f>
        <v>22866710</v>
      </c>
      <c r="B1080" t="s">
        <v>2431</v>
      </c>
      <c r="C1080" t="str">
        <f t="shared" si="77"/>
        <v>706</v>
      </c>
      <c r="D1080" t="s">
        <v>28</v>
      </c>
      <c r="E1080" t="s">
        <v>52</v>
      </c>
      <c r="F1080" t="s">
        <v>234</v>
      </c>
      <c r="G1080" t="s">
        <v>2432</v>
      </c>
      <c r="H1080" t="str">
        <f>"9499"</f>
        <v>9499</v>
      </c>
      <c r="I1080" t="s">
        <v>31</v>
      </c>
      <c r="J1080" t="s">
        <v>258</v>
      </c>
      <c r="K1080" t="s">
        <v>2433</v>
      </c>
    </row>
    <row r="1081" spans="1:20" x14ac:dyDescent="0.3">
      <c r="A1081" t="str">
        <f>"19084749"</f>
        <v>19084749</v>
      </c>
      <c r="B1081" t="s">
        <v>2434</v>
      </c>
      <c r="C1081" t="str">
        <f t="shared" si="77"/>
        <v>706</v>
      </c>
      <c r="D1081" t="s">
        <v>28</v>
      </c>
      <c r="E1081" t="s">
        <v>83</v>
      </c>
      <c r="F1081" t="s">
        <v>183</v>
      </c>
      <c r="G1081" t="s">
        <v>2435</v>
      </c>
      <c r="H1081" t="str">
        <f>"93190"</f>
        <v>93190</v>
      </c>
      <c r="I1081" t="s">
        <v>59</v>
      </c>
    </row>
    <row r="1082" spans="1:20" x14ac:dyDescent="0.3">
      <c r="A1082" t="str">
        <f>"07006811"</f>
        <v>07006811</v>
      </c>
      <c r="B1082" t="s">
        <v>2436</v>
      </c>
      <c r="C1082" t="str">
        <f t="shared" si="77"/>
        <v>706</v>
      </c>
      <c r="D1082" t="s">
        <v>28</v>
      </c>
      <c r="E1082" t="s">
        <v>23</v>
      </c>
      <c r="F1082" t="s">
        <v>23</v>
      </c>
      <c r="G1082" t="s">
        <v>2437</v>
      </c>
      <c r="H1082" t="str">
        <f>"9499"</f>
        <v>9499</v>
      </c>
      <c r="I1082" t="s">
        <v>31</v>
      </c>
    </row>
    <row r="1083" spans="1:20" x14ac:dyDescent="0.3">
      <c r="A1083" t="str">
        <f>"10765387"</f>
        <v>10765387</v>
      </c>
      <c r="B1083" t="s">
        <v>2439</v>
      </c>
      <c r="C1083" t="str">
        <f t="shared" si="77"/>
        <v>706</v>
      </c>
      <c r="D1083" t="s">
        <v>28</v>
      </c>
      <c r="E1083" t="s">
        <v>29</v>
      </c>
      <c r="F1083" t="s">
        <v>29</v>
      </c>
      <c r="G1083" t="s">
        <v>2440</v>
      </c>
      <c r="H1083" t="str">
        <f>"9499"</f>
        <v>9499</v>
      </c>
      <c r="I1083" t="s">
        <v>31</v>
      </c>
    </row>
    <row r="1084" spans="1:20" x14ac:dyDescent="0.3">
      <c r="A1084" t="str">
        <f>"07708441"</f>
        <v>07708441</v>
      </c>
      <c r="B1084" t="s">
        <v>2441</v>
      </c>
      <c r="C1084" t="str">
        <f t="shared" si="77"/>
        <v>706</v>
      </c>
      <c r="D1084" t="s">
        <v>28</v>
      </c>
      <c r="E1084" t="s">
        <v>52</v>
      </c>
      <c r="F1084" t="s">
        <v>514</v>
      </c>
      <c r="G1084" t="s">
        <v>2442</v>
      </c>
      <c r="H1084" t="str">
        <f>"93190"</f>
        <v>93190</v>
      </c>
      <c r="I1084" t="s">
        <v>59</v>
      </c>
    </row>
    <row r="1085" spans="1:20" x14ac:dyDescent="0.3">
      <c r="A1085" t="str">
        <f>"14228106"</f>
        <v>14228106</v>
      </c>
      <c r="B1085" t="s">
        <v>2443</v>
      </c>
      <c r="C1085" t="str">
        <f t="shared" si="77"/>
        <v>706</v>
      </c>
      <c r="D1085" t="s">
        <v>28</v>
      </c>
      <c r="E1085" t="s">
        <v>23</v>
      </c>
      <c r="F1085" t="s">
        <v>141</v>
      </c>
      <c r="G1085" t="s">
        <v>2444</v>
      </c>
      <c r="H1085" t="str">
        <f>"9499"</f>
        <v>9499</v>
      </c>
      <c r="I1085" t="s">
        <v>31</v>
      </c>
    </row>
    <row r="1086" spans="1:20" x14ac:dyDescent="0.3">
      <c r="A1086" t="str">
        <f>"22353861"</f>
        <v>22353861</v>
      </c>
      <c r="B1086" t="s">
        <v>2445</v>
      </c>
      <c r="C1086" t="str">
        <f t="shared" si="77"/>
        <v>706</v>
      </c>
      <c r="D1086" t="s">
        <v>28</v>
      </c>
      <c r="E1086" t="s">
        <v>52</v>
      </c>
      <c r="F1086" t="s">
        <v>52</v>
      </c>
      <c r="G1086" t="s">
        <v>2446</v>
      </c>
      <c r="H1086" t="str">
        <f>"9499"</f>
        <v>9499</v>
      </c>
      <c r="I1086" t="s">
        <v>31</v>
      </c>
      <c r="J1086" t="s">
        <v>160</v>
      </c>
      <c r="K1086" t="s">
        <v>263</v>
      </c>
    </row>
    <row r="1087" spans="1:20" x14ac:dyDescent="0.3">
      <c r="A1087" t="str">
        <f>"22563679"</f>
        <v>22563679</v>
      </c>
      <c r="B1087" t="s">
        <v>2447</v>
      </c>
      <c r="C1087" t="str">
        <f>"736"</f>
        <v>736</v>
      </c>
      <c r="D1087" t="s">
        <v>22</v>
      </c>
      <c r="E1087" t="s">
        <v>52</v>
      </c>
      <c r="F1087" t="s">
        <v>52</v>
      </c>
      <c r="G1087" t="s">
        <v>2446</v>
      </c>
      <c r="H1087" t="str">
        <f>"9499"</f>
        <v>9499</v>
      </c>
      <c r="I1087" t="s">
        <v>31</v>
      </c>
    </row>
    <row r="1088" spans="1:20" x14ac:dyDescent="0.3">
      <c r="A1088" t="str">
        <f>"29370213"</f>
        <v>29370213</v>
      </c>
      <c r="B1088" t="s">
        <v>2448</v>
      </c>
      <c r="C1088" t="str">
        <f>"141"</f>
        <v>141</v>
      </c>
      <c r="D1088" t="s">
        <v>112</v>
      </c>
      <c r="E1088" t="s">
        <v>23</v>
      </c>
      <c r="F1088" t="s">
        <v>23</v>
      </c>
      <c r="G1088" t="s">
        <v>2449</v>
      </c>
      <c r="H1088" t="str">
        <f>"8559"</f>
        <v>8559</v>
      </c>
      <c r="I1088" t="s">
        <v>115</v>
      </c>
      <c r="J1088" t="s">
        <v>173</v>
      </c>
      <c r="K1088" t="s">
        <v>163</v>
      </c>
      <c r="L1088" t="s">
        <v>126</v>
      </c>
    </row>
    <row r="1089" spans="1:12" x14ac:dyDescent="0.3">
      <c r="A1089" t="str">
        <f>"17994802"</f>
        <v>17994802</v>
      </c>
      <c r="B1089" t="s">
        <v>2450</v>
      </c>
      <c r="C1089" t="str">
        <f>"706"</f>
        <v>706</v>
      </c>
      <c r="D1089" t="s">
        <v>28</v>
      </c>
      <c r="E1089" t="s">
        <v>52</v>
      </c>
      <c r="F1089" t="s">
        <v>65</v>
      </c>
      <c r="G1089" t="s">
        <v>2451</v>
      </c>
      <c r="H1089" t="str">
        <f>"9499"</f>
        <v>9499</v>
      </c>
      <c r="I1089" t="s">
        <v>31</v>
      </c>
    </row>
    <row r="1090" spans="1:12" x14ac:dyDescent="0.3">
      <c r="A1090" t="str">
        <f>"22605321"</f>
        <v>22605321</v>
      </c>
      <c r="B1090" t="s">
        <v>2452</v>
      </c>
      <c r="C1090" t="str">
        <f>"706"</f>
        <v>706</v>
      </c>
      <c r="D1090" t="s">
        <v>28</v>
      </c>
      <c r="E1090" t="s">
        <v>23</v>
      </c>
      <c r="F1090" t="s">
        <v>23</v>
      </c>
      <c r="G1090" t="s">
        <v>2453</v>
      </c>
      <c r="H1090" t="str">
        <f>"9499"</f>
        <v>9499</v>
      </c>
      <c r="I1090" t="s">
        <v>31</v>
      </c>
    </row>
    <row r="1091" spans="1:12" x14ac:dyDescent="0.3">
      <c r="A1091" t="str">
        <f>"22747583"</f>
        <v>22747583</v>
      </c>
      <c r="B1091" t="s">
        <v>2455</v>
      </c>
      <c r="C1091" t="str">
        <f>"706"</f>
        <v>706</v>
      </c>
      <c r="D1091" t="s">
        <v>28</v>
      </c>
      <c r="E1091" t="s">
        <v>23</v>
      </c>
      <c r="F1091" t="s">
        <v>107</v>
      </c>
      <c r="G1091" t="s">
        <v>2456</v>
      </c>
      <c r="H1091" t="str">
        <f>"94993"</f>
        <v>94993</v>
      </c>
      <c r="I1091" t="s">
        <v>50</v>
      </c>
    </row>
    <row r="1092" spans="1:12" x14ac:dyDescent="0.3">
      <c r="A1092" t="str">
        <f>"01885731"</f>
        <v>01885731</v>
      </c>
      <c r="B1092" t="s">
        <v>2457</v>
      </c>
      <c r="C1092" t="str">
        <f>"706"</f>
        <v>706</v>
      </c>
      <c r="D1092" t="s">
        <v>28</v>
      </c>
      <c r="E1092" t="s">
        <v>23</v>
      </c>
      <c r="F1092" t="s">
        <v>23</v>
      </c>
      <c r="G1092" t="s">
        <v>2458</v>
      </c>
      <c r="H1092" t="str">
        <f>"9499"</f>
        <v>9499</v>
      </c>
      <c r="I1092" t="s">
        <v>31</v>
      </c>
      <c r="J1092" t="s">
        <v>159</v>
      </c>
      <c r="K1092" t="s">
        <v>2459</v>
      </c>
    </row>
    <row r="1093" spans="1:12" x14ac:dyDescent="0.3">
      <c r="A1093" t="str">
        <f>"28277074"</f>
        <v>28277074</v>
      </c>
      <c r="B1093" t="s">
        <v>2460</v>
      </c>
      <c r="C1093" t="str">
        <f>"141"</f>
        <v>141</v>
      </c>
      <c r="D1093" t="s">
        <v>112</v>
      </c>
      <c r="E1093" t="s">
        <v>52</v>
      </c>
      <c r="F1093" t="s">
        <v>1902</v>
      </c>
      <c r="G1093" t="s">
        <v>2461</v>
      </c>
      <c r="H1093" t="str">
        <f>"8559"</f>
        <v>8559</v>
      </c>
      <c r="I1093" t="s">
        <v>115</v>
      </c>
      <c r="J1093" t="s">
        <v>423</v>
      </c>
      <c r="K1093" t="s">
        <v>1496</v>
      </c>
      <c r="L1093" t="s">
        <v>598</v>
      </c>
    </row>
    <row r="1094" spans="1:12" x14ac:dyDescent="0.3">
      <c r="A1094" t="str">
        <f>"26561727"</f>
        <v>26561727</v>
      </c>
      <c r="B1094" t="s">
        <v>2462</v>
      </c>
      <c r="C1094" t="str">
        <f>"706"</f>
        <v>706</v>
      </c>
      <c r="D1094" t="s">
        <v>28</v>
      </c>
      <c r="E1094" t="s">
        <v>29</v>
      </c>
      <c r="F1094" t="s">
        <v>195</v>
      </c>
      <c r="G1094" t="s">
        <v>2463</v>
      </c>
      <c r="H1094" t="str">
        <f>"9499"</f>
        <v>9499</v>
      </c>
      <c r="I1094" t="s">
        <v>31</v>
      </c>
    </row>
    <row r="1095" spans="1:12" x14ac:dyDescent="0.3">
      <c r="A1095" t="str">
        <f>"22762515"</f>
        <v>22762515</v>
      </c>
      <c r="B1095" t="s">
        <v>2464</v>
      </c>
      <c r="C1095" t="str">
        <f>"706"</f>
        <v>706</v>
      </c>
      <c r="D1095" t="s">
        <v>28</v>
      </c>
      <c r="E1095" t="s">
        <v>23</v>
      </c>
      <c r="F1095" t="s">
        <v>23</v>
      </c>
      <c r="G1095" t="s">
        <v>2465</v>
      </c>
      <c r="H1095" t="str">
        <f>"94120"</f>
        <v>94120</v>
      </c>
      <c r="I1095" t="s">
        <v>43</v>
      </c>
    </row>
    <row r="1096" spans="1:12" x14ac:dyDescent="0.3">
      <c r="A1096" t="str">
        <f>"28358201"</f>
        <v>28358201</v>
      </c>
      <c r="B1096" t="s">
        <v>2466</v>
      </c>
      <c r="C1096" t="str">
        <f>"141"</f>
        <v>141</v>
      </c>
      <c r="D1096" t="s">
        <v>112</v>
      </c>
      <c r="E1096" t="s">
        <v>23</v>
      </c>
      <c r="F1096" t="s">
        <v>2467</v>
      </c>
      <c r="G1096" t="s">
        <v>2468</v>
      </c>
      <c r="H1096" t="str">
        <f>"8559"</f>
        <v>8559</v>
      </c>
      <c r="I1096" t="s">
        <v>115</v>
      </c>
    </row>
    <row r="1097" spans="1:12" x14ac:dyDescent="0.3">
      <c r="A1097" t="str">
        <f>"22813934"</f>
        <v>22813934</v>
      </c>
      <c r="B1097" t="s">
        <v>2469</v>
      </c>
      <c r="C1097" t="str">
        <f>"706"</f>
        <v>706</v>
      </c>
      <c r="D1097" t="s">
        <v>28</v>
      </c>
      <c r="E1097" t="s">
        <v>83</v>
      </c>
      <c r="F1097" t="s">
        <v>1425</v>
      </c>
      <c r="G1097" t="s">
        <v>2470</v>
      </c>
      <c r="H1097" t="str">
        <f>"93190"</f>
        <v>93190</v>
      </c>
      <c r="I1097" t="s">
        <v>59</v>
      </c>
    </row>
    <row r="1098" spans="1:12" x14ac:dyDescent="0.3">
      <c r="A1098" t="str">
        <f>"08465355"</f>
        <v>08465355</v>
      </c>
      <c r="B1098" t="s">
        <v>2471</v>
      </c>
      <c r="C1098" t="str">
        <f>"706"</f>
        <v>706</v>
      </c>
      <c r="D1098" t="s">
        <v>28</v>
      </c>
      <c r="E1098" t="s">
        <v>83</v>
      </c>
      <c r="F1098" t="s">
        <v>83</v>
      </c>
      <c r="G1098" t="s">
        <v>2472</v>
      </c>
      <c r="H1098" t="str">
        <f>"9499"</f>
        <v>9499</v>
      </c>
      <c r="I1098" t="s">
        <v>31</v>
      </c>
    </row>
    <row r="1099" spans="1:12" x14ac:dyDescent="0.3">
      <c r="A1099" t="str">
        <f>"22863052"</f>
        <v>22863052</v>
      </c>
      <c r="B1099" t="s">
        <v>2473</v>
      </c>
      <c r="C1099" t="str">
        <f>"706"</f>
        <v>706</v>
      </c>
      <c r="D1099" t="s">
        <v>28</v>
      </c>
      <c r="E1099" t="s">
        <v>23</v>
      </c>
      <c r="F1099" t="s">
        <v>459</v>
      </c>
      <c r="G1099" t="s">
        <v>2474</v>
      </c>
      <c r="H1099" t="str">
        <f>"94993"</f>
        <v>94993</v>
      </c>
      <c r="I1099" t="s">
        <v>50</v>
      </c>
    </row>
    <row r="1100" spans="1:12" x14ac:dyDescent="0.3">
      <c r="A1100" t="str">
        <f>"22820558"</f>
        <v>22820558</v>
      </c>
      <c r="B1100" t="s">
        <v>2475</v>
      </c>
      <c r="C1100" t="str">
        <f t="shared" ref="C1100:C1104" si="78">"706"</f>
        <v>706</v>
      </c>
      <c r="D1100" t="s">
        <v>28</v>
      </c>
      <c r="E1100" t="s">
        <v>29</v>
      </c>
      <c r="F1100" t="s">
        <v>29</v>
      </c>
      <c r="G1100" t="s">
        <v>2476</v>
      </c>
      <c r="H1100" t="str">
        <f>"94999"</f>
        <v>94999</v>
      </c>
      <c r="I1100" t="s">
        <v>202</v>
      </c>
    </row>
    <row r="1101" spans="1:12" x14ac:dyDescent="0.3">
      <c r="A1101" t="str">
        <f>"02484137"</f>
        <v>02484137</v>
      </c>
      <c r="B1101" t="s">
        <v>2477</v>
      </c>
      <c r="C1101" t="str">
        <f t="shared" si="78"/>
        <v>706</v>
      </c>
      <c r="D1101" t="s">
        <v>28</v>
      </c>
      <c r="E1101" t="s">
        <v>23</v>
      </c>
      <c r="F1101" t="s">
        <v>23</v>
      </c>
      <c r="G1101" t="s">
        <v>2478</v>
      </c>
      <c r="H1101" t="str">
        <f>"9499"</f>
        <v>9499</v>
      </c>
      <c r="I1101" t="s">
        <v>31</v>
      </c>
    </row>
    <row r="1102" spans="1:12" x14ac:dyDescent="0.3">
      <c r="A1102" t="str">
        <f>"23270411"</f>
        <v>23270411</v>
      </c>
      <c r="B1102" t="s">
        <v>2479</v>
      </c>
      <c r="C1102" t="str">
        <f t="shared" si="78"/>
        <v>706</v>
      </c>
      <c r="D1102" t="s">
        <v>28</v>
      </c>
      <c r="E1102" t="s">
        <v>23</v>
      </c>
      <c r="F1102" t="s">
        <v>99</v>
      </c>
      <c r="G1102" t="s">
        <v>2480</v>
      </c>
      <c r="H1102" t="str">
        <f>"9499"</f>
        <v>9499</v>
      </c>
      <c r="I1102" t="s">
        <v>31</v>
      </c>
      <c r="J1102" t="s">
        <v>147</v>
      </c>
      <c r="K1102" t="s">
        <v>146</v>
      </c>
    </row>
    <row r="1103" spans="1:12" x14ac:dyDescent="0.3">
      <c r="A1103" t="str">
        <f>"21315604"</f>
        <v>21315604</v>
      </c>
      <c r="B1103" t="s">
        <v>2481</v>
      </c>
      <c r="C1103" t="str">
        <f t="shared" si="78"/>
        <v>706</v>
      </c>
      <c r="D1103" t="s">
        <v>28</v>
      </c>
      <c r="E1103" t="s">
        <v>52</v>
      </c>
      <c r="F1103" t="s">
        <v>2400</v>
      </c>
      <c r="G1103" t="s">
        <v>2401</v>
      </c>
      <c r="H1103" t="str">
        <f>"9499"</f>
        <v>9499</v>
      </c>
      <c r="I1103" t="s">
        <v>31</v>
      </c>
      <c r="J1103" t="s">
        <v>146</v>
      </c>
      <c r="K1103" t="s">
        <v>163</v>
      </c>
    </row>
    <row r="1104" spans="1:12" x14ac:dyDescent="0.3">
      <c r="A1104" t="str">
        <f>"04244168"</f>
        <v>04244168</v>
      </c>
      <c r="B1104" t="s">
        <v>2482</v>
      </c>
      <c r="C1104" t="str">
        <f t="shared" si="78"/>
        <v>706</v>
      </c>
      <c r="D1104" t="s">
        <v>28</v>
      </c>
      <c r="E1104" t="s">
        <v>29</v>
      </c>
      <c r="F1104" t="s">
        <v>38</v>
      </c>
      <c r="G1104" t="s">
        <v>790</v>
      </c>
      <c r="H1104" t="str">
        <f>"9499"</f>
        <v>9499</v>
      </c>
      <c r="I1104" t="s">
        <v>31</v>
      </c>
    </row>
    <row r="1105" spans="1:11" x14ac:dyDescent="0.3">
      <c r="A1105" t="str">
        <f>"29301866"</f>
        <v>29301866</v>
      </c>
      <c r="B1105" t="s">
        <v>2483</v>
      </c>
      <c r="C1105" t="str">
        <f>"141"</f>
        <v>141</v>
      </c>
      <c r="D1105" t="s">
        <v>112</v>
      </c>
      <c r="E1105" t="s">
        <v>83</v>
      </c>
      <c r="F1105" t="s">
        <v>183</v>
      </c>
      <c r="G1105" t="s">
        <v>2484</v>
      </c>
      <c r="H1105" t="str">
        <f>"8899"</f>
        <v>8899</v>
      </c>
      <c r="I1105" t="s">
        <v>40</v>
      </c>
      <c r="J1105" t="s">
        <v>31</v>
      </c>
    </row>
    <row r="1106" spans="1:11" x14ac:dyDescent="0.3">
      <c r="A1106" t="str">
        <f>"22610189"</f>
        <v>22610189</v>
      </c>
      <c r="B1106" t="s">
        <v>2485</v>
      </c>
      <c r="C1106" t="str">
        <f t="shared" ref="C1106:C1116" si="79">"706"</f>
        <v>706</v>
      </c>
      <c r="D1106" t="s">
        <v>28</v>
      </c>
      <c r="E1106" t="s">
        <v>23</v>
      </c>
      <c r="F1106" t="s">
        <v>245</v>
      </c>
      <c r="G1106" t="s">
        <v>2486</v>
      </c>
      <c r="H1106" t="str">
        <f>"9499"</f>
        <v>9499</v>
      </c>
      <c r="I1106" t="s">
        <v>31</v>
      </c>
    </row>
    <row r="1107" spans="1:11" x14ac:dyDescent="0.3">
      <c r="A1107" t="str">
        <f>"63414767"</f>
        <v>63414767</v>
      </c>
      <c r="B1107" t="s">
        <v>2487</v>
      </c>
      <c r="C1107" t="str">
        <f t="shared" si="79"/>
        <v>706</v>
      </c>
      <c r="D1107" t="s">
        <v>28</v>
      </c>
      <c r="E1107" t="s">
        <v>83</v>
      </c>
      <c r="F1107" t="s">
        <v>409</v>
      </c>
      <c r="G1107" t="s">
        <v>2488</v>
      </c>
      <c r="H1107" t="str">
        <f>"93120"</f>
        <v>93120</v>
      </c>
      <c r="I1107" t="s">
        <v>54</v>
      </c>
    </row>
    <row r="1108" spans="1:11" x14ac:dyDescent="0.3">
      <c r="A1108" t="str">
        <f>"22708821"</f>
        <v>22708821</v>
      </c>
      <c r="B1108" t="s">
        <v>2489</v>
      </c>
      <c r="C1108" t="str">
        <f t="shared" si="79"/>
        <v>706</v>
      </c>
      <c r="D1108" t="s">
        <v>28</v>
      </c>
      <c r="E1108" t="s">
        <v>83</v>
      </c>
      <c r="F1108" t="s">
        <v>183</v>
      </c>
      <c r="G1108" t="s">
        <v>2490</v>
      </c>
      <c r="H1108" t="str">
        <f>"93190"</f>
        <v>93190</v>
      </c>
      <c r="I1108" t="s">
        <v>59</v>
      </c>
    </row>
    <row r="1109" spans="1:11" x14ac:dyDescent="0.3">
      <c r="A1109" t="str">
        <f>"01366262"</f>
        <v>01366262</v>
      </c>
      <c r="B1109" t="s">
        <v>2491</v>
      </c>
      <c r="C1109" t="str">
        <f t="shared" si="79"/>
        <v>706</v>
      </c>
      <c r="D1109" t="s">
        <v>28</v>
      </c>
      <c r="E1109" t="s">
        <v>52</v>
      </c>
      <c r="F1109" t="s">
        <v>178</v>
      </c>
      <c r="G1109" t="s">
        <v>2492</v>
      </c>
      <c r="H1109" t="str">
        <f t="shared" ref="H1109:H1115" si="80">"9499"</f>
        <v>9499</v>
      </c>
      <c r="I1109" t="s">
        <v>31</v>
      </c>
    </row>
    <row r="1110" spans="1:11" x14ac:dyDescent="0.3">
      <c r="A1110" t="str">
        <f>"22664351"</f>
        <v>22664351</v>
      </c>
      <c r="B1110" t="s">
        <v>2493</v>
      </c>
      <c r="C1110" t="str">
        <f t="shared" si="79"/>
        <v>706</v>
      </c>
      <c r="D1110" t="s">
        <v>28</v>
      </c>
      <c r="E1110" t="s">
        <v>52</v>
      </c>
      <c r="F1110" t="s">
        <v>113</v>
      </c>
      <c r="G1110" t="s">
        <v>2494</v>
      </c>
      <c r="H1110" t="str">
        <f t="shared" si="80"/>
        <v>9499</v>
      </c>
      <c r="I1110" t="s">
        <v>31</v>
      </c>
    </row>
    <row r="1111" spans="1:11" x14ac:dyDescent="0.3">
      <c r="A1111" t="str">
        <f>"65326407"</f>
        <v>65326407</v>
      </c>
      <c r="B1111" t="s">
        <v>2495</v>
      </c>
      <c r="C1111" t="str">
        <f t="shared" si="79"/>
        <v>706</v>
      </c>
      <c r="D1111" t="s">
        <v>28</v>
      </c>
      <c r="E1111" t="s">
        <v>52</v>
      </c>
      <c r="F1111" t="s">
        <v>1857</v>
      </c>
      <c r="G1111" t="s">
        <v>2496</v>
      </c>
      <c r="H1111" t="str">
        <f t="shared" si="80"/>
        <v>9499</v>
      </c>
      <c r="I1111" t="s">
        <v>31</v>
      </c>
    </row>
    <row r="1112" spans="1:11" x14ac:dyDescent="0.3">
      <c r="A1112" t="str">
        <f>"66184436"</f>
        <v>66184436</v>
      </c>
      <c r="B1112" t="s">
        <v>2497</v>
      </c>
      <c r="C1112" t="str">
        <f t="shared" si="79"/>
        <v>706</v>
      </c>
      <c r="D1112" t="s">
        <v>28</v>
      </c>
      <c r="E1112" t="s">
        <v>29</v>
      </c>
      <c r="F1112" t="s">
        <v>29</v>
      </c>
      <c r="G1112" t="s">
        <v>29</v>
      </c>
      <c r="H1112" t="str">
        <f t="shared" si="80"/>
        <v>9499</v>
      </c>
      <c r="I1112" t="s">
        <v>31</v>
      </c>
      <c r="J1112" t="s">
        <v>498</v>
      </c>
      <c r="K1112" t="s">
        <v>598</v>
      </c>
    </row>
    <row r="1113" spans="1:11" x14ac:dyDescent="0.3">
      <c r="A1113" t="str">
        <f>"26543231"</f>
        <v>26543231</v>
      </c>
      <c r="B1113" t="s">
        <v>2498</v>
      </c>
      <c r="C1113" t="str">
        <f t="shared" si="79"/>
        <v>706</v>
      </c>
      <c r="D1113" t="s">
        <v>28</v>
      </c>
      <c r="E1113" t="s">
        <v>23</v>
      </c>
      <c r="F1113" t="s">
        <v>23</v>
      </c>
      <c r="G1113" t="s">
        <v>451</v>
      </c>
      <c r="H1113" t="str">
        <f t="shared" si="80"/>
        <v>9499</v>
      </c>
      <c r="I1113" t="s">
        <v>31</v>
      </c>
    </row>
    <row r="1114" spans="1:11" x14ac:dyDescent="0.3">
      <c r="A1114" t="str">
        <f>"27021327"</f>
        <v>27021327</v>
      </c>
      <c r="B1114" t="s">
        <v>2499</v>
      </c>
      <c r="C1114" t="str">
        <f t="shared" si="79"/>
        <v>706</v>
      </c>
      <c r="D1114" t="s">
        <v>28</v>
      </c>
      <c r="E1114" t="s">
        <v>83</v>
      </c>
      <c r="F1114" t="s">
        <v>1425</v>
      </c>
      <c r="G1114" t="s">
        <v>2500</v>
      </c>
      <c r="H1114" t="str">
        <f t="shared" si="80"/>
        <v>9499</v>
      </c>
      <c r="I1114" t="s">
        <v>31</v>
      </c>
    </row>
    <row r="1115" spans="1:11" x14ac:dyDescent="0.3">
      <c r="A1115" t="str">
        <f>"04431081"</f>
        <v>04431081</v>
      </c>
      <c r="B1115" t="s">
        <v>2501</v>
      </c>
      <c r="C1115" t="str">
        <f t="shared" si="79"/>
        <v>706</v>
      </c>
      <c r="D1115" t="s">
        <v>28</v>
      </c>
      <c r="E1115" t="s">
        <v>83</v>
      </c>
      <c r="F1115" t="s">
        <v>1576</v>
      </c>
      <c r="G1115" t="s">
        <v>2502</v>
      </c>
      <c r="H1115" t="str">
        <f t="shared" si="80"/>
        <v>9499</v>
      </c>
      <c r="I1115" t="s">
        <v>31</v>
      </c>
    </row>
    <row r="1116" spans="1:11" x14ac:dyDescent="0.3">
      <c r="A1116" t="str">
        <f>"22644601"</f>
        <v>22644601</v>
      </c>
      <c r="B1116" t="s">
        <v>2503</v>
      </c>
      <c r="C1116" t="str">
        <f t="shared" si="79"/>
        <v>706</v>
      </c>
      <c r="D1116" t="s">
        <v>28</v>
      </c>
      <c r="E1116" t="s">
        <v>23</v>
      </c>
      <c r="F1116" t="s">
        <v>68</v>
      </c>
      <c r="G1116" t="s">
        <v>2504</v>
      </c>
      <c r="H1116" t="str">
        <f>"93190"</f>
        <v>93190</v>
      </c>
      <c r="I1116" t="s">
        <v>59</v>
      </c>
    </row>
    <row r="1117" spans="1:11" x14ac:dyDescent="0.3">
      <c r="A1117" t="str">
        <f>"45211299"</f>
        <v>45211299</v>
      </c>
      <c r="B1117" t="s">
        <v>2505</v>
      </c>
      <c r="C1117" t="str">
        <f t="shared" ref="C1117:C1139" si="81">"722"</f>
        <v>722</v>
      </c>
      <c r="D1117" t="s">
        <v>315</v>
      </c>
      <c r="E1117" t="s">
        <v>29</v>
      </c>
      <c r="F1117" t="s">
        <v>653</v>
      </c>
      <c r="G1117" t="s">
        <v>2506</v>
      </c>
      <c r="H1117" t="str">
        <f t="shared" ref="H1117:H1139" si="82">"94910"</f>
        <v>94910</v>
      </c>
      <c r="I1117" t="s">
        <v>316</v>
      </c>
    </row>
    <row r="1118" spans="1:11" x14ac:dyDescent="0.3">
      <c r="A1118" t="str">
        <f>"49563165"</f>
        <v>49563165</v>
      </c>
      <c r="B1118" t="s">
        <v>2507</v>
      </c>
      <c r="C1118" t="str">
        <f t="shared" si="81"/>
        <v>722</v>
      </c>
      <c r="D1118" t="s">
        <v>315</v>
      </c>
      <c r="E1118" t="s">
        <v>29</v>
      </c>
      <c r="F1118" t="s">
        <v>685</v>
      </c>
      <c r="G1118" t="s">
        <v>2508</v>
      </c>
      <c r="H1118" t="str">
        <f t="shared" si="82"/>
        <v>94910</v>
      </c>
      <c r="I1118" t="s">
        <v>316</v>
      </c>
    </row>
    <row r="1119" spans="1:11" x14ac:dyDescent="0.3">
      <c r="A1119" t="str">
        <f>"44740891"</f>
        <v>44740891</v>
      </c>
      <c r="B1119" t="s">
        <v>2509</v>
      </c>
      <c r="C1119" t="str">
        <f t="shared" si="81"/>
        <v>722</v>
      </c>
      <c r="D1119" t="s">
        <v>315</v>
      </c>
      <c r="E1119" t="s">
        <v>29</v>
      </c>
      <c r="F1119" t="s">
        <v>250</v>
      </c>
      <c r="G1119" t="s">
        <v>2510</v>
      </c>
      <c r="H1119" t="str">
        <f t="shared" si="82"/>
        <v>94910</v>
      </c>
      <c r="I1119" t="s">
        <v>316</v>
      </c>
    </row>
    <row r="1120" spans="1:11" x14ac:dyDescent="0.3">
      <c r="A1120" t="str">
        <f>"18757642"</f>
        <v>18757642</v>
      </c>
      <c r="B1120" t="s">
        <v>2511</v>
      </c>
      <c r="C1120" t="str">
        <f t="shared" si="81"/>
        <v>722</v>
      </c>
      <c r="D1120" t="s">
        <v>315</v>
      </c>
      <c r="E1120" t="s">
        <v>23</v>
      </c>
      <c r="F1120" t="s">
        <v>1555</v>
      </c>
      <c r="G1120" t="s">
        <v>2512</v>
      </c>
      <c r="H1120" t="str">
        <f t="shared" si="82"/>
        <v>94910</v>
      </c>
      <c r="I1120" t="s">
        <v>316</v>
      </c>
    </row>
    <row r="1121" spans="1:10" x14ac:dyDescent="0.3">
      <c r="A1121" t="str">
        <f>"47659327"</f>
        <v>47659327</v>
      </c>
      <c r="B1121" t="s">
        <v>2513</v>
      </c>
      <c r="C1121" t="str">
        <f t="shared" si="81"/>
        <v>722</v>
      </c>
      <c r="D1121" t="s">
        <v>315</v>
      </c>
      <c r="E1121" t="s">
        <v>29</v>
      </c>
      <c r="F1121" t="s">
        <v>1004</v>
      </c>
      <c r="G1121" t="s">
        <v>2514</v>
      </c>
      <c r="H1121" t="str">
        <f t="shared" si="82"/>
        <v>94910</v>
      </c>
      <c r="I1121" t="s">
        <v>316</v>
      </c>
    </row>
    <row r="1122" spans="1:10" x14ac:dyDescent="0.3">
      <c r="A1122" t="str">
        <f>"60382805"</f>
        <v>60382805</v>
      </c>
      <c r="B1122" t="s">
        <v>2515</v>
      </c>
      <c r="C1122" t="str">
        <f t="shared" si="81"/>
        <v>722</v>
      </c>
      <c r="D1122" t="s">
        <v>315</v>
      </c>
      <c r="E1122" t="s">
        <v>83</v>
      </c>
      <c r="F1122" t="s">
        <v>83</v>
      </c>
      <c r="G1122" t="s">
        <v>2516</v>
      </c>
      <c r="H1122" t="str">
        <f t="shared" si="82"/>
        <v>94910</v>
      </c>
      <c r="I1122" t="s">
        <v>316</v>
      </c>
    </row>
    <row r="1123" spans="1:10" x14ac:dyDescent="0.3">
      <c r="A1123" t="str">
        <f>"49563173"</f>
        <v>49563173</v>
      </c>
      <c r="B1123" t="s">
        <v>2517</v>
      </c>
      <c r="C1123" t="str">
        <f t="shared" si="81"/>
        <v>722</v>
      </c>
      <c r="D1123" t="s">
        <v>315</v>
      </c>
      <c r="E1123" t="s">
        <v>29</v>
      </c>
      <c r="F1123" t="s">
        <v>1839</v>
      </c>
      <c r="G1123" t="s">
        <v>2518</v>
      </c>
      <c r="H1123" t="str">
        <f t="shared" si="82"/>
        <v>94910</v>
      </c>
      <c r="I1123" t="s">
        <v>316</v>
      </c>
    </row>
    <row r="1124" spans="1:10" x14ac:dyDescent="0.3">
      <c r="A1124" t="str">
        <f>"45211248"</f>
        <v>45211248</v>
      </c>
      <c r="B1124" t="s">
        <v>2519</v>
      </c>
      <c r="C1124" t="str">
        <f t="shared" si="81"/>
        <v>722</v>
      </c>
      <c r="D1124" t="s">
        <v>315</v>
      </c>
      <c r="E1124" t="s">
        <v>29</v>
      </c>
      <c r="F1124" t="s">
        <v>676</v>
      </c>
      <c r="G1124" t="s">
        <v>2520</v>
      </c>
      <c r="H1124" t="str">
        <f t="shared" si="82"/>
        <v>94910</v>
      </c>
      <c r="I1124" t="s">
        <v>316</v>
      </c>
    </row>
    <row r="1125" spans="1:10" x14ac:dyDescent="0.3">
      <c r="A1125" t="str">
        <f>"48772801"</f>
        <v>48772801</v>
      </c>
      <c r="B1125" t="s">
        <v>2521</v>
      </c>
      <c r="C1125" t="str">
        <f t="shared" si="81"/>
        <v>722</v>
      </c>
      <c r="D1125" t="s">
        <v>315</v>
      </c>
      <c r="E1125" t="s">
        <v>29</v>
      </c>
      <c r="F1125" t="s">
        <v>1874</v>
      </c>
      <c r="G1125" t="s">
        <v>2522</v>
      </c>
      <c r="H1125" t="str">
        <f t="shared" si="82"/>
        <v>94910</v>
      </c>
      <c r="I1125" t="s">
        <v>316</v>
      </c>
    </row>
    <row r="1126" spans="1:10" x14ac:dyDescent="0.3">
      <c r="A1126" t="str">
        <f>"18190073"</f>
        <v>18190073</v>
      </c>
      <c r="B1126" t="s">
        <v>2523</v>
      </c>
      <c r="C1126" t="str">
        <f t="shared" si="81"/>
        <v>722</v>
      </c>
      <c r="D1126" t="s">
        <v>315</v>
      </c>
      <c r="E1126" t="s">
        <v>83</v>
      </c>
      <c r="F1126" t="s">
        <v>873</v>
      </c>
      <c r="G1126" t="s">
        <v>2524</v>
      </c>
      <c r="H1126" t="str">
        <f t="shared" si="82"/>
        <v>94910</v>
      </c>
      <c r="I1126" t="s">
        <v>316</v>
      </c>
    </row>
    <row r="1127" spans="1:10" x14ac:dyDescent="0.3">
      <c r="A1127" t="str">
        <f>"62335014"</f>
        <v>62335014</v>
      </c>
      <c r="B1127" t="s">
        <v>2525</v>
      </c>
      <c r="C1127" t="str">
        <f t="shared" si="81"/>
        <v>722</v>
      </c>
      <c r="D1127" t="s">
        <v>315</v>
      </c>
      <c r="E1127" t="s">
        <v>29</v>
      </c>
      <c r="F1127" t="s">
        <v>1445</v>
      </c>
      <c r="G1127" t="s">
        <v>2526</v>
      </c>
      <c r="H1127" t="str">
        <f t="shared" si="82"/>
        <v>94910</v>
      </c>
      <c r="I1127" t="s">
        <v>316</v>
      </c>
    </row>
    <row r="1128" spans="1:10" x14ac:dyDescent="0.3">
      <c r="A1128" t="str">
        <f>"48772992"</f>
        <v>48772992</v>
      </c>
      <c r="B1128" t="s">
        <v>2527</v>
      </c>
      <c r="C1128" t="str">
        <f t="shared" si="81"/>
        <v>722</v>
      </c>
      <c r="D1128" t="s">
        <v>315</v>
      </c>
      <c r="E1128" t="s">
        <v>29</v>
      </c>
      <c r="F1128" t="s">
        <v>681</v>
      </c>
      <c r="G1128" t="s">
        <v>2528</v>
      </c>
      <c r="H1128" t="str">
        <f t="shared" si="82"/>
        <v>94910</v>
      </c>
      <c r="I1128" t="s">
        <v>316</v>
      </c>
    </row>
    <row r="1129" spans="1:10" x14ac:dyDescent="0.3">
      <c r="A1129" t="str">
        <f>"46998063"</f>
        <v>46998063</v>
      </c>
      <c r="B1129" t="s">
        <v>2529</v>
      </c>
      <c r="C1129" t="str">
        <f t="shared" si="81"/>
        <v>722</v>
      </c>
      <c r="D1129" t="s">
        <v>315</v>
      </c>
      <c r="E1129" t="s">
        <v>83</v>
      </c>
      <c r="F1129" t="s">
        <v>227</v>
      </c>
      <c r="G1129" t="s">
        <v>2530</v>
      </c>
      <c r="H1129" t="str">
        <f t="shared" si="82"/>
        <v>94910</v>
      </c>
      <c r="I1129" t="s">
        <v>316</v>
      </c>
    </row>
    <row r="1130" spans="1:10" x14ac:dyDescent="0.3">
      <c r="A1130" t="str">
        <f>"45211337"</f>
        <v>45211337</v>
      </c>
      <c r="B1130" t="s">
        <v>2531</v>
      </c>
      <c r="C1130" t="str">
        <f t="shared" si="81"/>
        <v>722</v>
      </c>
      <c r="D1130" t="s">
        <v>315</v>
      </c>
      <c r="E1130" t="s">
        <v>29</v>
      </c>
      <c r="F1130" t="s">
        <v>2532</v>
      </c>
      <c r="G1130" t="s">
        <v>2533</v>
      </c>
      <c r="H1130" t="str">
        <f t="shared" si="82"/>
        <v>94910</v>
      </c>
      <c r="I1130" t="s">
        <v>316</v>
      </c>
    </row>
    <row r="1131" spans="1:10" x14ac:dyDescent="0.3">
      <c r="A1131" t="str">
        <f>"46256300"</f>
        <v>46256300</v>
      </c>
      <c r="B1131" t="s">
        <v>2534</v>
      </c>
      <c r="C1131" t="str">
        <f t="shared" si="81"/>
        <v>722</v>
      </c>
      <c r="D1131" t="s">
        <v>315</v>
      </c>
      <c r="E1131" t="s">
        <v>52</v>
      </c>
      <c r="F1131" t="s">
        <v>52</v>
      </c>
      <c r="G1131" t="s">
        <v>2535</v>
      </c>
      <c r="H1131" t="str">
        <f t="shared" si="82"/>
        <v>94910</v>
      </c>
      <c r="I1131" t="s">
        <v>316</v>
      </c>
      <c r="J1131" t="s">
        <v>2536</v>
      </c>
    </row>
    <row r="1132" spans="1:10" x14ac:dyDescent="0.3">
      <c r="A1132" t="str">
        <f>"46311050"</f>
        <v>46311050</v>
      </c>
      <c r="B1132" t="s">
        <v>2537</v>
      </c>
      <c r="C1132" t="str">
        <f t="shared" si="81"/>
        <v>722</v>
      </c>
      <c r="D1132" t="s">
        <v>315</v>
      </c>
      <c r="E1132" t="s">
        <v>23</v>
      </c>
      <c r="F1132" t="s">
        <v>87</v>
      </c>
      <c r="G1132" t="s">
        <v>2538</v>
      </c>
      <c r="H1132" t="str">
        <f t="shared" si="82"/>
        <v>94910</v>
      </c>
      <c r="I1132" t="s">
        <v>316</v>
      </c>
    </row>
    <row r="1133" spans="1:10" x14ac:dyDescent="0.3">
      <c r="A1133" t="str">
        <f>"47658983"</f>
        <v>47658983</v>
      </c>
      <c r="B1133" t="s">
        <v>2539</v>
      </c>
      <c r="C1133" t="str">
        <f t="shared" si="81"/>
        <v>722</v>
      </c>
      <c r="D1133" t="s">
        <v>315</v>
      </c>
      <c r="E1133" t="s">
        <v>29</v>
      </c>
      <c r="F1133" t="s">
        <v>1899</v>
      </c>
      <c r="G1133" t="s">
        <v>2540</v>
      </c>
      <c r="H1133" t="str">
        <f t="shared" si="82"/>
        <v>94910</v>
      </c>
      <c r="I1133" t="s">
        <v>316</v>
      </c>
    </row>
    <row r="1134" spans="1:10" x14ac:dyDescent="0.3">
      <c r="A1134" t="str">
        <f>"47658355"</f>
        <v>47658355</v>
      </c>
      <c r="B1134" t="s">
        <v>2541</v>
      </c>
      <c r="C1134" t="str">
        <f t="shared" si="81"/>
        <v>722</v>
      </c>
      <c r="D1134" t="s">
        <v>315</v>
      </c>
      <c r="E1134" t="s">
        <v>29</v>
      </c>
      <c r="F1134" t="s">
        <v>195</v>
      </c>
      <c r="G1134" t="s">
        <v>1350</v>
      </c>
      <c r="H1134" t="str">
        <f t="shared" si="82"/>
        <v>94910</v>
      </c>
      <c r="I1134" t="s">
        <v>316</v>
      </c>
    </row>
    <row r="1135" spans="1:10" x14ac:dyDescent="0.3">
      <c r="A1135" t="str">
        <f>"47658347"</f>
        <v>47658347</v>
      </c>
      <c r="B1135" t="s">
        <v>2542</v>
      </c>
      <c r="C1135" t="str">
        <f t="shared" si="81"/>
        <v>722</v>
      </c>
      <c r="D1135" t="s">
        <v>315</v>
      </c>
      <c r="E1135" t="s">
        <v>29</v>
      </c>
      <c r="F1135" t="s">
        <v>718</v>
      </c>
      <c r="G1135" t="s">
        <v>2543</v>
      </c>
      <c r="H1135" t="str">
        <f t="shared" si="82"/>
        <v>94910</v>
      </c>
      <c r="I1135" t="s">
        <v>316</v>
      </c>
    </row>
    <row r="1136" spans="1:10" x14ac:dyDescent="0.3">
      <c r="A1136" t="str">
        <f>"46276815"</f>
        <v>46276815</v>
      </c>
      <c r="B1136" t="s">
        <v>2544</v>
      </c>
      <c r="C1136" t="str">
        <f t="shared" si="81"/>
        <v>722</v>
      </c>
      <c r="D1136" t="s">
        <v>315</v>
      </c>
      <c r="E1136" t="s">
        <v>23</v>
      </c>
      <c r="F1136" t="s">
        <v>68</v>
      </c>
      <c r="G1136" t="s">
        <v>2545</v>
      </c>
      <c r="H1136" t="str">
        <f t="shared" si="82"/>
        <v>94910</v>
      </c>
      <c r="I1136" t="s">
        <v>316</v>
      </c>
    </row>
    <row r="1137" spans="1:9" x14ac:dyDescent="0.3">
      <c r="A1137" t="str">
        <f>"47659068"</f>
        <v>47659068</v>
      </c>
      <c r="B1137" t="s">
        <v>2546</v>
      </c>
      <c r="C1137" t="str">
        <f t="shared" si="81"/>
        <v>722</v>
      </c>
      <c r="D1137" t="s">
        <v>315</v>
      </c>
      <c r="E1137" t="s">
        <v>29</v>
      </c>
      <c r="F1137" t="s">
        <v>29</v>
      </c>
      <c r="G1137" t="s">
        <v>2547</v>
      </c>
      <c r="H1137" t="str">
        <f t="shared" si="82"/>
        <v>94910</v>
      </c>
      <c r="I1137" t="s">
        <v>316</v>
      </c>
    </row>
    <row r="1138" spans="1:9" x14ac:dyDescent="0.3">
      <c r="A1138" t="str">
        <f>"47658657"</f>
        <v>47658657</v>
      </c>
      <c r="B1138" t="s">
        <v>2548</v>
      </c>
      <c r="C1138" t="str">
        <f t="shared" si="81"/>
        <v>722</v>
      </c>
      <c r="D1138" t="s">
        <v>315</v>
      </c>
      <c r="E1138" t="s">
        <v>29</v>
      </c>
      <c r="F1138" t="s">
        <v>29</v>
      </c>
      <c r="G1138" t="s">
        <v>2549</v>
      </c>
      <c r="H1138" t="str">
        <f t="shared" si="82"/>
        <v>94910</v>
      </c>
      <c r="I1138" t="s">
        <v>316</v>
      </c>
    </row>
    <row r="1139" spans="1:9" x14ac:dyDescent="0.3">
      <c r="A1139" t="str">
        <f>"46311432"</f>
        <v>46311432</v>
      </c>
      <c r="B1139" t="s">
        <v>2550</v>
      </c>
      <c r="C1139" t="str">
        <f t="shared" si="81"/>
        <v>722</v>
      </c>
      <c r="D1139" t="s">
        <v>315</v>
      </c>
      <c r="E1139" t="s">
        <v>23</v>
      </c>
      <c r="F1139" t="s">
        <v>23</v>
      </c>
      <c r="G1139" t="s">
        <v>2551</v>
      </c>
      <c r="H1139" t="str">
        <f t="shared" si="82"/>
        <v>94910</v>
      </c>
      <c r="I1139" t="s">
        <v>316</v>
      </c>
    </row>
    <row r="1140" spans="1:9" x14ac:dyDescent="0.3">
      <c r="A1140" t="str">
        <f>"07870221"</f>
        <v>07870221</v>
      </c>
      <c r="B1140" t="s">
        <v>2552</v>
      </c>
      <c r="C1140" t="str">
        <f t="shared" ref="C1140:C1162" si="83">"706"</f>
        <v>706</v>
      </c>
      <c r="D1140" t="s">
        <v>28</v>
      </c>
      <c r="E1140" t="s">
        <v>29</v>
      </c>
      <c r="F1140" t="s">
        <v>195</v>
      </c>
      <c r="G1140" t="s">
        <v>2553</v>
      </c>
      <c r="H1140" t="str">
        <f>"9499"</f>
        <v>9499</v>
      </c>
      <c r="I1140" t="s">
        <v>31</v>
      </c>
    </row>
    <row r="1141" spans="1:9" x14ac:dyDescent="0.3">
      <c r="A1141" t="str">
        <f>"26550385"</f>
        <v>26550385</v>
      </c>
      <c r="B1141" t="s">
        <v>2554</v>
      </c>
      <c r="C1141" t="str">
        <f t="shared" si="83"/>
        <v>706</v>
      </c>
      <c r="D1141" t="s">
        <v>28</v>
      </c>
      <c r="E1141" t="s">
        <v>29</v>
      </c>
      <c r="F1141" t="s">
        <v>195</v>
      </c>
      <c r="G1141" t="s">
        <v>2555</v>
      </c>
      <c r="H1141" t="str">
        <f>"9499"</f>
        <v>9499</v>
      </c>
      <c r="I1141" t="s">
        <v>31</v>
      </c>
    </row>
    <row r="1142" spans="1:9" x14ac:dyDescent="0.3">
      <c r="A1142" t="str">
        <f>"67027083"</f>
        <v>67027083</v>
      </c>
      <c r="B1142" t="s">
        <v>2556</v>
      </c>
      <c r="C1142" t="str">
        <f t="shared" si="83"/>
        <v>706</v>
      </c>
      <c r="D1142" t="s">
        <v>28</v>
      </c>
      <c r="E1142" t="s">
        <v>52</v>
      </c>
      <c r="F1142" t="s">
        <v>234</v>
      </c>
      <c r="G1142" t="s">
        <v>2557</v>
      </c>
      <c r="H1142" t="str">
        <f>"93120"</f>
        <v>93120</v>
      </c>
      <c r="I1142" t="s">
        <v>54</v>
      </c>
    </row>
    <row r="1143" spans="1:9" x14ac:dyDescent="0.3">
      <c r="A1143" t="str">
        <f>"27036022"</f>
        <v>27036022</v>
      </c>
      <c r="B1143" t="s">
        <v>2558</v>
      </c>
      <c r="C1143" t="str">
        <f t="shared" si="83"/>
        <v>706</v>
      </c>
      <c r="D1143" t="s">
        <v>28</v>
      </c>
      <c r="E1143" t="s">
        <v>52</v>
      </c>
      <c r="F1143" t="s">
        <v>1788</v>
      </c>
      <c r="G1143" t="s">
        <v>2559</v>
      </c>
      <c r="H1143" t="str">
        <f>"93110"</f>
        <v>93110</v>
      </c>
      <c r="I1143" t="s">
        <v>92</v>
      </c>
    </row>
    <row r="1144" spans="1:9" x14ac:dyDescent="0.3">
      <c r="A1144" t="str">
        <f>"22743766"</f>
        <v>22743766</v>
      </c>
      <c r="B1144" t="s">
        <v>2560</v>
      </c>
      <c r="C1144" t="str">
        <f t="shared" si="83"/>
        <v>706</v>
      </c>
      <c r="D1144" t="s">
        <v>28</v>
      </c>
      <c r="E1144" t="s">
        <v>52</v>
      </c>
      <c r="F1144" t="s">
        <v>52</v>
      </c>
      <c r="G1144" t="s">
        <v>2561</v>
      </c>
      <c r="H1144" t="str">
        <f>"93110"</f>
        <v>93110</v>
      </c>
      <c r="I1144" t="s">
        <v>92</v>
      </c>
    </row>
    <row r="1145" spans="1:9" x14ac:dyDescent="0.3">
      <c r="A1145" t="str">
        <f>"01734903"</f>
        <v>01734903</v>
      </c>
      <c r="B1145" t="s">
        <v>2562</v>
      </c>
      <c r="C1145" t="str">
        <f t="shared" si="83"/>
        <v>706</v>
      </c>
      <c r="D1145" t="s">
        <v>28</v>
      </c>
      <c r="E1145" t="s">
        <v>23</v>
      </c>
      <c r="F1145" t="s">
        <v>459</v>
      </c>
      <c r="G1145" t="s">
        <v>2563</v>
      </c>
      <c r="H1145" t="str">
        <f>"9499"</f>
        <v>9499</v>
      </c>
      <c r="I1145" t="s">
        <v>31</v>
      </c>
    </row>
    <row r="1146" spans="1:9" x14ac:dyDescent="0.3">
      <c r="A1146" t="str">
        <f>"22718575"</f>
        <v>22718575</v>
      </c>
      <c r="B1146" t="s">
        <v>2564</v>
      </c>
      <c r="C1146" t="str">
        <f t="shared" si="83"/>
        <v>706</v>
      </c>
      <c r="D1146" t="s">
        <v>28</v>
      </c>
      <c r="E1146" t="s">
        <v>29</v>
      </c>
      <c r="F1146" t="s">
        <v>195</v>
      </c>
      <c r="G1146" t="s">
        <v>2565</v>
      </c>
      <c r="H1146" t="str">
        <f>"93190"</f>
        <v>93190</v>
      </c>
      <c r="I1146" t="s">
        <v>59</v>
      </c>
    </row>
    <row r="1147" spans="1:9" x14ac:dyDescent="0.3">
      <c r="A1147" t="str">
        <f>"47934395"</f>
        <v>47934395</v>
      </c>
      <c r="B1147" t="s">
        <v>2566</v>
      </c>
      <c r="C1147" t="str">
        <f t="shared" si="83"/>
        <v>706</v>
      </c>
      <c r="D1147" t="s">
        <v>28</v>
      </c>
      <c r="E1147" t="s">
        <v>83</v>
      </c>
      <c r="F1147" t="s">
        <v>815</v>
      </c>
      <c r="G1147" t="s">
        <v>2567</v>
      </c>
      <c r="H1147" t="str">
        <f>"93110"</f>
        <v>93110</v>
      </c>
      <c r="I1147" t="s">
        <v>92</v>
      </c>
    </row>
    <row r="1148" spans="1:9" x14ac:dyDescent="0.3">
      <c r="A1148" t="str">
        <f>"60370220"</f>
        <v>60370220</v>
      </c>
      <c r="B1148" t="s">
        <v>2568</v>
      </c>
      <c r="C1148" t="str">
        <f t="shared" si="83"/>
        <v>706</v>
      </c>
      <c r="D1148" t="s">
        <v>28</v>
      </c>
      <c r="E1148" t="s">
        <v>52</v>
      </c>
      <c r="F1148" t="s">
        <v>80</v>
      </c>
      <c r="G1148" t="s">
        <v>2569</v>
      </c>
      <c r="H1148" t="str">
        <f>"93110"</f>
        <v>93110</v>
      </c>
      <c r="I1148" t="s">
        <v>92</v>
      </c>
    </row>
    <row r="1149" spans="1:9" x14ac:dyDescent="0.3">
      <c r="A1149" t="str">
        <f>"22863991"</f>
        <v>22863991</v>
      </c>
      <c r="B1149" t="s">
        <v>2570</v>
      </c>
      <c r="C1149" t="str">
        <f t="shared" si="83"/>
        <v>706</v>
      </c>
      <c r="D1149" t="s">
        <v>28</v>
      </c>
      <c r="E1149" t="s">
        <v>23</v>
      </c>
      <c r="F1149" t="s">
        <v>23</v>
      </c>
      <c r="G1149" t="s">
        <v>2571</v>
      </c>
      <c r="H1149" t="str">
        <f>"93120"</f>
        <v>93120</v>
      </c>
      <c r="I1149" t="s">
        <v>54</v>
      </c>
    </row>
    <row r="1150" spans="1:9" x14ac:dyDescent="0.3">
      <c r="A1150" t="str">
        <f>"21885982"</f>
        <v>21885982</v>
      </c>
      <c r="B1150" t="s">
        <v>2572</v>
      </c>
      <c r="C1150" t="str">
        <f t="shared" si="83"/>
        <v>706</v>
      </c>
      <c r="D1150" t="s">
        <v>28</v>
      </c>
      <c r="E1150" t="s">
        <v>52</v>
      </c>
      <c r="F1150" t="s">
        <v>52</v>
      </c>
      <c r="G1150" t="s">
        <v>2573</v>
      </c>
      <c r="H1150" t="str">
        <f>"93120"</f>
        <v>93120</v>
      </c>
      <c r="I1150" t="s">
        <v>54</v>
      </c>
    </row>
    <row r="1151" spans="1:9" x14ac:dyDescent="0.3">
      <c r="A1151" t="str">
        <f>"18810721"</f>
        <v>18810721</v>
      </c>
      <c r="B1151" t="s">
        <v>2574</v>
      </c>
      <c r="C1151" t="str">
        <f t="shared" si="83"/>
        <v>706</v>
      </c>
      <c r="D1151" t="s">
        <v>28</v>
      </c>
      <c r="E1151" t="s">
        <v>23</v>
      </c>
      <c r="F1151" t="s">
        <v>975</v>
      </c>
      <c r="G1151" t="s">
        <v>2575</v>
      </c>
      <c r="H1151" t="str">
        <f>"93120"</f>
        <v>93120</v>
      </c>
      <c r="I1151" t="s">
        <v>54</v>
      </c>
    </row>
    <row r="1152" spans="1:9" x14ac:dyDescent="0.3">
      <c r="A1152" t="str">
        <f>"67727883"</f>
        <v>67727883</v>
      </c>
      <c r="B1152" t="s">
        <v>2576</v>
      </c>
      <c r="C1152" t="str">
        <f t="shared" si="83"/>
        <v>706</v>
      </c>
      <c r="D1152" t="s">
        <v>28</v>
      </c>
      <c r="E1152" t="s">
        <v>29</v>
      </c>
      <c r="F1152" t="s">
        <v>670</v>
      </c>
      <c r="G1152" t="s">
        <v>2577</v>
      </c>
      <c r="H1152" t="str">
        <f>"93120"</f>
        <v>93120</v>
      </c>
      <c r="I1152" t="s">
        <v>54</v>
      </c>
    </row>
    <row r="1153" spans="1:10" x14ac:dyDescent="0.3">
      <c r="A1153" t="str">
        <f>"44004257"</f>
        <v>44004257</v>
      </c>
      <c r="B1153" t="s">
        <v>2578</v>
      </c>
      <c r="C1153" t="str">
        <f t="shared" si="83"/>
        <v>706</v>
      </c>
      <c r="D1153" t="s">
        <v>28</v>
      </c>
      <c r="E1153" t="s">
        <v>23</v>
      </c>
      <c r="F1153" t="s">
        <v>1631</v>
      </c>
      <c r="G1153" t="s">
        <v>2579</v>
      </c>
      <c r="H1153" t="str">
        <f>"9499"</f>
        <v>9499</v>
      </c>
      <c r="I1153" t="s">
        <v>31</v>
      </c>
    </row>
    <row r="1154" spans="1:10" x14ac:dyDescent="0.3">
      <c r="A1154" t="str">
        <f>"62334697"</f>
        <v>62334697</v>
      </c>
      <c r="B1154" t="s">
        <v>2580</v>
      </c>
      <c r="C1154" t="str">
        <f t="shared" si="83"/>
        <v>706</v>
      </c>
      <c r="D1154" t="s">
        <v>28</v>
      </c>
      <c r="E1154" t="s">
        <v>29</v>
      </c>
      <c r="F1154" t="s">
        <v>29</v>
      </c>
      <c r="G1154" t="s">
        <v>2581</v>
      </c>
      <c r="H1154" t="str">
        <f>"93110"</f>
        <v>93110</v>
      </c>
      <c r="I1154" t="s">
        <v>92</v>
      </c>
    </row>
    <row r="1155" spans="1:10" x14ac:dyDescent="0.3">
      <c r="A1155" t="str">
        <f>"65792157"</f>
        <v>65792157</v>
      </c>
      <c r="B1155" t="s">
        <v>2582</v>
      </c>
      <c r="C1155" t="str">
        <f t="shared" si="83"/>
        <v>706</v>
      </c>
      <c r="D1155" t="s">
        <v>28</v>
      </c>
      <c r="E1155" t="s">
        <v>23</v>
      </c>
      <c r="F1155" t="s">
        <v>245</v>
      </c>
      <c r="G1155" t="s">
        <v>2583</v>
      </c>
      <c r="H1155" t="str">
        <f>"931"</f>
        <v>931</v>
      </c>
      <c r="I1155" t="s">
        <v>26</v>
      </c>
    </row>
    <row r="1156" spans="1:10" x14ac:dyDescent="0.3">
      <c r="A1156" t="str">
        <f>"27000907"</f>
        <v>27000907</v>
      </c>
      <c r="B1156" t="s">
        <v>2584</v>
      </c>
      <c r="C1156" t="str">
        <f t="shared" si="83"/>
        <v>706</v>
      </c>
      <c r="D1156" t="s">
        <v>28</v>
      </c>
      <c r="E1156" t="s">
        <v>83</v>
      </c>
      <c r="F1156" t="s">
        <v>1425</v>
      </c>
      <c r="G1156" t="s">
        <v>2585</v>
      </c>
      <c r="H1156" t="str">
        <f>"93110"</f>
        <v>93110</v>
      </c>
      <c r="I1156" t="s">
        <v>92</v>
      </c>
    </row>
    <row r="1157" spans="1:10" x14ac:dyDescent="0.3">
      <c r="A1157" t="str">
        <f>"17252393"</f>
        <v>17252393</v>
      </c>
      <c r="B1157" t="s">
        <v>2586</v>
      </c>
      <c r="C1157" t="str">
        <f t="shared" si="83"/>
        <v>706</v>
      </c>
      <c r="D1157" t="s">
        <v>28</v>
      </c>
      <c r="E1157" t="s">
        <v>29</v>
      </c>
      <c r="F1157" t="s">
        <v>1926</v>
      </c>
      <c r="G1157" t="s">
        <v>2587</v>
      </c>
      <c r="H1157" t="str">
        <f>"93110"</f>
        <v>93110</v>
      </c>
      <c r="I1157" t="s">
        <v>92</v>
      </c>
    </row>
    <row r="1158" spans="1:10" x14ac:dyDescent="0.3">
      <c r="A1158" t="str">
        <f>"18189873"</f>
        <v>18189873</v>
      </c>
      <c r="B1158" t="s">
        <v>2588</v>
      </c>
      <c r="C1158" t="str">
        <f t="shared" si="83"/>
        <v>706</v>
      </c>
      <c r="D1158" t="s">
        <v>28</v>
      </c>
      <c r="E1158" t="s">
        <v>83</v>
      </c>
      <c r="F1158" t="s">
        <v>409</v>
      </c>
      <c r="G1158" t="s">
        <v>2589</v>
      </c>
      <c r="H1158" t="str">
        <f>"93110"</f>
        <v>93110</v>
      </c>
      <c r="I1158" t="s">
        <v>92</v>
      </c>
    </row>
    <row r="1159" spans="1:10" x14ac:dyDescent="0.3">
      <c r="A1159" t="str">
        <f>"70886725"</f>
        <v>70886725</v>
      </c>
      <c r="B1159" t="s">
        <v>2590</v>
      </c>
      <c r="C1159" t="str">
        <f t="shared" si="83"/>
        <v>706</v>
      </c>
      <c r="D1159" t="s">
        <v>28</v>
      </c>
      <c r="E1159" t="s">
        <v>29</v>
      </c>
      <c r="F1159" t="s">
        <v>2591</v>
      </c>
      <c r="G1159" t="s">
        <v>2592</v>
      </c>
      <c r="H1159" t="str">
        <f>"93120"</f>
        <v>93120</v>
      </c>
      <c r="I1159" t="s">
        <v>54</v>
      </c>
    </row>
    <row r="1160" spans="1:10" x14ac:dyDescent="0.3">
      <c r="A1160" t="str">
        <f>"70909814"</f>
        <v>70909814</v>
      </c>
      <c r="B1160" t="s">
        <v>2593</v>
      </c>
      <c r="C1160" t="str">
        <f t="shared" si="83"/>
        <v>706</v>
      </c>
      <c r="D1160" t="s">
        <v>28</v>
      </c>
      <c r="E1160" t="s">
        <v>29</v>
      </c>
      <c r="F1160" t="s">
        <v>135</v>
      </c>
      <c r="G1160" t="s">
        <v>2594</v>
      </c>
      <c r="H1160" t="str">
        <f>"93120"</f>
        <v>93120</v>
      </c>
      <c r="I1160" t="s">
        <v>54</v>
      </c>
    </row>
    <row r="1161" spans="1:10" x14ac:dyDescent="0.3">
      <c r="A1161" t="str">
        <f>"26642727"</f>
        <v>26642727</v>
      </c>
      <c r="B1161" t="s">
        <v>2595</v>
      </c>
      <c r="C1161" t="str">
        <f t="shared" si="83"/>
        <v>706</v>
      </c>
      <c r="D1161" t="s">
        <v>28</v>
      </c>
      <c r="E1161" t="s">
        <v>23</v>
      </c>
      <c r="F1161" t="s">
        <v>23</v>
      </c>
      <c r="G1161" t="s">
        <v>2596</v>
      </c>
      <c r="H1161" t="str">
        <f>"93110"</f>
        <v>93110</v>
      </c>
      <c r="I1161" t="s">
        <v>92</v>
      </c>
    </row>
    <row r="1162" spans="1:10" x14ac:dyDescent="0.3">
      <c r="A1162" t="str">
        <f>"47935316"</f>
        <v>47935316</v>
      </c>
      <c r="B1162" t="s">
        <v>2597</v>
      </c>
      <c r="C1162" t="str">
        <f t="shared" si="83"/>
        <v>706</v>
      </c>
      <c r="D1162" t="s">
        <v>28</v>
      </c>
      <c r="E1162" t="s">
        <v>83</v>
      </c>
      <c r="F1162" t="s">
        <v>130</v>
      </c>
      <c r="G1162" t="s">
        <v>2598</v>
      </c>
      <c r="H1162" t="str">
        <f>"93110"</f>
        <v>93110</v>
      </c>
      <c r="I1162" t="s">
        <v>92</v>
      </c>
      <c r="J1162" t="s">
        <v>2599</v>
      </c>
    </row>
    <row r="1163" spans="1:10" x14ac:dyDescent="0.3">
      <c r="A1163" t="str">
        <f>"64422551"</f>
        <v>64422551</v>
      </c>
      <c r="B1163" t="s">
        <v>2600</v>
      </c>
      <c r="C1163" t="str">
        <f>"736"</f>
        <v>736</v>
      </c>
      <c r="D1163" t="s">
        <v>22</v>
      </c>
      <c r="E1163" t="s">
        <v>83</v>
      </c>
      <c r="F1163" t="s">
        <v>83</v>
      </c>
      <c r="G1163" t="s">
        <v>2601</v>
      </c>
      <c r="H1163" t="str">
        <f>"93110"</f>
        <v>93110</v>
      </c>
      <c r="I1163" t="s">
        <v>92</v>
      </c>
    </row>
    <row r="1164" spans="1:10" x14ac:dyDescent="0.3">
      <c r="A1164" t="str">
        <f>"65270215"</f>
        <v>65270215</v>
      </c>
      <c r="B1164" t="s">
        <v>2602</v>
      </c>
      <c r="C1164" t="str">
        <f>"736"</f>
        <v>736</v>
      </c>
      <c r="D1164" t="s">
        <v>22</v>
      </c>
      <c r="E1164" t="s">
        <v>83</v>
      </c>
      <c r="F1164" t="s">
        <v>83</v>
      </c>
      <c r="G1164" t="s">
        <v>2603</v>
      </c>
      <c r="H1164" t="str">
        <f>"93120"</f>
        <v>93120</v>
      </c>
      <c r="I1164" t="s">
        <v>54</v>
      </c>
    </row>
    <row r="1165" spans="1:10" x14ac:dyDescent="0.3">
      <c r="A1165" t="str">
        <f>"15531546"</f>
        <v>15531546</v>
      </c>
      <c r="B1165" t="s">
        <v>2604</v>
      </c>
      <c r="C1165" t="str">
        <f t="shared" ref="C1165:C1174" si="84">"706"</f>
        <v>706</v>
      </c>
      <c r="D1165" t="s">
        <v>28</v>
      </c>
      <c r="E1165" t="s">
        <v>23</v>
      </c>
      <c r="F1165" t="s">
        <v>1880</v>
      </c>
      <c r="G1165" t="s">
        <v>1881</v>
      </c>
      <c r="H1165" t="str">
        <f>"93120"</f>
        <v>93120</v>
      </c>
      <c r="I1165" t="s">
        <v>54</v>
      </c>
    </row>
    <row r="1166" spans="1:10" x14ac:dyDescent="0.3">
      <c r="A1166" t="str">
        <f>"68898657"</f>
        <v>68898657</v>
      </c>
      <c r="B1166" t="s">
        <v>2605</v>
      </c>
      <c r="C1166" t="str">
        <f t="shared" si="84"/>
        <v>706</v>
      </c>
      <c r="D1166" t="s">
        <v>28</v>
      </c>
      <c r="E1166" t="s">
        <v>29</v>
      </c>
      <c r="F1166" t="s">
        <v>29</v>
      </c>
      <c r="G1166" t="s">
        <v>2606</v>
      </c>
      <c r="H1166" t="str">
        <f>"93120"</f>
        <v>93120</v>
      </c>
      <c r="I1166" t="s">
        <v>54</v>
      </c>
    </row>
    <row r="1167" spans="1:10" x14ac:dyDescent="0.3">
      <c r="A1167" t="str">
        <f>"22761209"</f>
        <v>22761209</v>
      </c>
      <c r="B1167" t="s">
        <v>2607</v>
      </c>
      <c r="C1167" t="str">
        <f t="shared" si="84"/>
        <v>706</v>
      </c>
      <c r="D1167" t="s">
        <v>28</v>
      </c>
      <c r="E1167" t="s">
        <v>52</v>
      </c>
      <c r="F1167" t="s">
        <v>52</v>
      </c>
      <c r="G1167" t="s">
        <v>2608</v>
      </c>
      <c r="H1167" t="str">
        <f>"93110"</f>
        <v>93110</v>
      </c>
      <c r="I1167" t="s">
        <v>92</v>
      </c>
    </row>
    <row r="1168" spans="1:10" x14ac:dyDescent="0.3">
      <c r="A1168" t="str">
        <f>"64467163"</f>
        <v>64467163</v>
      </c>
      <c r="B1168" t="s">
        <v>2609</v>
      </c>
      <c r="C1168" t="str">
        <f t="shared" si="84"/>
        <v>706</v>
      </c>
      <c r="D1168" t="s">
        <v>28</v>
      </c>
      <c r="E1168" t="s">
        <v>23</v>
      </c>
      <c r="F1168" t="s">
        <v>459</v>
      </c>
      <c r="G1168" t="s">
        <v>2610</v>
      </c>
      <c r="H1168" t="str">
        <f>"93120"</f>
        <v>93120</v>
      </c>
      <c r="I1168" t="s">
        <v>54</v>
      </c>
    </row>
    <row r="1169" spans="1:16" x14ac:dyDescent="0.3">
      <c r="A1169" t="str">
        <f>"46310801"</f>
        <v>46310801</v>
      </c>
      <c r="B1169" t="s">
        <v>2611</v>
      </c>
      <c r="C1169" t="str">
        <f t="shared" si="84"/>
        <v>706</v>
      </c>
      <c r="D1169" t="s">
        <v>28</v>
      </c>
      <c r="E1169" t="s">
        <v>23</v>
      </c>
      <c r="F1169" t="s">
        <v>107</v>
      </c>
      <c r="G1169" t="s">
        <v>2612</v>
      </c>
      <c r="H1169" t="str">
        <f>"9499"</f>
        <v>9499</v>
      </c>
      <c r="I1169" t="s">
        <v>31</v>
      </c>
    </row>
    <row r="1170" spans="1:16" x14ac:dyDescent="0.3">
      <c r="A1170" t="str">
        <f>"48506541"</f>
        <v>48506541</v>
      </c>
      <c r="B1170" t="s">
        <v>2613</v>
      </c>
      <c r="C1170" t="str">
        <f t="shared" si="84"/>
        <v>706</v>
      </c>
      <c r="D1170" t="s">
        <v>28</v>
      </c>
      <c r="E1170" t="s">
        <v>52</v>
      </c>
      <c r="F1170" t="s">
        <v>864</v>
      </c>
      <c r="G1170" t="s">
        <v>2614</v>
      </c>
      <c r="H1170" t="str">
        <f>"93110"</f>
        <v>93110</v>
      </c>
      <c r="I1170" t="s">
        <v>92</v>
      </c>
    </row>
    <row r="1171" spans="1:16" x14ac:dyDescent="0.3">
      <c r="A1171" t="str">
        <f>"61716006"</f>
        <v>61716006</v>
      </c>
      <c r="B1171" t="s">
        <v>2615</v>
      </c>
      <c r="C1171" t="str">
        <f t="shared" si="84"/>
        <v>706</v>
      </c>
      <c r="D1171" t="s">
        <v>28</v>
      </c>
      <c r="E1171" t="s">
        <v>23</v>
      </c>
      <c r="F1171" t="s">
        <v>24</v>
      </c>
      <c r="G1171" t="s">
        <v>2616</v>
      </c>
      <c r="H1171" t="str">
        <f>"93120"</f>
        <v>93120</v>
      </c>
      <c r="I1171" t="s">
        <v>54</v>
      </c>
    </row>
    <row r="1172" spans="1:16" x14ac:dyDescent="0.3">
      <c r="A1172" t="str">
        <f>"49157345"</f>
        <v>49157345</v>
      </c>
      <c r="B1172" t="s">
        <v>2617</v>
      </c>
      <c r="C1172" t="str">
        <f t="shared" si="84"/>
        <v>706</v>
      </c>
      <c r="D1172" t="s">
        <v>28</v>
      </c>
      <c r="E1172" t="s">
        <v>23</v>
      </c>
      <c r="F1172" t="s">
        <v>350</v>
      </c>
      <c r="G1172" t="s">
        <v>2618</v>
      </c>
      <c r="H1172" t="str">
        <f>"93120"</f>
        <v>93120</v>
      </c>
      <c r="I1172" t="s">
        <v>54</v>
      </c>
    </row>
    <row r="1173" spans="1:16" x14ac:dyDescent="0.3">
      <c r="A1173" t="str">
        <f>"70891362"</f>
        <v>70891362</v>
      </c>
      <c r="B1173" t="s">
        <v>2619</v>
      </c>
      <c r="C1173" t="str">
        <f t="shared" si="84"/>
        <v>706</v>
      </c>
      <c r="D1173" t="s">
        <v>28</v>
      </c>
      <c r="E1173" t="s">
        <v>23</v>
      </c>
      <c r="F1173" t="s">
        <v>2620</v>
      </c>
      <c r="G1173" t="s">
        <v>2621</v>
      </c>
      <c r="H1173" t="str">
        <f>"93120"</f>
        <v>93120</v>
      </c>
      <c r="I1173" t="s">
        <v>54</v>
      </c>
    </row>
    <row r="1174" spans="1:16" x14ac:dyDescent="0.3">
      <c r="A1174" t="str">
        <f>"70640378"</f>
        <v>70640378</v>
      </c>
      <c r="B1174" t="s">
        <v>2622</v>
      </c>
      <c r="C1174" t="str">
        <f t="shared" si="84"/>
        <v>706</v>
      </c>
      <c r="D1174" t="s">
        <v>28</v>
      </c>
      <c r="E1174" t="s">
        <v>29</v>
      </c>
      <c r="F1174" t="s">
        <v>1266</v>
      </c>
      <c r="G1174" t="s">
        <v>1929</v>
      </c>
      <c r="H1174" t="str">
        <f>"93120"</f>
        <v>93120</v>
      </c>
      <c r="I1174" t="s">
        <v>54</v>
      </c>
    </row>
    <row r="1175" spans="1:16" x14ac:dyDescent="0.3">
      <c r="A1175" t="str">
        <f>"47930365"</f>
        <v>47930365</v>
      </c>
      <c r="B1175" t="s">
        <v>2623</v>
      </c>
      <c r="C1175" t="str">
        <f>"736"</f>
        <v>736</v>
      </c>
      <c r="D1175" t="s">
        <v>22</v>
      </c>
      <c r="E1175" t="s">
        <v>83</v>
      </c>
      <c r="F1175" t="s">
        <v>83</v>
      </c>
      <c r="G1175" t="s">
        <v>2624</v>
      </c>
      <c r="H1175" t="str">
        <f>"93110"</f>
        <v>93110</v>
      </c>
      <c r="I1175" t="s">
        <v>92</v>
      </c>
    </row>
    <row r="1176" spans="1:16" x14ac:dyDescent="0.3">
      <c r="A1176" t="str">
        <f>"22893474"</f>
        <v>22893474</v>
      </c>
      <c r="B1176" t="s">
        <v>2625</v>
      </c>
      <c r="C1176" t="str">
        <f t="shared" ref="C1176:C1182" si="85">"706"</f>
        <v>706</v>
      </c>
      <c r="D1176" t="s">
        <v>28</v>
      </c>
      <c r="E1176" t="s">
        <v>52</v>
      </c>
      <c r="F1176" t="s">
        <v>2626</v>
      </c>
      <c r="G1176" t="s">
        <v>2627</v>
      </c>
      <c r="H1176" t="str">
        <f>"93110"</f>
        <v>93110</v>
      </c>
      <c r="I1176" t="s">
        <v>92</v>
      </c>
    </row>
    <row r="1177" spans="1:16" x14ac:dyDescent="0.3">
      <c r="A1177" t="str">
        <f>"46308792"</f>
        <v>46308792</v>
      </c>
      <c r="B1177" t="s">
        <v>2628</v>
      </c>
      <c r="C1177" t="str">
        <f t="shared" si="85"/>
        <v>706</v>
      </c>
      <c r="D1177" t="s">
        <v>28</v>
      </c>
      <c r="E1177" t="s">
        <v>23</v>
      </c>
      <c r="F1177" t="s">
        <v>24</v>
      </c>
      <c r="G1177" t="s">
        <v>2629</v>
      </c>
      <c r="H1177" t="str">
        <f>"9499"</f>
        <v>9499</v>
      </c>
      <c r="I1177" t="s">
        <v>31</v>
      </c>
      <c r="J1177" t="s">
        <v>157</v>
      </c>
      <c r="K1177" t="s">
        <v>2630</v>
      </c>
      <c r="L1177" t="s">
        <v>163</v>
      </c>
      <c r="M1177" t="s">
        <v>209</v>
      </c>
      <c r="N1177" t="s">
        <v>161</v>
      </c>
      <c r="O1177" t="s">
        <v>59</v>
      </c>
      <c r="P1177" t="s">
        <v>148</v>
      </c>
    </row>
    <row r="1178" spans="1:16" x14ac:dyDescent="0.3">
      <c r="A1178" t="str">
        <f>"65891546"</f>
        <v>65891546</v>
      </c>
      <c r="B1178" t="s">
        <v>2631</v>
      </c>
      <c r="C1178" t="str">
        <f t="shared" si="85"/>
        <v>706</v>
      </c>
      <c r="D1178" t="s">
        <v>28</v>
      </c>
      <c r="E1178" t="s">
        <v>29</v>
      </c>
      <c r="F1178" t="s">
        <v>45</v>
      </c>
      <c r="G1178" t="s">
        <v>2632</v>
      </c>
      <c r="H1178" t="str">
        <f>"93110"</f>
        <v>93110</v>
      </c>
      <c r="I1178" t="s">
        <v>92</v>
      </c>
    </row>
    <row r="1179" spans="1:16" x14ac:dyDescent="0.3">
      <c r="A1179" t="str">
        <f>"62182731"</f>
        <v>62182731</v>
      </c>
      <c r="B1179" t="s">
        <v>2633</v>
      </c>
      <c r="C1179" t="str">
        <f t="shared" si="85"/>
        <v>706</v>
      </c>
      <c r="D1179" t="s">
        <v>28</v>
      </c>
      <c r="E1179" t="s">
        <v>23</v>
      </c>
      <c r="F1179" t="s">
        <v>793</v>
      </c>
      <c r="G1179" t="s">
        <v>2634</v>
      </c>
      <c r="H1179" t="str">
        <f>"93110"</f>
        <v>93110</v>
      </c>
      <c r="I1179" t="s">
        <v>92</v>
      </c>
    </row>
    <row r="1180" spans="1:16" x14ac:dyDescent="0.3">
      <c r="A1180" t="str">
        <f>"22665081"</f>
        <v>22665081</v>
      </c>
      <c r="B1180" t="s">
        <v>2635</v>
      </c>
      <c r="C1180" t="str">
        <f t="shared" si="85"/>
        <v>706</v>
      </c>
      <c r="D1180" t="s">
        <v>28</v>
      </c>
      <c r="E1180" t="s">
        <v>23</v>
      </c>
      <c r="F1180" t="s">
        <v>23</v>
      </c>
      <c r="G1180" t="s">
        <v>2636</v>
      </c>
      <c r="H1180" t="str">
        <f>"9499"</f>
        <v>9499</v>
      </c>
      <c r="I1180" t="s">
        <v>31</v>
      </c>
    </row>
    <row r="1181" spans="1:16" x14ac:dyDescent="0.3">
      <c r="A1181" t="str">
        <f>"22758470"</f>
        <v>22758470</v>
      </c>
      <c r="B1181" t="s">
        <v>2637</v>
      </c>
      <c r="C1181" t="str">
        <f t="shared" si="85"/>
        <v>706</v>
      </c>
      <c r="D1181" t="s">
        <v>28</v>
      </c>
      <c r="E1181" t="s">
        <v>52</v>
      </c>
      <c r="F1181" t="s">
        <v>739</v>
      </c>
      <c r="G1181" t="s">
        <v>2638</v>
      </c>
      <c r="H1181" t="str">
        <f>"94993"</f>
        <v>94993</v>
      </c>
      <c r="I1181" t="s">
        <v>50</v>
      </c>
    </row>
    <row r="1182" spans="1:16" x14ac:dyDescent="0.3">
      <c r="A1182" t="str">
        <f>"06804365"</f>
        <v>06804365</v>
      </c>
      <c r="B1182" t="s">
        <v>2639</v>
      </c>
      <c r="C1182" t="str">
        <f t="shared" si="85"/>
        <v>706</v>
      </c>
      <c r="D1182" t="s">
        <v>28</v>
      </c>
      <c r="E1182" t="s">
        <v>29</v>
      </c>
      <c r="F1182" t="s">
        <v>38</v>
      </c>
      <c r="G1182" t="s">
        <v>2640</v>
      </c>
      <c r="H1182" t="str">
        <f>"94993"</f>
        <v>94993</v>
      </c>
      <c r="I1182" t="s">
        <v>50</v>
      </c>
      <c r="J1182" t="s">
        <v>258</v>
      </c>
    </row>
    <row r="1183" spans="1:16" x14ac:dyDescent="0.3">
      <c r="A1183" t="str">
        <f>"62829866"</f>
        <v>62829866</v>
      </c>
      <c r="B1183" t="s">
        <v>2641</v>
      </c>
      <c r="C1183" t="str">
        <f>"736"</f>
        <v>736</v>
      </c>
      <c r="D1183" t="s">
        <v>22</v>
      </c>
      <c r="E1183" t="s">
        <v>52</v>
      </c>
      <c r="F1183" t="s">
        <v>234</v>
      </c>
      <c r="G1183" t="s">
        <v>2642</v>
      </c>
      <c r="H1183" t="str">
        <f>"94993"</f>
        <v>94993</v>
      </c>
      <c r="I1183" t="s">
        <v>50</v>
      </c>
    </row>
    <row r="1184" spans="1:16" x14ac:dyDescent="0.3">
      <c r="A1184" t="str">
        <f>"05084903"</f>
        <v>05084903</v>
      </c>
      <c r="B1184" t="s">
        <v>2643</v>
      </c>
      <c r="C1184" t="str">
        <f t="shared" ref="C1184:C1190" si="86">"706"</f>
        <v>706</v>
      </c>
      <c r="D1184" t="s">
        <v>28</v>
      </c>
      <c r="E1184" t="s">
        <v>23</v>
      </c>
      <c r="F1184" t="s">
        <v>23</v>
      </c>
      <c r="G1184" t="s">
        <v>2644</v>
      </c>
      <c r="H1184" t="str">
        <f>"9499"</f>
        <v>9499</v>
      </c>
      <c r="I1184" t="s">
        <v>31</v>
      </c>
    </row>
    <row r="1185" spans="1:12" x14ac:dyDescent="0.3">
      <c r="A1185" t="str">
        <f>"69651434"</f>
        <v>69651434</v>
      </c>
      <c r="B1185" t="s">
        <v>2645</v>
      </c>
      <c r="C1185" t="str">
        <f t="shared" si="86"/>
        <v>706</v>
      </c>
      <c r="D1185" t="s">
        <v>28</v>
      </c>
      <c r="E1185" t="s">
        <v>23</v>
      </c>
      <c r="F1185" t="s">
        <v>24</v>
      </c>
      <c r="G1185" t="s">
        <v>2646</v>
      </c>
      <c r="H1185" t="str">
        <f>"9499"</f>
        <v>9499</v>
      </c>
      <c r="I1185" t="s">
        <v>31</v>
      </c>
    </row>
    <row r="1186" spans="1:12" x14ac:dyDescent="0.3">
      <c r="A1186" t="str">
        <f>"21169551"</f>
        <v>21169551</v>
      </c>
      <c r="B1186" t="s">
        <v>2647</v>
      </c>
      <c r="C1186" t="str">
        <f t="shared" si="86"/>
        <v>706</v>
      </c>
      <c r="D1186" t="s">
        <v>28</v>
      </c>
      <c r="E1186" t="s">
        <v>29</v>
      </c>
      <c r="F1186" t="s">
        <v>676</v>
      </c>
      <c r="G1186" t="s">
        <v>2648</v>
      </c>
      <c r="H1186" t="str">
        <f>"9499"</f>
        <v>9499</v>
      </c>
      <c r="I1186" t="s">
        <v>31</v>
      </c>
    </row>
    <row r="1187" spans="1:12" x14ac:dyDescent="0.3">
      <c r="A1187" t="str">
        <f>"06151604"</f>
        <v>06151604</v>
      </c>
      <c r="B1187" t="s">
        <v>2649</v>
      </c>
      <c r="C1187" t="str">
        <f t="shared" si="86"/>
        <v>706</v>
      </c>
      <c r="D1187" t="s">
        <v>28</v>
      </c>
      <c r="E1187" t="s">
        <v>29</v>
      </c>
      <c r="F1187" t="s">
        <v>195</v>
      </c>
      <c r="G1187" t="s">
        <v>2650</v>
      </c>
      <c r="H1187" t="str">
        <f>"9499"</f>
        <v>9499</v>
      </c>
      <c r="I1187" t="s">
        <v>31</v>
      </c>
    </row>
    <row r="1188" spans="1:12" x14ac:dyDescent="0.3">
      <c r="A1188" t="str">
        <f>"21073163"</f>
        <v>21073163</v>
      </c>
      <c r="B1188" t="s">
        <v>2651</v>
      </c>
      <c r="C1188" t="str">
        <f t="shared" si="86"/>
        <v>706</v>
      </c>
      <c r="D1188" t="s">
        <v>28</v>
      </c>
      <c r="E1188" t="s">
        <v>23</v>
      </c>
      <c r="F1188" t="s">
        <v>975</v>
      </c>
      <c r="G1188" t="s">
        <v>2652</v>
      </c>
      <c r="H1188" t="str">
        <f>"93190"</f>
        <v>93190</v>
      </c>
      <c r="I1188" t="s">
        <v>59</v>
      </c>
    </row>
    <row r="1189" spans="1:12" x14ac:dyDescent="0.3">
      <c r="A1189" t="str">
        <f>"22902015"</f>
        <v>22902015</v>
      </c>
      <c r="B1189" t="s">
        <v>2653</v>
      </c>
      <c r="C1189" t="str">
        <f t="shared" si="86"/>
        <v>706</v>
      </c>
      <c r="D1189" t="s">
        <v>28</v>
      </c>
      <c r="E1189" t="s">
        <v>23</v>
      </c>
      <c r="F1189" t="s">
        <v>23</v>
      </c>
      <c r="G1189" t="s">
        <v>2654</v>
      </c>
      <c r="H1189" t="str">
        <f>"94993"</f>
        <v>94993</v>
      </c>
      <c r="I1189" t="s">
        <v>50</v>
      </c>
    </row>
    <row r="1190" spans="1:12" x14ac:dyDescent="0.3">
      <c r="A1190" t="str">
        <f>"22845062"</f>
        <v>22845062</v>
      </c>
      <c r="B1190" t="s">
        <v>2655</v>
      </c>
      <c r="C1190" t="str">
        <f t="shared" si="86"/>
        <v>706</v>
      </c>
      <c r="D1190" t="s">
        <v>28</v>
      </c>
      <c r="E1190" t="s">
        <v>29</v>
      </c>
      <c r="F1190" t="s">
        <v>29</v>
      </c>
      <c r="G1190" t="s">
        <v>2656</v>
      </c>
      <c r="H1190" t="str">
        <f>"93110"</f>
        <v>93110</v>
      </c>
      <c r="I1190" t="s">
        <v>92</v>
      </c>
    </row>
    <row r="1191" spans="1:12" x14ac:dyDescent="0.3">
      <c r="A1191" t="str">
        <f>"27673286"</f>
        <v>27673286</v>
      </c>
      <c r="B1191" t="s">
        <v>2657</v>
      </c>
      <c r="C1191" t="str">
        <f>"141"</f>
        <v>141</v>
      </c>
      <c r="D1191" t="s">
        <v>112</v>
      </c>
      <c r="E1191" t="s">
        <v>23</v>
      </c>
      <c r="F1191" t="s">
        <v>23</v>
      </c>
      <c r="G1191" t="s">
        <v>2658</v>
      </c>
      <c r="H1191" t="str">
        <f>"90010"</f>
        <v>90010</v>
      </c>
      <c r="I1191" t="s">
        <v>2014</v>
      </c>
      <c r="J1191" t="s">
        <v>423</v>
      </c>
      <c r="K1191" t="s">
        <v>598</v>
      </c>
      <c r="L1191" t="s">
        <v>2659</v>
      </c>
    </row>
    <row r="1192" spans="1:12" x14ac:dyDescent="0.3">
      <c r="A1192" t="str">
        <f>"29462495"</f>
        <v>29462495</v>
      </c>
      <c r="B1192" t="s">
        <v>2660</v>
      </c>
      <c r="C1192" t="str">
        <f>"141"</f>
        <v>141</v>
      </c>
      <c r="D1192" t="s">
        <v>112</v>
      </c>
      <c r="E1192" t="s">
        <v>29</v>
      </c>
      <c r="F1192" t="s">
        <v>1839</v>
      </c>
      <c r="G1192" t="s">
        <v>2661</v>
      </c>
      <c r="H1192" t="str">
        <f>"855"</f>
        <v>855</v>
      </c>
      <c r="I1192" t="s">
        <v>146</v>
      </c>
      <c r="J1192" t="s">
        <v>159</v>
      </c>
      <c r="K1192" t="s">
        <v>160</v>
      </c>
      <c r="L1192" t="s">
        <v>163</v>
      </c>
    </row>
    <row r="1193" spans="1:12" x14ac:dyDescent="0.3">
      <c r="A1193" t="str">
        <f>"26531488"</f>
        <v>26531488</v>
      </c>
      <c r="B1193" t="s">
        <v>2662</v>
      </c>
      <c r="C1193" t="str">
        <f>"706"</f>
        <v>706</v>
      </c>
      <c r="D1193" t="s">
        <v>28</v>
      </c>
      <c r="E1193" t="s">
        <v>52</v>
      </c>
      <c r="F1193" t="s">
        <v>1679</v>
      </c>
      <c r="G1193" t="s">
        <v>2663</v>
      </c>
      <c r="H1193" t="str">
        <f>"9499"</f>
        <v>9499</v>
      </c>
      <c r="I1193" t="s">
        <v>31</v>
      </c>
    </row>
    <row r="1194" spans="1:12" x14ac:dyDescent="0.3">
      <c r="A1194" t="str">
        <f>"65469542"</f>
        <v>65469542</v>
      </c>
      <c r="B1194" t="s">
        <v>2664</v>
      </c>
      <c r="C1194" t="str">
        <f>"706"</f>
        <v>706</v>
      </c>
      <c r="D1194" t="s">
        <v>28</v>
      </c>
      <c r="E1194" t="s">
        <v>29</v>
      </c>
      <c r="F1194" t="s">
        <v>29</v>
      </c>
      <c r="G1194" t="s">
        <v>2665</v>
      </c>
      <c r="H1194" t="str">
        <f>"9499"</f>
        <v>9499</v>
      </c>
      <c r="I1194" t="s">
        <v>31</v>
      </c>
    </row>
    <row r="1195" spans="1:12" x14ac:dyDescent="0.3">
      <c r="A1195" t="str">
        <f>"22905227"</f>
        <v>22905227</v>
      </c>
      <c r="B1195" t="s">
        <v>2666</v>
      </c>
      <c r="C1195" t="str">
        <f>"706"</f>
        <v>706</v>
      </c>
      <c r="D1195" t="s">
        <v>28</v>
      </c>
      <c r="E1195" t="s">
        <v>23</v>
      </c>
      <c r="F1195" t="s">
        <v>23</v>
      </c>
      <c r="G1195" t="s">
        <v>348</v>
      </c>
      <c r="H1195" t="str">
        <f>"9499"</f>
        <v>9499</v>
      </c>
      <c r="I1195" t="s">
        <v>31</v>
      </c>
    </row>
    <row r="1196" spans="1:12" x14ac:dyDescent="0.3">
      <c r="A1196" t="str">
        <f>"07911017"</f>
        <v>07911017</v>
      </c>
      <c r="B1196" t="s">
        <v>2667</v>
      </c>
      <c r="C1196" t="str">
        <f t="shared" ref="C1196:C1259" si="87">"706"</f>
        <v>706</v>
      </c>
      <c r="D1196" t="s">
        <v>28</v>
      </c>
      <c r="E1196" t="s">
        <v>23</v>
      </c>
      <c r="F1196" t="s">
        <v>141</v>
      </c>
      <c r="G1196" t="s">
        <v>2668</v>
      </c>
      <c r="H1196" t="str">
        <f>"9499"</f>
        <v>9499</v>
      </c>
      <c r="I1196" t="s">
        <v>31</v>
      </c>
    </row>
    <row r="1197" spans="1:12" x14ac:dyDescent="0.3">
      <c r="A1197" t="str">
        <f>"27057879"</f>
        <v>27057879</v>
      </c>
      <c r="B1197" t="s">
        <v>2669</v>
      </c>
      <c r="C1197" t="str">
        <f t="shared" si="87"/>
        <v>706</v>
      </c>
      <c r="D1197" t="s">
        <v>28</v>
      </c>
      <c r="E1197" t="s">
        <v>52</v>
      </c>
      <c r="F1197" t="s">
        <v>334</v>
      </c>
      <c r="G1197" t="s">
        <v>2670</v>
      </c>
      <c r="H1197" t="str">
        <f>"9499"</f>
        <v>9499</v>
      </c>
      <c r="I1197" t="s">
        <v>31</v>
      </c>
    </row>
    <row r="1198" spans="1:12" x14ac:dyDescent="0.3">
      <c r="A1198" t="str">
        <f>"22844937"</f>
        <v>22844937</v>
      </c>
      <c r="B1198" t="s">
        <v>2671</v>
      </c>
      <c r="C1198" t="str">
        <f t="shared" si="87"/>
        <v>706</v>
      </c>
      <c r="D1198" t="s">
        <v>28</v>
      </c>
      <c r="E1198" t="s">
        <v>83</v>
      </c>
      <c r="F1198" t="s">
        <v>175</v>
      </c>
      <c r="G1198" t="s">
        <v>2672</v>
      </c>
      <c r="H1198" t="str">
        <f>"93110"</f>
        <v>93110</v>
      </c>
      <c r="I1198" t="s">
        <v>92</v>
      </c>
    </row>
    <row r="1199" spans="1:12" x14ac:dyDescent="0.3">
      <c r="A1199" t="str">
        <f>"70841641"</f>
        <v>70841641</v>
      </c>
      <c r="B1199" t="s">
        <v>2673</v>
      </c>
      <c r="C1199" t="str">
        <f t="shared" si="87"/>
        <v>706</v>
      </c>
      <c r="D1199" t="s">
        <v>28</v>
      </c>
      <c r="E1199" t="s">
        <v>83</v>
      </c>
      <c r="F1199" t="s">
        <v>2674</v>
      </c>
      <c r="G1199" t="s">
        <v>2675</v>
      </c>
      <c r="H1199" t="str">
        <f>"93120"</f>
        <v>93120</v>
      </c>
      <c r="I1199" t="s">
        <v>54</v>
      </c>
    </row>
    <row r="1200" spans="1:12" x14ac:dyDescent="0.3">
      <c r="A1200" t="str">
        <f>"09204661"</f>
        <v>09204661</v>
      </c>
      <c r="B1200" t="s">
        <v>2676</v>
      </c>
      <c r="C1200" t="str">
        <f t="shared" si="87"/>
        <v>706</v>
      </c>
      <c r="D1200" t="s">
        <v>28</v>
      </c>
      <c r="E1200" t="s">
        <v>23</v>
      </c>
      <c r="F1200" t="s">
        <v>23</v>
      </c>
      <c r="G1200" t="s">
        <v>2677</v>
      </c>
      <c r="H1200" t="str">
        <f>"94993"</f>
        <v>94993</v>
      </c>
      <c r="I1200" t="s">
        <v>50</v>
      </c>
    </row>
    <row r="1201" spans="1:12" x14ac:dyDescent="0.3">
      <c r="A1201" t="str">
        <f>"22770461"</f>
        <v>22770461</v>
      </c>
      <c r="B1201" t="s">
        <v>2678</v>
      </c>
      <c r="C1201" t="str">
        <f t="shared" si="87"/>
        <v>706</v>
      </c>
      <c r="D1201" t="s">
        <v>28</v>
      </c>
      <c r="E1201" t="s">
        <v>52</v>
      </c>
      <c r="F1201" t="s">
        <v>379</v>
      </c>
      <c r="G1201" t="s">
        <v>2679</v>
      </c>
      <c r="H1201" t="str">
        <f>"93190"</f>
        <v>93190</v>
      </c>
      <c r="I1201" t="s">
        <v>59</v>
      </c>
    </row>
    <row r="1202" spans="1:12" x14ac:dyDescent="0.3">
      <c r="A1202" t="str">
        <f>"01520270"</f>
        <v>01520270</v>
      </c>
      <c r="B1202" t="s">
        <v>2680</v>
      </c>
      <c r="C1202" t="str">
        <f t="shared" si="87"/>
        <v>706</v>
      </c>
      <c r="D1202" t="s">
        <v>28</v>
      </c>
      <c r="E1202" t="s">
        <v>83</v>
      </c>
      <c r="F1202" t="s">
        <v>183</v>
      </c>
      <c r="G1202" t="s">
        <v>2681</v>
      </c>
      <c r="H1202" t="str">
        <f>"9499"</f>
        <v>9499</v>
      </c>
      <c r="I1202" t="s">
        <v>31</v>
      </c>
    </row>
    <row r="1203" spans="1:12" x14ac:dyDescent="0.3">
      <c r="A1203" t="str">
        <f>"19750714"</f>
        <v>19750714</v>
      </c>
      <c r="B1203" t="s">
        <v>2682</v>
      </c>
      <c r="C1203" t="str">
        <f t="shared" si="87"/>
        <v>706</v>
      </c>
      <c r="D1203" t="s">
        <v>28</v>
      </c>
      <c r="E1203" t="s">
        <v>52</v>
      </c>
      <c r="F1203" t="s">
        <v>52</v>
      </c>
      <c r="G1203" t="s">
        <v>2683</v>
      </c>
      <c r="H1203" t="str">
        <f>"93190"</f>
        <v>93190</v>
      </c>
      <c r="I1203" t="s">
        <v>59</v>
      </c>
    </row>
    <row r="1204" spans="1:12" x14ac:dyDescent="0.3">
      <c r="A1204" t="str">
        <f>"01282115"</f>
        <v>01282115</v>
      </c>
      <c r="B1204" t="s">
        <v>2684</v>
      </c>
      <c r="C1204" t="str">
        <f t="shared" si="87"/>
        <v>706</v>
      </c>
      <c r="D1204" t="s">
        <v>28</v>
      </c>
      <c r="E1204" t="s">
        <v>83</v>
      </c>
      <c r="F1204" t="s">
        <v>537</v>
      </c>
      <c r="G1204" t="s">
        <v>2685</v>
      </c>
      <c r="H1204" t="str">
        <f>"9499"</f>
        <v>9499</v>
      </c>
      <c r="I1204" t="s">
        <v>31</v>
      </c>
    </row>
    <row r="1205" spans="1:12" x14ac:dyDescent="0.3">
      <c r="A1205" t="str">
        <f>"22843191"</f>
        <v>22843191</v>
      </c>
      <c r="B1205" t="s">
        <v>2686</v>
      </c>
      <c r="C1205" t="str">
        <f t="shared" si="87"/>
        <v>706</v>
      </c>
      <c r="D1205" t="s">
        <v>28</v>
      </c>
      <c r="E1205" t="s">
        <v>29</v>
      </c>
      <c r="F1205" t="s">
        <v>38</v>
      </c>
      <c r="G1205" t="s">
        <v>2687</v>
      </c>
      <c r="H1205" t="str">
        <f>"93110"</f>
        <v>93110</v>
      </c>
      <c r="I1205" t="s">
        <v>92</v>
      </c>
    </row>
    <row r="1206" spans="1:12" x14ac:dyDescent="0.3">
      <c r="A1206" t="str">
        <f>"61704156"</f>
        <v>61704156</v>
      </c>
      <c r="B1206" t="s">
        <v>2688</v>
      </c>
      <c r="C1206" t="str">
        <f t="shared" si="87"/>
        <v>706</v>
      </c>
      <c r="D1206" t="s">
        <v>28</v>
      </c>
      <c r="E1206" t="s">
        <v>52</v>
      </c>
      <c r="F1206" t="s">
        <v>781</v>
      </c>
      <c r="G1206" t="s">
        <v>2689</v>
      </c>
      <c r="H1206" t="str">
        <f>"93110"</f>
        <v>93110</v>
      </c>
      <c r="I1206" t="s">
        <v>92</v>
      </c>
    </row>
    <row r="1207" spans="1:12" x14ac:dyDescent="0.3">
      <c r="A1207" t="str">
        <f>"46956875"</f>
        <v>46956875</v>
      </c>
      <c r="B1207" t="s">
        <v>2690</v>
      </c>
      <c r="C1207" t="str">
        <f t="shared" si="87"/>
        <v>706</v>
      </c>
      <c r="D1207" t="s">
        <v>28</v>
      </c>
      <c r="E1207" t="s">
        <v>52</v>
      </c>
      <c r="F1207" t="s">
        <v>1773</v>
      </c>
      <c r="G1207" t="s">
        <v>2691</v>
      </c>
      <c r="H1207" t="str">
        <f>"93110"</f>
        <v>93110</v>
      </c>
      <c r="I1207" t="s">
        <v>92</v>
      </c>
    </row>
    <row r="1208" spans="1:12" x14ac:dyDescent="0.3">
      <c r="A1208" t="str">
        <f>"67009841"</f>
        <v>67009841</v>
      </c>
      <c r="B1208" t="s">
        <v>2692</v>
      </c>
      <c r="C1208" t="str">
        <f t="shared" si="87"/>
        <v>706</v>
      </c>
      <c r="D1208" t="s">
        <v>28</v>
      </c>
      <c r="E1208" t="s">
        <v>83</v>
      </c>
      <c r="F1208" t="s">
        <v>175</v>
      </c>
      <c r="G1208" t="s">
        <v>2693</v>
      </c>
      <c r="H1208" t="str">
        <f>"931"</f>
        <v>931</v>
      </c>
      <c r="I1208" t="s">
        <v>26</v>
      </c>
    </row>
    <row r="1209" spans="1:12" x14ac:dyDescent="0.3">
      <c r="A1209" t="str">
        <f>"46956611"</f>
        <v>46956611</v>
      </c>
      <c r="B1209" t="s">
        <v>2694</v>
      </c>
      <c r="C1209" t="str">
        <f t="shared" si="87"/>
        <v>706</v>
      </c>
      <c r="D1209" t="s">
        <v>28</v>
      </c>
      <c r="E1209" t="s">
        <v>52</v>
      </c>
      <c r="F1209" t="s">
        <v>1788</v>
      </c>
      <c r="G1209" t="s">
        <v>2695</v>
      </c>
      <c r="H1209" t="str">
        <f>"93110"</f>
        <v>93110</v>
      </c>
      <c r="I1209" t="s">
        <v>92</v>
      </c>
      <c r="J1209" t="s">
        <v>1362</v>
      </c>
    </row>
    <row r="1210" spans="1:12" x14ac:dyDescent="0.3">
      <c r="A1210" t="str">
        <f>"70835411"</f>
        <v>70835411</v>
      </c>
      <c r="B1210" t="s">
        <v>2696</v>
      </c>
      <c r="C1210" t="str">
        <f t="shared" si="87"/>
        <v>706</v>
      </c>
      <c r="D1210" t="s">
        <v>28</v>
      </c>
      <c r="E1210" t="s">
        <v>52</v>
      </c>
      <c r="F1210" t="s">
        <v>1212</v>
      </c>
      <c r="G1210" t="s">
        <v>2697</v>
      </c>
      <c r="H1210" t="str">
        <f>"931"</f>
        <v>931</v>
      </c>
      <c r="I1210" t="s">
        <v>26</v>
      </c>
    </row>
    <row r="1211" spans="1:12" x14ac:dyDescent="0.3">
      <c r="A1211" t="str">
        <f>"19374437"</f>
        <v>19374437</v>
      </c>
      <c r="B1211" t="s">
        <v>2698</v>
      </c>
      <c r="C1211" t="str">
        <f t="shared" si="87"/>
        <v>706</v>
      </c>
      <c r="D1211" t="s">
        <v>28</v>
      </c>
      <c r="E1211" t="s">
        <v>52</v>
      </c>
      <c r="F1211" t="s">
        <v>1212</v>
      </c>
      <c r="G1211" t="s">
        <v>1213</v>
      </c>
      <c r="H1211" t="str">
        <f>"93110"</f>
        <v>93110</v>
      </c>
      <c r="I1211" t="s">
        <v>92</v>
      </c>
    </row>
    <row r="1212" spans="1:12" x14ac:dyDescent="0.3">
      <c r="A1212" t="str">
        <f>"21376808"</f>
        <v>21376808</v>
      </c>
      <c r="B1212" t="s">
        <v>2699</v>
      </c>
      <c r="C1212" t="str">
        <f t="shared" si="87"/>
        <v>706</v>
      </c>
      <c r="D1212" t="s">
        <v>28</v>
      </c>
      <c r="E1212" t="s">
        <v>52</v>
      </c>
      <c r="F1212" t="s">
        <v>2700</v>
      </c>
      <c r="G1212" t="s">
        <v>2701</v>
      </c>
      <c r="H1212" t="str">
        <f>"93110"</f>
        <v>93110</v>
      </c>
      <c r="I1212" t="s">
        <v>92</v>
      </c>
    </row>
    <row r="1213" spans="1:12" x14ac:dyDescent="0.3">
      <c r="A1213" t="str">
        <f>"26611546"</f>
        <v>26611546</v>
      </c>
      <c r="B1213" t="s">
        <v>2702</v>
      </c>
      <c r="C1213" t="str">
        <f t="shared" si="87"/>
        <v>706</v>
      </c>
      <c r="D1213" t="s">
        <v>28</v>
      </c>
      <c r="E1213" t="s">
        <v>83</v>
      </c>
      <c r="F1213" t="s">
        <v>2703</v>
      </c>
      <c r="G1213" t="s">
        <v>2704</v>
      </c>
      <c r="H1213" t="str">
        <f>"93110"</f>
        <v>93110</v>
      </c>
      <c r="I1213" t="s">
        <v>92</v>
      </c>
    </row>
    <row r="1214" spans="1:12" x14ac:dyDescent="0.3">
      <c r="A1214" t="str">
        <f>"44119283"</f>
        <v>44119283</v>
      </c>
      <c r="B1214" t="s">
        <v>2705</v>
      </c>
      <c r="C1214" t="str">
        <f t="shared" si="87"/>
        <v>706</v>
      </c>
      <c r="D1214" t="s">
        <v>28</v>
      </c>
      <c r="E1214" t="s">
        <v>23</v>
      </c>
      <c r="F1214" t="s">
        <v>2706</v>
      </c>
      <c r="G1214" t="s">
        <v>2707</v>
      </c>
      <c r="H1214" t="str">
        <f>"93110"</f>
        <v>93110</v>
      </c>
      <c r="I1214" t="s">
        <v>92</v>
      </c>
      <c r="J1214" t="s">
        <v>161</v>
      </c>
      <c r="K1214" t="s">
        <v>209</v>
      </c>
    </row>
    <row r="1215" spans="1:12" x14ac:dyDescent="0.3">
      <c r="A1215" t="str">
        <f>"46308326"</f>
        <v>46308326</v>
      </c>
      <c r="B1215" t="s">
        <v>2708</v>
      </c>
      <c r="C1215" t="str">
        <f t="shared" si="87"/>
        <v>706</v>
      </c>
      <c r="D1215" t="s">
        <v>28</v>
      </c>
      <c r="E1215" t="s">
        <v>23</v>
      </c>
      <c r="F1215" t="s">
        <v>99</v>
      </c>
      <c r="G1215" t="s">
        <v>2709</v>
      </c>
      <c r="H1215" t="str">
        <f>"9499"</f>
        <v>9499</v>
      </c>
      <c r="I1215" t="s">
        <v>31</v>
      </c>
    </row>
    <row r="1216" spans="1:12" x14ac:dyDescent="0.3">
      <c r="A1216" t="str">
        <f>"67026982"</f>
        <v>67026982</v>
      </c>
      <c r="B1216" t="s">
        <v>2710</v>
      </c>
      <c r="C1216" t="str">
        <f t="shared" si="87"/>
        <v>706</v>
      </c>
      <c r="D1216" t="s">
        <v>28</v>
      </c>
      <c r="E1216" t="s">
        <v>23</v>
      </c>
      <c r="F1216" t="s">
        <v>1734</v>
      </c>
      <c r="G1216" t="s">
        <v>2711</v>
      </c>
      <c r="H1216" t="str">
        <f>"931"</f>
        <v>931</v>
      </c>
      <c r="I1216" t="s">
        <v>26</v>
      </c>
      <c r="J1216" t="s">
        <v>161</v>
      </c>
      <c r="K1216" t="s">
        <v>59</v>
      </c>
      <c r="L1216" t="s">
        <v>209</v>
      </c>
    </row>
    <row r="1217" spans="1:11" x14ac:dyDescent="0.3">
      <c r="A1217" t="str">
        <f>"42340667"</f>
        <v>42340667</v>
      </c>
      <c r="B1217" t="s">
        <v>2712</v>
      </c>
      <c r="C1217" t="str">
        <f t="shared" si="87"/>
        <v>706</v>
      </c>
      <c r="D1217" t="s">
        <v>28</v>
      </c>
      <c r="E1217" t="s">
        <v>23</v>
      </c>
      <c r="F1217" t="s">
        <v>23</v>
      </c>
      <c r="G1217" t="s">
        <v>2713</v>
      </c>
      <c r="H1217" t="str">
        <f>"9499"</f>
        <v>9499</v>
      </c>
      <c r="I1217" t="s">
        <v>31</v>
      </c>
    </row>
    <row r="1218" spans="1:11" x14ac:dyDescent="0.3">
      <c r="A1218" t="str">
        <f>"48506087"</f>
        <v>48506087</v>
      </c>
      <c r="B1218" t="s">
        <v>2714</v>
      </c>
      <c r="C1218" t="str">
        <f t="shared" si="87"/>
        <v>706</v>
      </c>
      <c r="D1218" t="s">
        <v>28</v>
      </c>
      <c r="E1218" t="s">
        <v>52</v>
      </c>
      <c r="F1218" t="s">
        <v>334</v>
      </c>
      <c r="G1218" t="s">
        <v>2715</v>
      </c>
      <c r="H1218" t="str">
        <f>"93110"</f>
        <v>93110</v>
      </c>
      <c r="I1218" t="s">
        <v>92</v>
      </c>
    </row>
    <row r="1219" spans="1:11" x14ac:dyDescent="0.3">
      <c r="A1219" t="str">
        <f>"15545849"</f>
        <v>15545849</v>
      </c>
      <c r="B1219" t="s">
        <v>2716</v>
      </c>
      <c r="C1219" t="str">
        <f t="shared" si="87"/>
        <v>706</v>
      </c>
      <c r="D1219" t="s">
        <v>28</v>
      </c>
      <c r="E1219" t="s">
        <v>23</v>
      </c>
      <c r="F1219" t="s">
        <v>2717</v>
      </c>
      <c r="G1219" t="s">
        <v>2718</v>
      </c>
      <c r="H1219" t="str">
        <f>"931"</f>
        <v>931</v>
      </c>
      <c r="I1219" t="s">
        <v>26</v>
      </c>
    </row>
    <row r="1220" spans="1:11" x14ac:dyDescent="0.3">
      <c r="A1220" t="str">
        <f>"48773930"</f>
        <v>48773930</v>
      </c>
      <c r="B1220" t="s">
        <v>2719</v>
      </c>
      <c r="C1220" t="str">
        <f t="shared" si="87"/>
        <v>706</v>
      </c>
      <c r="D1220" t="s">
        <v>28</v>
      </c>
      <c r="E1220" t="s">
        <v>29</v>
      </c>
      <c r="F1220" t="s">
        <v>778</v>
      </c>
      <c r="G1220" t="s">
        <v>2720</v>
      </c>
      <c r="H1220" t="str">
        <f>"93110"</f>
        <v>93110</v>
      </c>
      <c r="I1220" t="s">
        <v>92</v>
      </c>
    </row>
    <row r="1221" spans="1:11" x14ac:dyDescent="0.3">
      <c r="A1221" t="str">
        <f>"18757821"</f>
        <v>18757821</v>
      </c>
      <c r="B1221" t="s">
        <v>2721</v>
      </c>
      <c r="C1221" t="str">
        <f t="shared" si="87"/>
        <v>706</v>
      </c>
      <c r="D1221" t="s">
        <v>28</v>
      </c>
      <c r="E1221" t="s">
        <v>23</v>
      </c>
      <c r="F1221" t="s">
        <v>23</v>
      </c>
      <c r="G1221" t="s">
        <v>2722</v>
      </c>
      <c r="H1221" t="str">
        <f>"931"</f>
        <v>931</v>
      </c>
      <c r="I1221" t="s">
        <v>26</v>
      </c>
    </row>
    <row r="1222" spans="1:11" x14ac:dyDescent="0.3">
      <c r="A1222" t="str">
        <f>"22848991"</f>
        <v>22848991</v>
      </c>
      <c r="B1222" t="s">
        <v>2723</v>
      </c>
      <c r="C1222" t="str">
        <f t="shared" si="87"/>
        <v>706</v>
      </c>
      <c r="D1222" t="s">
        <v>28</v>
      </c>
      <c r="E1222" t="s">
        <v>29</v>
      </c>
      <c r="F1222" t="s">
        <v>1899</v>
      </c>
      <c r="G1222" t="s">
        <v>2724</v>
      </c>
      <c r="H1222" t="str">
        <f>"93110"</f>
        <v>93110</v>
      </c>
      <c r="I1222" t="s">
        <v>92</v>
      </c>
    </row>
    <row r="1223" spans="1:11" x14ac:dyDescent="0.3">
      <c r="A1223" t="str">
        <f>"49157094"</f>
        <v>49157094</v>
      </c>
      <c r="B1223" t="s">
        <v>2725</v>
      </c>
      <c r="C1223" t="str">
        <f t="shared" si="87"/>
        <v>706</v>
      </c>
      <c r="D1223" t="s">
        <v>28</v>
      </c>
      <c r="E1223" t="s">
        <v>23</v>
      </c>
      <c r="F1223" t="s">
        <v>107</v>
      </c>
      <c r="G1223" t="s">
        <v>2726</v>
      </c>
      <c r="H1223" t="str">
        <f>"931"</f>
        <v>931</v>
      </c>
      <c r="I1223" t="s">
        <v>26</v>
      </c>
    </row>
    <row r="1224" spans="1:11" x14ac:dyDescent="0.3">
      <c r="A1224" t="str">
        <f>"61704334"</f>
        <v>61704334</v>
      </c>
      <c r="B1224" t="s">
        <v>2727</v>
      </c>
      <c r="C1224" t="str">
        <f t="shared" si="87"/>
        <v>706</v>
      </c>
      <c r="D1224" t="s">
        <v>28</v>
      </c>
      <c r="E1224" t="s">
        <v>52</v>
      </c>
      <c r="F1224" t="s">
        <v>1894</v>
      </c>
      <c r="G1224" t="s">
        <v>2728</v>
      </c>
      <c r="H1224" t="str">
        <f>"93110"</f>
        <v>93110</v>
      </c>
      <c r="I1224" t="s">
        <v>92</v>
      </c>
    </row>
    <row r="1225" spans="1:11" x14ac:dyDescent="0.3">
      <c r="A1225" t="str">
        <f>"62181491"</f>
        <v>62181491</v>
      </c>
      <c r="B1225" t="s">
        <v>2729</v>
      </c>
      <c r="C1225" t="str">
        <f t="shared" si="87"/>
        <v>706</v>
      </c>
      <c r="D1225" t="s">
        <v>28</v>
      </c>
      <c r="E1225" t="s">
        <v>23</v>
      </c>
      <c r="F1225" t="s">
        <v>23</v>
      </c>
      <c r="G1225" t="s">
        <v>2730</v>
      </c>
      <c r="H1225" t="str">
        <f>"93120"</f>
        <v>93120</v>
      </c>
      <c r="I1225" t="s">
        <v>54</v>
      </c>
      <c r="J1225" t="s">
        <v>498</v>
      </c>
      <c r="K1225" t="s">
        <v>209</v>
      </c>
    </row>
    <row r="1226" spans="1:11" x14ac:dyDescent="0.3">
      <c r="A1226" t="str">
        <f>"28558022"</f>
        <v>28558022</v>
      </c>
      <c r="B1226" t="s">
        <v>2731</v>
      </c>
      <c r="C1226" t="str">
        <f t="shared" si="87"/>
        <v>706</v>
      </c>
      <c r="D1226" t="s">
        <v>28</v>
      </c>
      <c r="E1226" t="s">
        <v>52</v>
      </c>
      <c r="F1226" t="s">
        <v>94</v>
      </c>
      <c r="G1226" t="s">
        <v>2732</v>
      </c>
      <c r="H1226" t="str">
        <f>"93110"</f>
        <v>93110</v>
      </c>
      <c r="I1226" t="s">
        <v>92</v>
      </c>
    </row>
    <row r="1227" spans="1:11" x14ac:dyDescent="0.3">
      <c r="A1227" t="str">
        <f>"48773328"</f>
        <v>48773328</v>
      </c>
      <c r="B1227" t="s">
        <v>2733</v>
      </c>
      <c r="C1227" t="str">
        <f t="shared" si="87"/>
        <v>706</v>
      </c>
      <c r="D1227" t="s">
        <v>28</v>
      </c>
      <c r="E1227" t="s">
        <v>29</v>
      </c>
      <c r="F1227" t="s">
        <v>726</v>
      </c>
      <c r="G1227" t="s">
        <v>2734</v>
      </c>
      <c r="H1227" t="str">
        <f>"93110"</f>
        <v>93110</v>
      </c>
      <c r="I1227" t="s">
        <v>92</v>
      </c>
    </row>
    <row r="1228" spans="1:11" x14ac:dyDescent="0.3">
      <c r="A1228" t="str">
        <f>"19902794"</f>
        <v>19902794</v>
      </c>
      <c r="B1228" t="s">
        <v>2735</v>
      </c>
      <c r="C1228" t="str">
        <f t="shared" si="87"/>
        <v>706</v>
      </c>
      <c r="D1228" t="s">
        <v>28</v>
      </c>
      <c r="E1228" t="s">
        <v>52</v>
      </c>
      <c r="F1228" t="s">
        <v>2736</v>
      </c>
      <c r="G1228" t="s">
        <v>2737</v>
      </c>
      <c r="H1228" t="str">
        <f>"93190"</f>
        <v>93190</v>
      </c>
      <c r="I1228" t="s">
        <v>59</v>
      </c>
    </row>
    <row r="1229" spans="1:11" x14ac:dyDescent="0.3">
      <c r="A1229" t="str">
        <f>"19695659"</f>
        <v>19695659</v>
      </c>
      <c r="B1229" t="s">
        <v>2738</v>
      </c>
      <c r="C1229" t="str">
        <f t="shared" si="87"/>
        <v>706</v>
      </c>
      <c r="D1229" t="s">
        <v>28</v>
      </c>
      <c r="E1229" t="s">
        <v>29</v>
      </c>
      <c r="F1229" t="s">
        <v>250</v>
      </c>
      <c r="G1229" t="s">
        <v>2739</v>
      </c>
      <c r="H1229" t="str">
        <f>"93110"</f>
        <v>93110</v>
      </c>
      <c r="I1229" t="s">
        <v>92</v>
      </c>
    </row>
    <row r="1230" spans="1:11" x14ac:dyDescent="0.3">
      <c r="A1230" t="str">
        <f>"26536072"</f>
        <v>26536072</v>
      </c>
      <c r="B1230" t="s">
        <v>2740</v>
      </c>
      <c r="C1230" t="str">
        <f t="shared" si="87"/>
        <v>706</v>
      </c>
      <c r="D1230" t="s">
        <v>28</v>
      </c>
      <c r="E1230" t="s">
        <v>83</v>
      </c>
      <c r="F1230" t="s">
        <v>183</v>
      </c>
      <c r="G1230" t="s">
        <v>2741</v>
      </c>
      <c r="H1230" t="str">
        <f>"93110"</f>
        <v>93110</v>
      </c>
      <c r="I1230" t="s">
        <v>92</v>
      </c>
    </row>
    <row r="1231" spans="1:11" x14ac:dyDescent="0.3">
      <c r="A1231" t="str">
        <f>"08753857"</f>
        <v>08753857</v>
      </c>
      <c r="B1231" t="s">
        <v>2742</v>
      </c>
      <c r="C1231" t="str">
        <f t="shared" si="87"/>
        <v>706</v>
      </c>
      <c r="D1231" t="s">
        <v>28</v>
      </c>
      <c r="E1231" t="s">
        <v>23</v>
      </c>
      <c r="F1231" t="s">
        <v>350</v>
      </c>
      <c r="G1231" t="s">
        <v>437</v>
      </c>
      <c r="H1231" t="str">
        <f>"93190"</f>
        <v>93190</v>
      </c>
      <c r="I1231" t="s">
        <v>59</v>
      </c>
    </row>
    <row r="1232" spans="1:11" x14ac:dyDescent="0.3">
      <c r="A1232" t="str">
        <f>"03977731"</f>
        <v>03977731</v>
      </c>
      <c r="B1232" t="s">
        <v>2743</v>
      </c>
      <c r="C1232" t="str">
        <f t="shared" si="87"/>
        <v>706</v>
      </c>
      <c r="D1232" t="s">
        <v>28</v>
      </c>
      <c r="E1232" t="s">
        <v>29</v>
      </c>
      <c r="F1232" t="s">
        <v>29</v>
      </c>
      <c r="G1232" t="s">
        <v>2744</v>
      </c>
      <c r="H1232" t="str">
        <f>"93190"</f>
        <v>93190</v>
      </c>
      <c r="I1232" t="s">
        <v>59</v>
      </c>
    </row>
    <row r="1233" spans="1:9" x14ac:dyDescent="0.3">
      <c r="A1233" t="str">
        <f>"22902783"</f>
        <v>22902783</v>
      </c>
      <c r="B1233" t="s">
        <v>2745</v>
      </c>
      <c r="C1233" t="str">
        <f t="shared" si="87"/>
        <v>706</v>
      </c>
      <c r="D1233" t="s">
        <v>28</v>
      </c>
      <c r="E1233" t="s">
        <v>52</v>
      </c>
      <c r="F1233" t="s">
        <v>80</v>
      </c>
      <c r="G1233" t="s">
        <v>2746</v>
      </c>
      <c r="H1233" t="str">
        <f>"93120"</f>
        <v>93120</v>
      </c>
      <c r="I1233" t="s">
        <v>54</v>
      </c>
    </row>
    <row r="1234" spans="1:9" x14ac:dyDescent="0.3">
      <c r="A1234" t="str">
        <f>"02197677"</f>
        <v>02197677</v>
      </c>
      <c r="B1234" t="s">
        <v>2747</v>
      </c>
      <c r="C1234" t="str">
        <f t="shared" si="87"/>
        <v>706</v>
      </c>
      <c r="D1234" t="s">
        <v>28</v>
      </c>
      <c r="E1234" t="s">
        <v>83</v>
      </c>
      <c r="F1234" t="s">
        <v>2748</v>
      </c>
      <c r="G1234" t="s">
        <v>2749</v>
      </c>
      <c r="H1234" t="str">
        <f>"93110"</f>
        <v>93110</v>
      </c>
      <c r="I1234" t="s">
        <v>92</v>
      </c>
    </row>
    <row r="1235" spans="1:9" x14ac:dyDescent="0.3">
      <c r="A1235" t="str">
        <f>"70289361"</f>
        <v>70289361</v>
      </c>
      <c r="B1235" t="s">
        <v>2750</v>
      </c>
      <c r="C1235" t="str">
        <f t="shared" si="87"/>
        <v>706</v>
      </c>
      <c r="D1235" t="s">
        <v>28</v>
      </c>
      <c r="E1235" t="s">
        <v>23</v>
      </c>
      <c r="F1235" t="s">
        <v>24</v>
      </c>
      <c r="G1235" t="s">
        <v>2751</v>
      </c>
      <c r="H1235" t="str">
        <f>"93120"</f>
        <v>93120</v>
      </c>
      <c r="I1235" t="s">
        <v>54</v>
      </c>
    </row>
    <row r="1236" spans="1:9" x14ac:dyDescent="0.3">
      <c r="A1236" t="str">
        <f>"03075486"</f>
        <v>03075486</v>
      </c>
      <c r="B1236" t="s">
        <v>2752</v>
      </c>
      <c r="C1236" t="str">
        <f t="shared" si="87"/>
        <v>706</v>
      </c>
      <c r="D1236" t="s">
        <v>28</v>
      </c>
      <c r="E1236" t="s">
        <v>23</v>
      </c>
      <c r="F1236" t="s">
        <v>23</v>
      </c>
      <c r="G1236" t="s">
        <v>2753</v>
      </c>
      <c r="H1236" t="str">
        <f>"93190"</f>
        <v>93190</v>
      </c>
      <c r="I1236" t="s">
        <v>59</v>
      </c>
    </row>
    <row r="1237" spans="1:9" x14ac:dyDescent="0.3">
      <c r="A1237" t="str">
        <f>"26654075"</f>
        <v>26654075</v>
      </c>
      <c r="B1237" t="s">
        <v>2754</v>
      </c>
      <c r="C1237" t="str">
        <f t="shared" si="87"/>
        <v>706</v>
      </c>
      <c r="D1237" t="s">
        <v>28</v>
      </c>
      <c r="E1237" t="s">
        <v>23</v>
      </c>
      <c r="F1237" t="s">
        <v>23</v>
      </c>
      <c r="G1237" t="s">
        <v>2755</v>
      </c>
      <c r="H1237" t="str">
        <f>"93110"</f>
        <v>93110</v>
      </c>
      <c r="I1237" t="s">
        <v>92</v>
      </c>
    </row>
    <row r="1238" spans="1:9" x14ac:dyDescent="0.3">
      <c r="A1238" t="str">
        <f>"26566125"</f>
        <v>26566125</v>
      </c>
      <c r="B1238" t="s">
        <v>2756</v>
      </c>
      <c r="C1238" t="str">
        <f t="shared" si="87"/>
        <v>706</v>
      </c>
      <c r="D1238" t="s">
        <v>28</v>
      </c>
      <c r="E1238" t="s">
        <v>83</v>
      </c>
      <c r="F1238" t="s">
        <v>183</v>
      </c>
      <c r="G1238" t="s">
        <v>2757</v>
      </c>
      <c r="H1238" t="str">
        <f>"94993"</f>
        <v>94993</v>
      </c>
      <c r="I1238" t="s">
        <v>50</v>
      </c>
    </row>
    <row r="1239" spans="1:9" x14ac:dyDescent="0.3">
      <c r="A1239" t="str">
        <f>"22742590"</f>
        <v>22742590</v>
      </c>
      <c r="B1239" t="s">
        <v>2758</v>
      </c>
      <c r="C1239" t="str">
        <f t="shared" si="87"/>
        <v>706</v>
      </c>
      <c r="D1239" t="s">
        <v>28</v>
      </c>
      <c r="E1239" t="s">
        <v>52</v>
      </c>
      <c r="F1239" t="s">
        <v>274</v>
      </c>
      <c r="G1239" t="s">
        <v>2759</v>
      </c>
      <c r="H1239" t="str">
        <f>"9499"</f>
        <v>9499</v>
      </c>
      <c r="I1239" t="s">
        <v>31</v>
      </c>
    </row>
    <row r="1240" spans="1:9" x14ac:dyDescent="0.3">
      <c r="A1240" t="str">
        <f>"26608499"</f>
        <v>26608499</v>
      </c>
      <c r="B1240" t="s">
        <v>2760</v>
      </c>
      <c r="C1240" t="str">
        <f t="shared" si="87"/>
        <v>706</v>
      </c>
      <c r="D1240" t="s">
        <v>28</v>
      </c>
      <c r="E1240" t="s">
        <v>52</v>
      </c>
      <c r="F1240" t="s">
        <v>344</v>
      </c>
      <c r="G1240" t="s">
        <v>1512</v>
      </c>
      <c r="H1240" t="str">
        <f>"93110"</f>
        <v>93110</v>
      </c>
      <c r="I1240" t="s">
        <v>92</v>
      </c>
    </row>
    <row r="1241" spans="1:9" x14ac:dyDescent="0.3">
      <c r="A1241" t="str">
        <f>"68081944"</f>
        <v>68081944</v>
      </c>
      <c r="B1241" t="s">
        <v>2761</v>
      </c>
      <c r="C1241" t="str">
        <f t="shared" si="87"/>
        <v>706</v>
      </c>
      <c r="D1241" t="s">
        <v>28</v>
      </c>
      <c r="E1241" t="s">
        <v>52</v>
      </c>
      <c r="F1241" t="s">
        <v>65</v>
      </c>
      <c r="G1241" t="s">
        <v>2762</v>
      </c>
      <c r="H1241" t="str">
        <f t="shared" ref="H1241:H1246" si="88">"9499"</f>
        <v>9499</v>
      </c>
      <c r="I1241" t="s">
        <v>31</v>
      </c>
    </row>
    <row r="1242" spans="1:9" x14ac:dyDescent="0.3">
      <c r="A1242" t="str">
        <f>"26535246"</f>
        <v>26535246</v>
      </c>
      <c r="B1242" t="s">
        <v>2763</v>
      </c>
      <c r="C1242" t="str">
        <f t="shared" si="87"/>
        <v>706</v>
      </c>
      <c r="D1242" t="s">
        <v>28</v>
      </c>
      <c r="E1242" t="s">
        <v>83</v>
      </c>
      <c r="F1242" t="s">
        <v>175</v>
      </c>
      <c r="G1242" t="s">
        <v>2764</v>
      </c>
      <c r="H1242" t="str">
        <f t="shared" si="88"/>
        <v>9499</v>
      </c>
      <c r="I1242" t="s">
        <v>31</v>
      </c>
    </row>
    <row r="1243" spans="1:9" x14ac:dyDescent="0.3">
      <c r="A1243" t="str">
        <f>"26992248"</f>
        <v>26992248</v>
      </c>
      <c r="B1243" t="s">
        <v>2765</v>
      </c>
      <c r="C1243" t="str">
        <f t="shared" si="87"/>
        <v>706</v>
      </c>
      <c r="D1243" t="s">
        <v>28</v>
      </c>
      <c r="E1243" t="s">
        <v>52</v>
      </c>
      <c r="F1243" t="s">
        <v>1679</v>
      </c>
      <c r="G1243" t="s">
        <v>2766</v>
      </c>
      <c r="H1243" t="str">
        <f t="shared" si="88"/>
        <v>9499</v>
      </c>
      <c r="I1243" t="s">
        <v>31</v>
      </c>
    </row>
    <row r="1244" spans="1:9" x14ac:dyDescent="0.3">
      <c r="A1244" t="str">
        <f>"26542307"</f>
        <v>26542307</v>
      </c>
      <c r="B1244" t="s">
        <v>2767</v>
      </c>
      <c r="C1244" t="str">
        <f t="shared" si="87"/>
        <v>706</v>
      </c>
      <c r="D1244" t="s">
        <v>28</v>
      </c>
      <c r="E1244" t="s">
        <v>23</v>
      </c>
      <c r="F1244" t="s">
        <v>245</v>
      </c>
      <c r="G1244" t="s">
        <v>2768</v>
      </c>
      <c r="H1244" t="str">
        <f t="shared" si="88"/>
        <v>9499</v>
      </c>
      <c r="I1244" t="s">
        <v>31</v>
      </c>
    </row>
    <row r="1245" spans="1:9" x14ac:dyDescent="0.3">
      <c r="A1245" t="str">
        <f>"70821682"</f>
        <v>70821682</v>
      </c>
      <c r="B1245" t="s">
        <v>2769</v>
      </c>
      <c r="C1245" t="str">
        <f t="shared" si="87"/>
        <v>706</v>
      </c>
      <c r="D1245" t="s">
        <v>28</v>
      </c>
      <c r="E1245" t="s">
        <v>52</v>
      </c>
      <c r="F1245" t="s">
        <v>113</v>
      </c>
      <c r="G1245" t="s">
        <v>570</v>
      </c>
      <c r="H1245" t="str">
        <f t="shared" si="88"/>
        <v>9499</v>
      </c>
      <c r="I1245" t="s">
        <v>31</v>
      </c>
    </row>
    <row r="1246" spans="1:9" x14ac:dyDescent="0.3">
      <c r="A1246" t="str">
        <f>"27025268"</f>
        <v>27025268</v>
      </c>
      <c r="B1246" t="s">
        <v>2770</v>
      </c>
      <c r="C1246" t="str">
        <f t="shared" si="87"/>
        <v>706</v>
      </c>
      <c r="D1246" t="s">
        <v>28</v>
      </c>
      <c r="E1246" t="s">
        <v>52</v>
      </c>
      <c r="F1246" t="s">
        <v>52</v>
      </c>
      <c r="G1246" t="s">
        <v>2771</v>
      </c>
      <c r="H1246" t="str">
        <f t="shared" si="88"/>
        <v>9499</v>
      </c>
      <c r="I1246" t="s">
        <v>31</v>
      </c>
    </row>
    <row r="1247" spans="1:9" x14ac:dyDescent="0.3">
      <c r="A1247" t="str">
        <f>"01702530"</f>
        <v>01702530</v>
      </c>
      <c r="B1247" t="s">
        <v>2772</v>
      </c>
      <c r="C1247" t="str">
        <f t="shared" si="87"/>
        <v>706</v>
      </c>
      <c r="D1247" t="s">
        <v>28</v>
      </c>
      <c r="E1247" t="s">
        <v>52</v>
      </c>
      <c r="F1247" t="s">
        <v>52</v>
      </c>
      <c r="G1247" t="s">
        <v>1240</v>
      </c>
      <c r="H1247" t="str">
        <f>"90010"</f>
        <v>90010</v>
      </c>
      <c r="I1247" t="s">
        <v>2014</v>
      </c>
    </row>
    <row r="1248" spans="1:9" x14ac:dyDescent="0.3">
      <c r="A1248" t="str">
        <f>"22904395"</f>
        <v>22904395</v>
      </c>
      <c r="B1248" t="s">
        <v>2773</v>
      </c>
      <c r="C1248" t="str">
        <f t="shared" si="87"/>
        <v>706</v>
      </c>
      <c r="D1248" t="s">
        <v>28</v>
      </c>
      <c r="E1248" t="s">
        <v>52</v>
      </c>
      <c r="F1248" t="s">
        <v>379</v>
      </c>
      <c r="G1248" t="s">
        <v>2774</v>
      </c>
      <c r="H1248" t="str">
        <f t="shared" ref="H1248:H1258" si="89">"9499"</f>
        <v>9499</v>
      </c>
      <c r="I1248" t="s">
        <v>31</v>
      </c>
    </row>
    <row r="1249" spans="1:11" x14ac:dyDescent="0.3">
      <c r="A1249" t="str">
        <f>"01307258"</f>
        <v>01307258</v>
      </c>
      <c r="B1249" t="s">
        <v>2775</v>
      </c>
      <c r="C1249" t="str">
        <f t="shared" si="87"/>
        <v>706</v>
      </c>
      <c r="D1249" t="s">
        <v>28</v>
      </c>
      <c r="E1249" t="s">
        <v>52</v>
      </c>
      <c r="F1249" t="s">
        <v>2078</v>
      </c>
      <c r="G1249" t="s">
        <v>2776</v>
      </c>
      <c r="H1249" t="str">
        <f t="shared" si="89"/>
        <v>9499</v>
      </c>
      <c r="I1249" t="s">
        <v>31</v>
      </c>
    </row>
    <row r="1250" spans="1:11" x14ac:dyDescent="0.3">
      <c r="A1250" t="str">
        <f>"26633507"</f>
        <v>26633507</v>
      </c>
      <c r="B1250" t="s">
        <v>2777</v>
      </c>
      <c r="C1250" t="str">
        <f t="shared" si="87"/>
        <v>706</v>
      </c>
      <c r="D1250" t="s">
        <v>28</v>
      </c>
      <c r="E1250" t="s">
        <v>52</v>
      </c>
      <c r="F1250" t="s">
        <v>1170</v>
      </c>
      <c r="G1250" t="s">
        <v>1288</v>
      </c>
      <c r="H1250" t="str">
        <f t="shared" si="89"/>
        <v>9499</v>
      </c>
      <c r="I1250" t="s">
        <v>31</v>
      </c>
    </row>
    <row r="1251" spans="1:11" x14ac:dyDescent="0.3">
      <c r="A1251" t="str">
        <f>"22683691"</f>
        <v>22683691</v>
      </c>
      <c r="B1251" t="s">
        <v>2778</v>
      </c>
      <c r="C1251" t="str">
        <f t="shared" si="87"/>
        <v>706</v>
      </c>
      <c r="D1251" t="s">
        <v>28</v>
      </c>
      <c r="E1251" t="s">
        <v>52</v>
      </c>
      <c r="F1251" t="s">
        <v>80</v>
      </c>
      <c r="G1251" t="s">
        <v>1761</v>
      </c>
      <c r="H1251" t="str">
        <f t="shared" si="89"/>
        <v>9499</v>
      </c>
      <c r="I1251" t="s">
        <v>31</v>
      </c>
    </row>
    <row r="1252" spans="1:11" x14ac:dyDescent="0.3">
      <c r="A1252" t="str">
        <f>"70893063"</f>
        <v>70893063</v>
      </c>
      <c r="B1252" t="s">
        <v>2779</v>
      </c>
      <c r="C1252" t="str">
        <f t="shared" si="87"/>
        <v>706</v>
      </c>
      <c r="D1252" t="s">
        <v>28</v>
      </c>
      <c r="E1252" t="s">
        <v>52</v>
      </c>
      <c r="F1252" t="s">
        <v>52</v>
      </c>
      <c r="G1252" t="s">
        <v>1240</v>
      </c>
      <c r="H1252" t="str">
        <f t="shared" si="89"/>
        <v>9499</v>
      </c>
      <c r="I1252" t="s">
        <v>31</v>
      </c>
    </row>
    <row r="1253" spans="1:11" x14ac:dyDescent="0.3">
      <c r="A1253" t="str">
        <f>"22904921"</f>
        <v>22904921</v>
      </c>
      <c r="B1253" t="s">
        <v>2780</v>
      </c>
      <c r="C1253" t="str">
        <f t="shared" si="87"/>
        <v>706</v>
      </c>
      <c r="D1253" t="s">
        <v>28</v>
      </c>
      <c r="E1253" t="s">
        <v>52</v>
      </c>
      <c r="F1253" t="s">
        <v>234</v>
      </c>
      <c r="G1253" t="s">
        <v>2781</v>
      </c>
      <c r="H1253" t="str">
        <f t="shared" si="89"/>
        <v>9499</v>
      </c>
      <c r="I1253" t="s">
        <v>31</v>
      </c>
    </row>
    <row r="1254" spans="1:11" x14ac:dyDescent="0.3">
      <c r="A1254" t="str">
        <f>"22758437"</f>
        <v>22758437</v>
      </c>
      <c r="B1254" t="s">
        <v>2782</v>
      </c>
      <c r="C1254" t="str">
        <f t="shared" si="87"/>
        <v>706</v>
      </c>
      <c r="D1254" t="s">
        <v>28</v>
      </c>
      <c r="E1254" t="s">
        <v>52</v>
      </c>
      <c r="F1254" t="s">
        <v>52</v>
      </c>
      <c r="G1254" t="s">
        <v>2783</v>
      </c>
      <c r="H1254" t="str">
        <f t="shared" si="89"/>
        <v>9499</v>
      </c>
      <c r="I1254" t="s">
        <v>31</v>
      </c>
    </row>
    <row r="1255" spans="1:11" x14ac:dyDescent="0.3">
      <c r="A1255" t="str">
        <f>"67028497"</f>
        <v>67028497</v>
      </c>
      <c r="B1255" t="s">
        <v>2784</v>
      </c>
      <c r="C1255" t="str">
        <f t="shared" si="87"/>
        <v>706</v>
      </c>
      <c r="D1255" t="s">
        <v>28</v>
      </c>
      <c r="E1255" t="s">
        <v>52</v>
      </c>
      <c r="F1255" t="s">
        <v>488</v>
      </c>
      <c r="G1255" t="s">
        <v>2785</v>
      </c>
      <c r="H1255" t="str">
        <f t="shared" si="89"/>
        <v>9499</v>
      </c>
      <c r="I1255" t="s">
        <v>31</v>
      </c>
    </row>
    <row r="1256" spans="1:11" x14ac:dyDescent="0.3">
      <c r="A1256" t="str">
        <f>"26575876"</f>
        <v>26575876</v>
      </c>
      <c r="B1256" t="s">
        <v>2786</v>
      </c>
      <c r="C1256" t="str">
        <f t="shared" si="87"/>
        <v>706</v>
      </c>
      <c r="D1256" t="s">
        <v>28</v>
      </c>
      <c r="E1256" t="s">
        <v>52</v>
      </c>
      <c r="F1256" t="s">
        <v>1229</v>
      </c>
      <c r="G1256" t="s">
        <v>2787</v>
      </c>
      <c r="H1256" t="str">
        <f t="shared" si="89"/>
        <v>9499</v>
      </c>
      <c r="I1256" t="s">
        <v>31</v>
      </c>
    </row>
    <row r="1257" spans="1:11" x14ac:dyDescent="0.3">
      <c r="A1257" t="str">
        <f>"62831682"</f>
        <v>62831682</v>
      </c>
      <c r="B1257" t="s">
        <v>2788</v>
      </c>
      <c r="C1257" t="str">
        <f t="shared" si="87"/>
        <v>706</v>
      </c>
      <c r="D1257" t="s">
        <v>28</v>
      </c>
      <c r="E1257" t="s">
        <v>52</v>
      </c>
      <c r="F1257" t="s">
        <v>612</v>
      </c>
      <c r="G1257" t="s">
        <v>2789</v>
      </c>
      <c r="H1257" t="str">
        <f t="shared" si="89"/>
        <v>9499</v>
      </c>
      <c r="I1257" t="s">
        <v>31</v>
      </c>
    </row>
    <row r="1258" spans="1:11" x14ac:dyDescent="0.3">
      <c r="A1258" t="str">
        <f>"44018835"</f>
        <v>44018835</v>
      </c>
      <c r="B1258" t="s">
        <v>2790</v>
      </c>
      <c r="C1258" t="str">
        <f t="shared" si="87"/>
        <v>706</v>
      </c>
      <c r="D1258" t="s">
        <v>28</v>
      </c>
      <c r="E1258" t="s">
        <v>52</v>
      </c>
      <c r="F1258" t="s">
        <v>960</v>
      </c>
      <c r="G1258" t="s">
        <v>1763</v>
      </c>
      <c r="H1258" t="str">
        <f t="shared" si="89"/>
        <v>9499</v>
      </c>
      <c r="I1258" t="s">
        <v>31</v>
      </c>
      <c r="J1258" t="s">
        <v>209</v>
      </c>
      <c r="K1258" t="s">
        <v>161</v>
      </c>
    </row>
    <row r="1259" spans="1:11" x14ac:dyDescent="0.3">
      <c r="A1259" t="str">
        <f>"08590877"</f>
        <v>08590877</v>
      </c>
      <c r="B1259" t="s">
        <v>2791</v>
      </c>
      <c r="C1259" t="str">
        <f t="shared" si="87"/>
        <v>706</v>
      </c>
      <c r="D1259" t="s">
        <v>28</v>
      </c>
      <c r="E1259" t="s">
        <v>23</v>
      </c>
      <c r="F1259" t="s">
        <v>23</v>
      </c>
      <c r="G1259" t="s">
        <v>418</v>
      </c>
      <c r="H1259" t="str">
        <f>"94996"</f>
        <v>94996</v>
      </c>
      <c r="I1259" t="s">
        <v>47</v>
      </c>
    </row>
    <row r="1260" spans="1:11" x14ac:dyDescent="0.3">
      <c r="A1260" t="str">
        <f>"22754156"</f>
        <v>22754156</v>
      </c>
      <c r="B1260" t="s">
        <v>2792</v>
      </c>
      <c r="C1260" t="str">
        <f t="shared" ref="C1260:C1296" si="90">"706"</f>
        <v>706</v>
      </c>
      <c r="D1260" t="s">
        <v>28</v>
      </c>
      <c r="E1260" t="s">
        <v>52</v>
      </c>
      <c r="F1260" t="s">
        <v>1955</v>
      </c>
      <c r="G1260" t="s">
        <v>2793</v>
      </c>
      <c r="H1260" t="str">
        <f t="shared" ref="H1260:H1267" si="91">"9499"</f>
        <v>9499</v>
      </c>
      <c r="I1260" t="s">
        <v>31</v>
      </c>
    </row>
    <row r="1261" spans="1:11" x14ac:dyDescent="0.3">
      <c r="A1261" t="str">
        <f>"06526241"</f>
        <v>06526241</v>
      </c>
      <c r="B1261" t="s">
        <v>2794</v>
      </c>
      <c r="C1261" t="str">
        <f t="shared" si="90"/>
        <v>706</v>
      </c>
      <c r="D1261" t="s">
        <v>28</v>
      </c>
      <c r="E1261" t="s">
        <v>52</v>
      </c>
      <c r="F1261" t="s">
        <v>2795</v>
      </c>
      <c r="G1261" t="s">
        <v>2796</v>
      </c>
      <c r="H1261" t="str">
        <f t="shared" si="91"/>
        <v>9499</v>
      </c>
      <c r="I1261" t="s">
        <v>31</v>
      </c>
    </row>
    <row r="1262" spans="1:11" x14ac:dyDescent="0.3">
      <c r="A1262" t="str">
        <f>"66184398"</f>
        <v>66184398</v>
      </c>
      <c r="B1262" t="s">
        <v>2797</v>
      </c>
      <c r="C1262" t="str">
        <f t="shared" si="90"/>
        <v>706</v>
      </c>
      <c r="D1262" t="s">
        <v>28</v>
      </c>
      <c r="E1262" t="s">
        <v>29</v>
      </c>
      <c r="F1262" t="s">
        <v>29</v>
      </c>
      <c r="G1262" t="s">
        <v>2798</v>
      </c>
      <c r="H1262" t="str">
        <f t="shared" si="91"/>
        <v>9499</v>
      </c>
      <c r="I1262" t="s">
        <v>31</v>
      </c>
      <c r="J1262" t="s">
        <v>2799</v>
      </c>
    </row>
    <row r="1263" spans="1:11" x14ac:dyDescent="0.3">
      <c r="A1263" t="str">
        <f>"26523752"</f>
        <v>26523752</v>
      </c>
      <c r="B1263" t="s">
        <v>2800</v>
      </c>
      <c r="C1263" t="str">
        <f t="shared" si="90"/>
        <v>706</v>
      </c>
      <c r="D1263" t="s">
        <v>28</v>
      </c>
      <c r="E1263" t="s">
        <v>29</v>
      </c>
      <c r="F1263" t="s">
        <v>676</v>
      </c>
      <c r="G1263" t="s">
        <v>2801</v>
      </c>
      <c r="H1263" t="str">
        <f t="shared" si="91"/>
        <v>9499</v>
      </c>
      <c r="I1263" t="s">
        <v>31</v>
      </c>
    </row>
    <row r="1264" spans="1:11" x14ac:dyDescent="0.3">
      <c r="A1264" t="str">
        <f>"26678144"</f>
        <v>26678144</v>
      </c>
      <c r="B1264" t="s">
        <v>2802</v>
      </c>
      <c r="C1264" t="str">
        <f t="shared" si="90"/>
        <v>706</v>
      </c>
      <c r="D1264" t="s">
        <v>28</v>
      </c>
      <c r="E1264" t="s">
        <v>52</v>
      </c>
      <c r="F1264" t="s">
        <v>334</v>
      </c>
      <c r="G1264" t="s">
        <v>2044</v>
      </c>
      <c r="H1264" t="str">
        <f t="shared" si="91"/>
        <v>9499</v>
      </c>
      <c r="I1264" t="s">
        <v>31</v>
      </c>
    </row>
    <row r="1265" spans="1:9" x14ac:dyDescent="0.3">
      <c r="A1265" t="str">
        <f>"22747249"</f>
        <v>22747249</v>
      </c>
      <c r="B1265" t="s">
        <v>2803</v>
      </c>
      <c r="C1265" t="str">
        <f t="shared" si="90"/>
        <v>706</v>
      </c>
      <c r="D1265" t="s">
        <v>28</v>
      </c>
      <c r="E1265" t="s">
        <v>52</v>
      </c>
      <c r="F1265" t="s">
        <v>2400</v>
      </c>
      <c r="G1265" t="s">
        <v>2804</v>
      </c>
      <c r="H1265" t="str">
        <f t="shared" si="91"/>
        <v>9499</v>
      </c>
      <c r="I1265" t="s">
        <v>31</v>
      </c>
    </row>
    <row r="1266" spans="1:9" x14ac:dyDescent="0.3">
      <c r="A1266" t="str">
        <f>"04072502"</f>
        <v>04072502</v>
      </c>
      <c r="B1266" t="s">
        <v>2805</v>
      </c>
      <c r="C1266" t="str">
        <f t="shared" si="90"/>
        <v>706</v>
      </c>
      <c r="D1266" t="s">
        <v>28</v>
      </c>
      <c r="E1266" t="s">
        <v>52</v>
      </c>
      <c r="F1266" t="s">
        <v>2806</v>
      </c>
      <c r="G1266" t="s">
        <v>2807</v>
      </c>
      <c r="H1266" t="str">
        <f t="shared" si="91"/>
        <v>9499</v>
      </c>
      <c r="I1266" t="s">
        <v>31</v>
      </c>
    </row>
    <row r="1267" spans="1:9" x14ac:dyDescent="0.3">
      <c r="A1267" t="str">
        <f>"66184207"</f>
        <v>66184207</v>
      </c>
      <c r="B1267" t="s">
        <v>2808</v>
      </c>
      <c r="C1267" t="str">
        <f t="shared" si="90"/>
        <v>706</v>
      </c>
      <c r="D1267" t="s">
        <v>28</v>
      </c>
      <c r="E1267" t="s">
        <v>29</v>
      </c>
      <c r="F1267" t="s">
        <v>29</v>
      </c>
      <c r="G1267" t="s">
        <v>2798</v>
      </c>
      <c r="H1267" t="str">
        <f t="shared" si="91"/>
        <v>9499</v>
      </c>
      <c r="I1267" t="s">
        <v>31</v>
      </c>
    </row>
    <row r="1268" spans="1:9" x14ac:dyDescent="0.3">
      <c r="A1268" t="str">
        <f>"70813710"</f>
        <v>70813710</v>
      </c>
      <c r="B1268" t="s">
        <v>2809</v>
      </c>
      <c r="C1268" t="str">
        <f t="shared" si="90"/>
        <v>706</v>
      </c>
      <c r="D1268" t="s">
        <v>28</v>
      </c>
      <c r="E1268" t="s">
        <v>52</v>
      </c>
      <c r="F1268" t="s">
        <v>344</v>
      </c>
      <c r="G1268" t="s">
        <v>1286</v>
      </c>
      <c r="H1268" t="str">
        <f>"94993"</f>
        <v>94993</v>
      </c>
      <c r="I1268" t="s">
        <v>50</v>
      </c>
    </row>
    <row r="1269" spans="1:9" x14ac:dyDescent="0.3">
      <c r="A1269" t="str">
        <f>"01789996"</f>
        <v>01789996</v>
      </c>
      <c r="B1269" t="s">
        <v>2810</v>
      </c>
      <c r="C1269" t="str">
        <f t="shared" si="90"/>
        <v>706</v>
      </c>
      <c r="D1269" t="s">
        <v>28</v>
      </c>
      <c r="E1269" t="s">
        <v>23</v>
      </c>
      <c r="F1269" t="s">
        <v>23</v>
      </c>
      <c r="G1269" t="s">
        <v>2811</v>
      </c>
      <c r="H1269" t="str">
        <f>"9499"</f>
        <v>9499</v>
      </c>
      <c r="I1269" t="s">
        <v>31</v>
      </c>
    </row>
    <row r="1270" spans="1:9" x14ac:dyDescent="0.3">
      <c r="A1270" t="str">
        <f>"03372171"</f>
        <v>03372171</v>
      </c>
      <c r="B1270" t="s">
        <v>2812</v>
      </c>
      <c r="C1270" t="str">
        <f t="shared" si="90"/>
        <v>706</v>
      </c>
      <c r="D1270" t="s">
        <v>28</v>
      </c>
      <c r="E1270" t="s">
        <v>29</v>
      </c>
      <c r="F1270" t="s">
        <v>38</v>
      </c>
      <c r="G1270" t="s">
        <v>2813</v>
      </c>
      <c r="H1270" t="str">
        <f>"93110"</f>
        <v>93110</v>
      </c>
      <c r="I1270" t="s">
        <v>92</v>
      </c>
    </row>
    <row r="1271" spans="1:9" x14ac:dyDescent="0.3">
      <c r="A1271" t="str">
        <f>"26633388"</f>
        <v>26633388</v>
      </c>
      <c r="B1271" t="s">
        <v>2814</v>
      </c>
      <c r="C1271" t="str">
        <f t="shared" si="90"/>
        <v>706</v>
      </c>
      <c r="D1271" t="s">
        <v>28</v>
      </c>
      <c r="E1271" t="s">
        <v>29</v>
      </c>
      <c r="F1271" t="s">
        <v>195</v>
      </c>
      <c r="G1271" t="s">
        <v>2815</v>
      </c>
      <c r="H1271" t="str">
        <f>"9499"</f>
        <v>9499</v>
      </c>
      <c r="I1271" t="s">
        <v>31</v>
      </c>
    </row>
    <row r="1272" spans="1:9" x14ac:dyDescent="0.3">
      <c r="A1272" t="str">
        <f>"26571277"</f>
        <v>26571277</v>
      </c>
      <c r="B1272" t="s">
        <v>2816</v>
      </c>
      <c r="C1272" t="str">
        <f t="shared" si="90"/>
        <v>706</v>
      </c>
      <c r="D1272" t="s">
        <v>28</v>
      </c>
      <c r="E1272" t="s">
        <v>52</v>
      </c>
      <c r="F1272" t="s">
        <v>234</v>
      </c>
      <c r="G1272" t="s">
        <v>2817</v>
      </c>
      <c r="H1272" t="str">
        <f>"93110"</f>
        <v>93110</v>
      </c>
      <c r="I1272" t="s">
        <v>92</v>
      </c>
    </row>
    <row r="1273" spans="1:9" x14ac:dyDescent="0.3">
      <c r="A1273" t="str">
        <f>"03968952"</f>
        <v>03968952</v>
      </c>
      <c r="B1273" t="s">
        <v>2818</v>
      </c>
      <c r="C1273" t="str">
        <f t="shared" si="90"/>
        <v>706</v>
      </c>
      <c r="D1273" t="s">
        <v>28</v>
      </c>
      <c r="E1273" t="s">
        <v>23</v>
      </c>
      <c r="F1273" t="s">
        <v>23</v>
      </c>
      <c r="G1273" t="s">
        <v>2819</v>
      </c>
      <c r="H1273" t="str">
        <f>"93110"</f>
        <v>93110</v>
      </c>
      <c r="I1273" t="s">
        <v>92</v>
      </c>
    </row>
    <row r="1274" spans="1:9" x14ac:dyDescent="0.3">
      <c r="A1274" t="str">
        <f>"22712551"</f>
        <v>22712551</v>
      </c>
      <c r="B1274" t="s">
        <v>2820</v>
      </c>
      <c r="C1274" t="str">
        <f t="shared" si="90"/>
        <v>706</v>
      </c>
      <c r="D1274" t="s">
        <v>28</v>
      </c>
      <c r="E1274" t="s">
        <v>23</v>
      </c>
      <c r="F1274" t="s">
        <v>1631</v>
      </c>
      <c r="G1274" t="s">
        <v>2821</v>
      </c>
      <c r="H1274" t="str">
        <f>"93110"</f>
        <v>93110</v>
      </c>
      <c r="I1274" t="s">
        <v>92</v>
      </c>
    </row>
    <row r="1275" spans="1:9" x14ac:dyDescent="0.3">
      <c r="A1275" t="str">
        <f>"22516638"</f>
        <v>22516638</v>
      </c>
      <c r="B1275" t="s">
        <v>2822</v>
      </c>
      <c r="C1275" t="str">
        <f t="shared" si="90"/>
        <v>706</v>
      </c>
      <c r="D1275" t="s">
        <v>28</v>
      </c>
      <c r="E1275" t="s">
        <v>52</v>
      </c>
      <c r="F1275" t="s">
        <v>927</v>
      </c>
      <c r="G1275" t="s">
        <v>2823</v>
      </c>
      <c r="H1275" t="str">
        <f>"93190"</f>
        <v>93190</v>
      </c>
      <c r="I1275" t="s">
        <v>59</v>
      </c>
    </row>
    <row r="1276" spans="1:9" x14ac:dyDescent="0.3">
      <c r="A1276" t="str">
        <f>"01207644"</f>
        <v>01207644</v>
      </c>
      <c r="B1276" t="s">
        <v>2824</v>
      </c>
      <c r="C1276" t="str">
        <f t="shared" si="90"/>
        <v>706</v>
      </c>
      <c r="D1276" t="s">
        <v>28</v>
      </c>
      <c r="E1276" t="s">
        <v>52</v>
      </c>
      <c r="F1276" t="s">
        <v>2736</v>
      </c>
      <c r="G1276" t="s">
        <v>2825</v>
      </c>
      <c r="H1276" t="str">
        <f>"93110"</f>
        <v>93110</v>
      </c>
      <c r="I1276" t="s">
        <v>92</v>
      </c>
    </row>
    <row r="1277" spans="1:9" x14ac:dyDescent="0.3">
      <c r="A1277" t="str">
        <f>"22346635"</f>
        <v>22346635</v>
      </c>
      <c r="B1277" t="s">
        <v>2826</v>
      </c>
      <c r="C1277" t="str">
        <f t="shared" si="90"/>
        <v>706</v>
      </c>
      <c r="D1277" t="s">
        <v>28</v>
      </c>
      <c r="E1277" t="s">
        <v>29</v>
      </c>
      <c r="F1277" t="s">
        <v>1221</v>
      </c>
      <c r="G1277" t="s">
        <v>2827</v>
      </c>
      <c r="H1277" t="str">
        <f>"9499"</f>
        <v>9499</v>
      </c>
      <c r="I1277" t="s">
        <v>31</v>
      </c>
    </row>
    <row r="1278" spans="1:9" x14ac:dyDescent="0.3">
      <c r="A1278" t="str">
        <f>"69211728"</f>
        <v>69211728</v>
      </c>
      <c r="B1278" t="s">
        <v>2828</v>
      </c>
      <c r="C1278" t="str">
        <f t="shared" si="90"/>
        <v>706</v>
      </c>
      <c r="D1278" t="s">
        <v>28</v>
      </c>
      <c r="E1278" t="s">
        <v>29</v>
      </c>
      <c r="F1278" t="s">
        <v>38</v>
      </c>
      <c r="G1278" t="s">
        <v>2829</v>
      </c>
      <c r="H1278" t="str">
        <f>"93120"</f>
        <v>93120</v>
      </c>
      <c r="I1278" t="s">
        <v>54</v>
      </c>
    </row>
    <row r="1279" spans="1:9" x14ac:dyDescent="0.3">
      <c r="A1279" t="str">
        <f>"67008127"</f>
        <v>67008127</v>
      </c>
      <c r="B1279" t="s">
        <v>2830</v>
      </c>
      <c r="C1279" t="str">
        <f t="shared" si="90"/>
        <v>706</v>
      </c>
      <c r="D1279" t="s">
        <v>28</v>
      </c>
      <c r="E1279" t="s">
        <v>23</v>
      </c>
      <c r="F1279" t="s">
        <v>23</v>
      </c>
      <c r="G1279" t="s">
        <v>204</v>
      </c>
      <c r="H1279" t="str">
        <f>"93120"</f>
        <v>93120</v>
      </c>
      <c r="I1279" t="s">
        <v>54</v>
      </c>
    </row>
    <row r="1280" spans="1:9" x14ac:dyDescent="0.3">
      <c r="A1280" t="str">
        <f>"70801860"</f>
        <v>70801860</v>
      </c>
      <c r="B1280" t="s">
        <v>2831</v>
      </c>
      <c r="C1280" t="str">
        <f t="shared" si="90"/>
        <v>706</v>
      </c>
      <c r="D1280" t="s">
        <v>28</v>
      </c>
      <c r="E1280" t="s">
        <v>83</v>
      </c>
      <c r="F1280" t="s">
        <v>480</v>
      </c>
      <c r="G1280" t="s">
        <v>2832</v>
      </c>
      <c r="H1280" t="str">
        <f>"93120"</f>
        <v>93120</v>
      </c>
      <c r="I1280" t="s">
        <v>54</v>
      </c>
    </row>
    <row r="1281" spans="1:15" x14ac:dyDescent="0.3">
      <c r="A1281" t="str">
        <f>"61704121"</f>
        <v>61704121</v>
      </c>
      <c r="B1281" t="s">
        <v>2833</v>
      </c>
      <c r="C1281" t="str">
        <f t="shared" si="90"/>
        <v>706</v>
      </c>
      <c r="D1281" t="s">
        <v>28</v>
      </c>
      <c r="E1281" t="s">
        <v>52</v>
      </c>
      <c r="F1281" t="s">
        <v>1170</v>
      </c>
      <c r="G1281" t="s">
        <v>2834</v>
      </c>
      <c r="H1281" t="str">
        <f>"93110"</f>
        <v>93110</v>
      </c>
      <c r="I1281" t="s">
        <v>92</v>
      </c>
    </row>
    <row r="1282" spans="1:15" x14ac:dyDescent="0.3">
      <c r="A1282" t="str">
        <f>"27031144"</f>
        <v>27031144</v>
      </c>
      <c r="B1282" t="s">
        <v>2835</v>
      </c>
      <c r="C1282" t="str">
        <f t="shared" si="90"/>
        <v>706</v>
      </c>
      <c r="D1282" t="s">
        <v>28</v>
      </c>
      <c r="E1282" t="s">
        <v>83</v>
      </c>
      <c r="F1282" t="s">
        <v>183</v>
      </c>
      <c r="G1282" t="s">
        <v>2836</v>
      </c>
      <c r="H1282" t="str">
        <f>"93110"</f>
        <v>93110</v>
      </c>
      <c r="I1282" t="s">
        <v>92</v>
      </c>
    </row>
    <row r="1283" spans="1:15" x14ac:dyDescent="0.3">
      <c r="A1283" t="str">
        <f>"01593480"</f>
        <v>01593480</v>
      </c>
      <c r="B1283" t="s">
        <v>2837</v>
      </c>
      <c r="C1283" t="str">
        <f t="shared" si="90"/>
        <v>706</v>
      </c>
      <c r="D1283" t="s">
        <v>28</v>
      </c>
      <c r="E1283" t="s">
        <v>29</v>
      </c>
      <c r="F1283" t="s">
        <v>250</v>
      </c>
      <c r="G1283" t="s">
        <v>2739</v>
      </c>
      <c r="H1283" t="str">
        <f>"93110"</f>
        <v>93110</v>
      </c>
      <c r="I1283" t="s">
        <v>92</v>
      </c>
    </row>
    <row r="1284" spans="1:15" x14ac:dyDescent="0.3">
      <c r="A1284" t="str">
        <f>"70821186"</f>
        <v>70821186</v>
      </c>
      <c r="B1284" t="s">
        <v>2838</v>
      </c>
      <c r="C1284" t="str">
        <f t="shared" si="90"/>
        <v>706</v>
      </c>
      <c r="D1284" t="s">
        <v>28</v>
      </c>
      <c r="E1284" t="s">
        <v>52</v>
      </c>
      <c r="F1284" t="s">
        <v>2038</v>
      </c>
      <c r="G1284" t="s">
        <v>2839</v>
      </c>
      <c r="H1284" t="str">
        <f>"931"</f>
        <v>931</v>
      </c>
      <c r="I1284" t="s">
        <v>26</v>
      </c>
    </row>
    <row r="1285" spans="1:15" x14ac:dyDescent="0.3">
      <c r="A1285" t="str">
        <f>"68898436"</f>
        <v>68898436</v>
      </c>
      <c r="B1285" t="s">
        <v>2840</v>
      </c>
      <c r="C1285" t="str">
        <f t="shared" si="90"/>
        <v>706</v>
      </c>
      <c r="D1285" t="s">
        <v>28</v>
      </c>
      <c r="E1285" t="s">
        <v>29</v>
      </c>
      <c r="F1285" t="s">
        <v>1839</v>
      </c>
      <c r="G1285" t="s">
        <v>2841</v>
      </c>
      <c r="H1285" t="str">
        <f>"93120"</f>
        <v>93120</v>
      </c>
      <c r="I1285" t="s">
        <v>54</v>
      </c>
      <c r="J1285" t="s">
        <v>147</v>
      </c>
      <c r="K1285" t="s">
        <v>209</v>
      </c>
      <c r="L1285" t="s">
        <v>161</v>
      </c>
      <c r="M1285" t="s">
        <v>262</v>
      </c>
      <c r="N1285" t="s">
        <v>163</v>
      </c>
      <c r="O1285" t="s">
        <v>59</v>
      </c>
    </row>
    <row r="1286" spans="1:15" x14ac:dyDescent="0.3">
      <c r="A1286" t="str">
        <f>"65888081"</f>
        <v>65888081</v>
      </c>
      <c r="B1286" t="s">
        <v>2842</v>
      </c>
      <c r="C1286" t="str">
        <f t="shared" si="90"/>
        <v>706</v>
      </c>
      <c r="D1286" t="s">
        <v>28</v>
      </c>
      <c r="E1286" t="s">
        <v>29</v>
      </c>
      <c r="F1286" t="s">
        <v>676</v>
      </c>
      <c r="G1286" t="s">
        <v>2843</v>
      </c>
      <c r="H1286" t="str">
        <f>"93110"</f>
        <v>93110</v>
      </c>
      <c r="I1286" t="s">
        <v>92</v>
      </c>
    </row>
    <row r="1287" spans="1:15" x14ac:dyDescent="0.3">
      <c r="A1287" t="str">
        <f>"47934018"</f>
        <v>47934018</v>
      </c>
      <c r="B1287" t="s">
        <v>2844</v>
      </c>
      <c r="C1287" t="str">
        <f t="shared" si="90"/>
        <v>706</v>
      </c>
      <c r="D1287" t="s">
        <v>28</v>
      </c>
      <c r="E1287" t="s">
        <v>83</v>
      </c>
      <c r="F1287" t="s">
        <v>2845</v>
      </c>
      <c r="G1287" t="s">
        <v>2846</v>
      </c>
      <c r="H1287" t="str">
        <f>"93110"</f>
        <v>93110</v>
      </c>
      <c r="I1287" t="s">
        <v>92</v>
      </c>
    </row>
    <row r="1288" spans="1:15" x14ac:dyDescent="0.3">
      <c r="A1288" t="str">
        <f>"46276351"</f>
        <v>46276351</v>
      </c>
      <c r="B1288" t="s">
        <v>2847</v>
      </c>
      <c r="C1288" t="str">
        <f t="shared" si="90"/>
        <v>706</v>
      </c>
      <c r="D1288" t="s">
        <v>28</v>
      </c>
      <c r="E1288" t="s">
        <v>23</v>
      </c>
      <c r="F1288" t="s">
        <v>23</v>
      </c>
      <c r="G1288" t="s">
        <v>2848</v>
      </c>
      <c r="H1288" t="str">
        <f>"93110"</f>
        <v>93110</v>
      </c>
      <c r="I1288" t="s">
        <v>92</v>
      </c>
    </row>
    <row r="1289" spans="1:15" x14ac:dyDescent="0.3">
      <c r="A1289" t="str">
        <f>"70870608"</f>
        <v>70870608</v>
      </c>
      <c r="B1289" t="s">
        <v>2849</v>
      </c>
      <c r="C1289" t="str">
        <f t="shared" si="90"/>
        <v>706</v>
      </c>
      <c r="D1289" t="s">
        <v>28</v>
      </c>
      <c r="E1289" t="s">
        <v>83</v>
      </c>
      <c r="F1289" t="s">
        <v>175</v>
      </c>
      <c r="G1289" t="s">
        <v>2850</v>
      </c>
      <c r="H1289" t="str">
        <f>"93120"</f>
        <v>93120</v>
      </c>
      <c r="I1289" t="s">
        <v>54</v>
      </c>
    </row>
    <row r="1290" spans="1:15" x14ac:dyDescent="0.3">
      <c r="A1290" t="str">
        <f>"45211477"</f>
        <v>45211477</v>
      </c>
      <c r="B1290" t="s">
        <v>2851</v>
      </c>
      <c r="C1290" t="str">
        <f t="shared" si="90"/>
        <v>706</v>
      </c>
      <c r="D1290" t="s">
        <v>28</v>
      </c>
      <c r="E1290" t="s">
        <v>29</v>
      </c>
      <c r="F1290" t="s">
        <v>29</v>
      </c>
      <c r="G1290" t="s">
        <v>29</v>
      </c>
      <c r="H1290" t="str">
        <f t="shared" ref="H1290:H1296" si="92">"9499"</f>
        <v>9499</v>
      </c>
      <c r="I1290" t="s">
        <v>31</v>
      </c>
    </row>
    <row r="1291" spans="1:15" x14ac:dyDescent="0.3">
      <c r="A1291" t="str">
        <f>"22725202"</f>
        <v>22725202</v>
      </c>
      <c r="B1291" t="s">
        <v>2852</v>
      </c>
      <c r="C1291" t="str">
        <f t="shared" si="90"/>
        <v>706</v>
      </c>
      <c r="D1291" t="s">
        <v>28</v>
      </c>
      <c r="E1291" t="s">
        <v>23</v>
      </c>
      <c r="F1291" t="s">
        <v>24</v>
      </c>
      <c r="G1291" t="s">
        <v>2853</v>
      </c>
      <c r="H1291" t="str">
        <f t="shared" si="92"/>
        <v>9499</v>
      </c>
      <c r="I1291" t="s">
        <v>31</v>
      </c>
    </row>
    <row r="1292" spans="1:15" x14ac:dyDescent="0.3">
      <c r="A1292" t="str">
        <f>"22854185"</f>
        <v>22854185</v>
      </c>
      <c r="B1292" t="s">
        <v>2854</v>
      </c>
      <c r="C1292" t="str">
        <f t="shared" si="90"/>
        <v>706</v>
      </c>
      <c r="D1292" t="s">
        <v>28</v>
      </c>
      <c r="E1292" t="s">
        <v>83</v>
      </c>
      <c r="F1292" t="s">
        <v>83</v>
      </c>
      <c r="G1292" t="s">
        <v>1745</v>
      </c>
      <c r="H1292" t="str">
        <f t="shared" si="92"/>
        <v>9499</v>
      </c>
      <c r="I1292" t="s">
        <v>31</v>
      </c>
    </row>
    <row r="1293" spans="1:15" x14ac:dyDescent="0.3">
      <c r="A1293" t="str">
        <f>"26642425"</f>
        <v>26642425</v>
      </c>
      <c r="B1293" t="s">
        <v>2855</v>
      </c>
      <c r="C1293" t="str">
        <f t="shared" si="90"/>
        <v>706</v>
      </c>
      <c r="D1293" t="s">
        <v>28</v>
      </c>
      <c r="E1293" t="s">
        <v>23</v>
      </c>
      <c r="F1293" t="s">
        <v>975</v>
      </c>
      <c r="G1293" t="s">
        <v>2856</v>
      </c>
      <c r="H1293" t="str">
        <f t="shared" si="92"/>
        <v>9499</v>
      </c>
      <c r="I1293" t="s">
        <v>31</v>
      </c>
    </row>
    <row r="1294" spans="1:15" x14ac:dyDescent="0.3">
      <c r="A1294" t="str">
        <f>"22726624"</f>
        <v>22726624</v>
      </c>
      <c r="B1294" t="s">
        <v>2857</v>
      </c>
      <c r="C1294" t="str">
        <f t="shared" si="90"/>
        <v>706</v>
      </c>
      <c r="D1294" t="s">
        <v>28</v>
      </c>
      <c r="E1294" t="s">
        <v>29</v>
      </c>
      <c r="F1294" t="s">
        <v>29</v>
      </c>
      <c r="G1294" t="s">
        <v>2858</v>
      </c>
      <c r="H1294" t="str">
        <f t="shared" si="92"/>
        <v>9499</v>
      </c>
      <c r="I1294" t="s">
        <v>31</v>
      </c>
    </row>
    <row r="1295" spans="1:15" x14ac:dyDescent="0.3">
      <c r="A1295" t="str">
        <f>"27018571"</f>
        <v>27018571</v>
      </c>
      <c r="B1295" t="s">
        <v>2859</v>
      </c>
      <c r="C1295" t="str">
        <f t="shared" si="90"/>
        <v>706</v>
      </c>
      <c r="D1295" t="s">
        <v>28</v>
      </c>
      <c r="E1295" t="s">
        <v>52</v>
      </c>
      <c r="F1295" t="s">
        <v>65</v>
      </c>
      <c r="G1295" t="s">
        <v>2860</v>
      </c>
      <c r="H1295" t="str">
        <f t="shared" si="92"/>
        <v>9499</v>
      </c>
      <c r="I1295" t="s">
        <v>31</v>
      </c>
    </row>
    <row r="1296" spans="1:15" x14ac:dyDescent="0.3">
      <c r="A1296" t="str">
        <f>"26619105"</f>
        <v>26619105</v>
      </c>
      <c r="B1296" t="s">
        <v>2861</v>
      </c>
      <c r="C1296" t="str">
        <f t="shared" si="90"/>
        <v>706</v>
      </c>
      <c r="D1296" t="s">
        <v>28</v>
      </c>
      <c r="E1296" t="s">
        <v>23</v>
      </c>
      <c r="F1296" t="s">
        <v>975</v>
      </c>
      <c r="G1296" t="s">
        <v>2862</v>
      </c>
      <c r="H1296" t="str">
        <f t="shared" si="92"/>
        <v>9499</v>
      </c>
      <c r="I1296" t="s">
        <v>31</v>
      </c>
    </row>
    <row r="1297" spans="1:13" x14ac:dyDescent="0.3">
      <c r="A1297" t="str">
        <f>"26835487"</f>
        <v>26835487</v>
      </c>
      <c r="B1297" t="s">
        <v>2863</v>
      </c>
      <c r="C1297" t="str">
        <f>"141"</f>
        <v>141</v>
      </c>
      <c r="D1297" t="s">
        <v>112</v>
      </c>
      <c r="E1297" t="s">
        <v>29</v>
      </c>
      <c r="F1297" t="s">
        <v>503</v>
      </c>
      <c r="G1297" t="s">
        <v>2864</v>
      </c>
      <c r="H1297" t="str">
        <f>"74"</f>
        <v>74</v>
      </c>
      <c r="I1297" t="s">
        <v>423</v>
      </c>
      <c r="J1297" t="s">
        <v>2350</v>
      </c>
      <c r="K1297" t="s">
        <v>115</v>
      </c>
      <c r="L1297" t="s">
        <v>222</v>
      </c>
      <c r="M1297" t="s">
        <v>126</v>
      </c>
    </row>
    <row r="1298" spans="1:13" x14ac:dyDescent="0.3">
      <c r="A1298" t="str">
        <f>"68688181"</f>
        <v>68688181</v>
      </c>
      <c r="B1298" t="s">
        <v>2865</v>
      </c>
      <c r="C1298" t="str">
        <f t="shared" ref="C1298:C1318" si="93">"706"</f>
        <v>706</v>
      </c>
      <c r="D1298" t="s">
        <v>28</v>
      </c>
      <c r="E1298" t="s">
        <v>23</v>
      </c>
      <c r="F1298" t="s">
        <v>23</v>
      </c>
      <c r="G1298" t="s">
        <v>418</v>
      </c>
      <c r="H1298" t="str">
        <f>"9499"</f>
        <v>9499</v>
      </c>
      <c r="I1298" t="s">
        <v>31</v>
      </c>
    </row>
    <row r="1299" spans="1:13" x14ac:dyDescent="0.3">
      <c r="A1299" t="str">
        <f>"22758577"</f>
        <v>22758577</v>
      </c>
      <c r="B1299" t="s">
        <v>2866</v>
      </c>
      <c r="C1299" t="str">
        <f t="shared" si="93"/>
        <v>706</v>
      </c>
      <c r="D1299" t="s">
        <v>28</v>
      </c>
      <c r="E1299" t="s">
        <v>23</v>
      </c>
      <c r="F1299" t="s">
        <v>245</v>
      </c>
      <c r="G1299" t="s">
        <v>2867</v>
      </c>
      <c r="H1299" t="str">
        <f>"93120"</f>
        <v>93120</v>
      </c>
      <c r="I1299" t="s">
        <v>54</v>
      </c>
    </row>
    <row r="1300" spans="1:13" x14ac:dyDescent="0.3">
      <c r="A1300" t="str">
        <f>"06145191"</f>
        <v>06145191</v>
      </c>
      <c r="B1300" t="s">
        <v>2868</v>
      </c>
      <c r="C1300" t="str">
        <f t="shared" si="93"/>
        <v>706</v>
      </c>
      <c r="D1300" t="s">
        <v>28</v>
      </c>
      <c r="E1300" t="s">
        <v>23</v>
      </c>
      <c r="F1300" t="s">
        <v>245</v>
      </c>
      <c r="G1300" t="s">
        <v>2869</v>
      </c>
      <c r="H1300" t="str">
        <f t="shared" ref="H1300:H1305" si="94">"9499"</f>
        <v>9499</v>
      </c>
      <c r="I1300" t="s">
        <v>31</v>
      </c>
    </row>
    <row r="1301" spans="1:13" x14ac:dyDescent="0.3">
      <c r="A1301" t="str">
        <f>"05309310"</f>
        <v>05309310</v>
      </c>
      <c r="B1301" t="s">
        <v>2870</v>
      </c>
      <c r="C1301" t="str">
        <f t="shared" si="93"/>
        <v>706</v>
      </c>
      <c r="D1301" t="s">
        <v>28</v>
      </c>
      <c r="E1301" t="s">
        <v>23</v>
      </c>
      <c r="F1301" t="s">
        <v>245</v>
      </c>
      <c r="G1301" t="s">
        <v>2871</v>
      </c>
      <c r="H1301" t="str">
        <f t="shared" si="94"/>
        <v>9499</v>
      </c>
      <c r="I1301" t="s">
        <v>31</v>
      </c>
    </row>
    <row r="1302" spans="1:13" x14ac:dyDescent="0.3">
      <c r="A1302" t="str">
        <f>"07098294"</f>
        <v>07098294</v>
      </c>
      <c r="B1302" t="s">
        <v>2872</v>
      </c>
      <c r="C1302" t="str">
        <f t="shared" si="93"/>
        <v>706</v>
      </c>
      <c r="D1302" t="s">
        <v>28</v>
      </c>
      <c r="E1302" t="s">
        <v>52</v>
      </c>
      <c r="F1302" t="s">
        <v>1788</v>
      </c>
      <c r="G1302" t="s">
        <v>1789</v>
      </c>
      <c r="H1302" t="str">
        <f t="shared" si="94"/>
        <v>9499</v>
      </c>
      <c r="I1302" t="s">
        <v>31</v>
      </c>
    </row>
    <row r="1303" spans="1:13" x14ac:dyDescent="0.3">
      <c r="A1303" t="str">
        <f>"44018967"</f>
        <v>44018967</v>
      </c>
      <c r="B1303" t="s">
        <v>2873</v>
      </c>
      <c r="C1303" t="str">
        <f t="shared" si="93"/>
        <v>706</v>
      </c>
      <c r="D1303" t="s">
        <v>28</v>
      </c>
      <c r="E1303" t="s">
        <v>52</v>
      </c>
      <c r="F1303" t="s">
        <v>113</v>
      </c>
      <c r="G1303" t="s">
        <v>2874</v>
      </c>
      <c r="H1303" t="str">
        <f t="shared" si="94"/>
        <v>9499</v>
      </c>
      <c r="I1303" t="s">
        <v>31</v>
      </c>
    </row>
    <row r="1304" spans="1:13" x14ac:dyDescent="0.3">
      <c r="A1304" t="str">
        <f>"05419514"</f>
        <v>05419514</v>
      </c>
      <c r="B1304" t="s">
        <v>2875</v>
      </c>
      <c r="C1304" t="str">
        <f t="shared" si="93"/>
        <v>706</v>
      </c>
      <c r="D1304" t="s">
        <v>28</v>
      </c>
      <c r="E1304" t="s">
        <v>52</v>
      </c>
      <c r="F1304" t="s">
        <v>113</v>
      </c>
      <c r="G1304" t="s">
        <v>570</v>
      </c>
      <c r="H1304" t="str">
        <f t="shared" si="94"/>
        <v>9499</v>
      </c>
      <c r="I1304" t="s">
        <v>31</v>
      </c>
    </row>
    <row r="1305" spans="1:13" x14ac:dyDescent="0.3">
      <c r="A1305" t="str">
        <f>"04671503"</f>
        <v>04671503</v>
      </c>
      <c r="B1305" t="s">
        <v>2876</v>
      </c>
      <c r="C1305" t="str">
        <f t="shared" si="93"/>
        <v>706</v>
      </c>
      <c r="D1305" t="s">
        <v>28</v>
      </c>
      <c r="E1305" t="s">
        <v>29</v>
      </c>
      <c r="F1305" t="s">
        <v>38</v>
      </c>
      <c r="G1305" t="s">
        <v>2877</v>
      </c>
      <c r="H1305" t="str">
        <f t="shared" si="94"/>
        <v>9499</v>
      </c>
      <c r="I1305" t="s">
        <v>31</v>
      </c>
    </row>
    <row r="1306" spans="1:13" x14ac:dyDescent="0.3">
      <c r="A1306" t="str">
        <f>"26660423"</f>
        <v>26660423</v>
      </c>
      <c r="B1306" t="s">
        <v>2878</v>
      </c>
      <c r="C1306" t="str">
        <f t="shared" si="93"/>
        <v>706</v>
      </c>
      <c r="D1306" t="s">
        <v>28</v>
      </c>
      <c r="E1306" t="s">
        <v>83</v>
      </c>
      <c r="F1306" t="s">
        <v>83</v>
      </c>
      <c r="G1306" t="s">
        <v>2879</v>
      </c>
      <c r="H1306" t="str">
        <f>"93110"</f>
        <v>93110</v>
      </c>
      <c r="I1306" t="s">
        <v>92</v>
      </c>
    </row>
    <row r="1307" spans="1:13" x14ac:dyDescent="0.3">
      <c r="A1307" t="str">
        <f>"22855190"</f>
        <v>22855190</v>
      </c>
      <c r="B1307" t="s">
        <v>2880</v>
      </c>
      <c r="C1307" t="str">
        <f t="shared" si="93"/>
        <v>706</v>
      </c>
      <c r="D1307" t="s">
        <v>28</v>
      </c>
      <c r="E1307" t="s">
        <v>23</v>
      </c>
      <c r="F1307" t="s">
        <v>23</v>
      </c>
      <c r="G1307" t="s">
        <v>2881</v>
      </c>
      <c r="H1307" t="str">
        <f>"93120"</f>
        <v>93120</v>
      </c>
      <c r="I1307" t="s">
        <v>54</v>
      </c>
    </row>
    <row r="1308" spans="1:13" x14ac:dyDescent="0.3">
      <c r="A1308" t="str">
        <f>"03263011"</f>
        <v>03263011</v>
      </c>
      <c r="B1308" t="s">
        <v>2882</v>
      </c>
      <c r="C1308" t="str">
        <f t="shared" si="93"/>
        <v>706</v>
      </c>
      <c r="D1308" t="s">
        <v>28</v>
      </c>
      <c r="E1308" t="s">
        <v>23</v>
      </c>
      <c r="F1308" t="s">
        <v>2883</v>
      </c>
      <c r="G1308" t="s">
        <v>2884</v>
      </c>
      <c r="H1308" t="str">
        <f t="shared" ref="H1308:H1319" si="95">"9499"</f>
        <v>9499</v>
      </c>
      <c r="I1308" t="s">
        <v>31</v>
      </c>
    </row>
    <row r="1309" spans="1:13" x14ac:dyDescent="0.3">
      <c r="A1309" t="str">
        <f>"19562217"</f>
        <v>19562217</v>
      </c>
      <c r="B1309" t="s">
        <v>2885</v>
      </c>
      <c r="C1309" t="str">
        <f t="shared" si="93"/>
        <v>706</v>
      </c>
      <c r="D1309" t="s">
        <v>28</v>
      </c>
      <c r="E1309" t="s">
        <v>23</v>
      </c>
      <c r="F1309" t="s">
        <v>24</v>
      </c>
      <c r="G1309" t="s">
        <v>2886</v>
      </c>
      <c r="H1309" t="str">
        <f t="shared" si="95"/>
        <v>9499</v>
      </c>
      <c r="I1309" t="s">
        <v>31</v>
      </c>
      <c r="J1309" t="s">
        <v>500</v>
      </c>
      <c r="K1309" t="s">
        <v>146</v>
      </c>
    </row>
    <row r="1310" spans="1:13" x14ac:dyDescent="0.3">
      <c r="A1310" t="str">
        <f>"26560372"</f>
        <v>26560372</v>
      </c>
      <c r="B1310" t="s">
        <v>2887</v>
      </c>
      <c r="C1310" t="str">
        <f t="shared" si="93"/>
        <v>706</v>
      </c>
      <c r="D1310" t="s">
        <v>28</v>
      </c>
      <c r="E1310" t="s">
        <v>83</v>
      </c>
      <c r="F1310" t="s">
        <v>83</v>
      </c>
      <c r="G1310" t="s">
        <v>2888</v>
      </c>
      <c r="H1310" t="str">
        <f t="shared" si="95"/>
        <v>9499</v>
      </c>
      <c r="I1310" t="s">
        <v>31</v>
      </c>
    </row>
    <row r="1311" spans="1:13" x14ac:dyDescent="0.3">
      <c r="A1311" t="str">
        <f>"22733329"</f>
        <v>22733329</v>
      </c>
      <c r="B1311" t="s">
        <v>2889</v>
      </c>
      <c r="C1311" t="str">
        <f t="shared" si="93"/>
        <v>706</v>
      </c>
      <c r="D1311" t="s">
        <v>28</v>
      </c>
      <c r="E1311" t="s">
        <v>29</v>
      </c>
      <c r="F1311" t="s">
        <v>195</v>
      </c>
      <c r="G1311" t="s">
        <v>2890</v>
      </c>
      <c r="H1311" t="str">
        <f t="shared" si="95"/>
        <v>9499</v>
      </c>
      <c r="I1311" t="s">
        <v>31</v>
      </c>
    </row>
    <row r="1312" spans="1:13" x14ac:dyDescent="0.3">
      <c r="A1312" t="str">
        <f>"23231661"</f>
        <v>23231661</v>
      </c>
      <c r="B1312" t="s">
        <v>2891</v>
      </c>
      <c r="C1312" t="str">
        <f t="shared" si="93"/>
        <v>706</v>
      </c>
      <c r="D1312" t="s">
        <v>28</v>
      </c>
      <c r="E1312" t="s">
        <v>23</v>
      </c>
      <c r="F1312" t="s">
        <v>23</v>
      </c>
      <c r="G1312" t="s">
        <v>2892</v>
      </c>
      <c r="H1312" t="str">
        <f t="shared" si="95"/>
        <v>9499</v>
      </c>
      <c r="I1312" t="s">
        <v>31</v>
      </c>
      <c r="J1312" t="s">
        <v>155</v>
      </c>
      <c r="K1312" t="s">
        <v>2893</v>
      </c>
    </row>
    <row r="1313" spans="1:10" x14ac:dyDescent="0.3">
      <c r="A1313" t="str">
        <f>"28557425"</f>
        <v>28557425</v>
      </c>
      <c r="B1313" t="s">
        <v>2894</v>
      </c>
      <c r="C1313" t="str">
        <f t="shared" si="93"/>
        <v>706</v>
      </c>
      <c r="D1313" t="s">
        <v>28</v>
      </c>
      <c r="E1313" t="s">
        <v>83</v>
      </c>
      <c r="F1313" t="s">
        <v>83</v>
      </c>
      <c r="G1313" t="s">
        <v>2895</v>
      </c>
      <c r="H1313" t="str">
        <f t="shared" si="95"/>
        <v>9499</v>
      </c>
      <c r="I1313" t="s">
        <v>31</v>
      </c>
    </row>
    <row r="1314" spans="1:10" x14ac:dyDescent="0.3">
      <c r="A1314" t="str">
        <f>"26996537"</f>
        <v>26996537</v>
      </c>
      <c r="B1314" t="s">
        <v>2896</v>
      </c>
      <c r="C1314" t="str">
        <f t="shared" si="93"/>
        <v>706</v>
      </c>
      <c r="D1314" t="s">
        <v>28</v>
      </c>
      <c r="E1314" t="s">
        <v>52</v>
      </c>
      <c r="F1314" t="s">
        <v>94</v>
      </c>
      <c r="G1314" t="s">
        <v>2897</v>
      </c>
      <c r="H1314" t="str">
        <f t="shared" si="95"/>
        <v>9499</v>
      </c>
      <c r="I1314" t="s">
        <v>31</v>
      </c>
    </row>
    <row r="1315" spans="1:10" x14ac:dyDescent="0.3">
      <c r="A1315" t="str">
        <f>"01597957"</f>
        <v>01597957</v>
      </c>
      <c r="B1315" t="s">
        <v>2898</v>
      </c>
      <c r="C1315" t="str">
        <f t="shared" si="93"/>
        <v>706</v>
      </c>
      <c r="D1315" t="s">
        <v>28</v>
      </c>
      <c r="E1315" t="s">
        <v>29</v>
      </c>
      <c r="F1315" t="s">
        <v>38</v>
      </c>
      <c r="G1315" t="s">
        <v>2899</v>
      </c>
      <c r="H1315" t="str">
        <f t="shared" si="95"/>
        <v>9499</v>
      </c>
      <c r="I1315" t="s">
        <v>31</v>
      </c>
    </row>
    <row r="1316" spans="1:10" x14ac:dyDescent="0.3">
      <c r="A1316" t="str">
        <f>"22831746"</f>
        <v>22831746</v>
      </c>
      <c r="B1316" t="s">
        <v>2900</v>
      </c>
      <c r="C1316" t="str">
        <f t="shared" si="93"/>
        <v>706</v>
      </c>
      <c r="D1316" t="s">
        <v>28</v>
      </c>
      <c r="E1316" t="s">
        <v>23</v>
      </c>
      <c r="F1316" t="s">
        <v>107</v>
      </c>
      <c r="G1316" t="s">
        <v>2901</v>
      </c>
      <c r="H1316" t="str">
        <f t="shared" si="95"/>
        <v>9499</v>
      </c>
      <c r="I1316" t="s">
        <v>31</v>
      </c>
    </row>
    <row r="1317" spans="1:10" x14ac:dyDescent="0.3">
      <c r="A1317" t="str">
        <f>"01905848"</f>
        <v>01905848</v>
      </c>
      <c r="B1317" t="s">
        <v>2902</v>
      </c>
      <c r="C1317" t="str">
        <f t="shared" si="93"/>
        <v>706</v>
      </c>
      <c r="D1317" t="s">
        <v>28</v>
      </c>
      <c r="E1317" t="s">
        <v>52</v>
      </c>
      <c r="F1317" t="s">
        <v>52</v>
      </c>
      <c r="G1317" t="s">
        <v>2903</v>
      </c>
      <c r="H1317" t="str">
        <f t="shared" si="95"/>
        <v>9499</v>
      </c>
      <c r="I1317" t="s">
        <v>31</v>
      </c>
    </row>
    <row r="1318" spans="1:10" x14ac:dyDescent="0.3">
      <c r="A1318" t="str">
        <f>"01246445"</f>
        <v>01246445</v>
      </c>
      <c r="B1318" t="s">
        <v>2904</v>
      </c>
      <c r="C1318" t="str">
        <f t="shared" si="93"/>
        <v>706</v>
      </c>
      <c r="D1318" t="s">
        <v>28</v>
      </c>
      <c r="E1318" t="s">
        <v>23</v>
      </c>
      <c r="F1318" t="s">
        <v>23</v>
      </c>
      <c r="G1318" t="s">
        <v>2905</v>
      </c>
      <c r="H1318" t="str">
        <f t="shared" si="95"/>
        <v>9499</v>
      </c>
      <c r="I1318" t="s">
        <v>31</v>
      </c>
    </row>
    <row r="1319" spans="1:10" x14ac:dyDescent="0.3">
      <c r="A1319" t="str">
        <f>"70288330"</f>
        <v>70288330</v>
      </c>
      <c r="B1319" t="s">
        <v>2906</v>
      </c>
      <c r="C1319" t="str">
        <f>"736"</f>
        <v>736</v>
      </c>
      <c r="D1319" t="s">
        <v>22</v>
      </c>
      <c r="E1319" t="s">
        <v>23</v>
      </c>
      <c r="F1319" t="s">
        <v>459</v>
      </c>
      <c r="G1319" t="s">
        <v>588</v>
      </c>
      <c r="H1319" t="str">
        <f t="shared" si="95"/>
        <v>9499</v>
      </c>
      <c r="I1319" t="s">
        <v>31</v>
      </c>
    </row>
    <row r="1320" spans="1:10" x14ac:dyDescent="0.3">
      <c r="A1320" t="str">
        <f>"11959860"</f>
        <v>11959860</v>
      </c>
      <c r="B1320" t="s">
        <v>2907</v>
      </c>
      <c r="C1320" t="str">
        <f t="shared" ref="C1320:C1340" si="96">"706"</f>
        <v>706</v>
      </c>
      <c r="D1320" t="s">
        <v>28</v>
      </c>
      <c r="E1320" t="s">
        <v>83</v>
      </c>
      <c r="F1320" t="s">
        <v>83</v>
      </c>
      <c r="G1320" t="s">
        <v>2908</v>
      </c>
      <c r="H1320" t="str">
        <f>"93190"</f>
        <v>93190</v>
      </c>
      <c r="I1320" t="s">
        <v>59</v>
      </c>
    </row>
    <row r="1321" spans="1:10" x14ac:dyDescent="0.3">
      <c r="A1321" t="str">
        <f>"01923528"</f>
        <v>01923528</v>
      </c>
      <c r="B1321" t="s">
        <v>2909</v>
      </c>
      <c r="C1321" t="str">
        <f t="shared" si="96"/>
        <v>706</v>
      </c>
      <c r="D1321" t="s">
        <v>28</v>
      </c>
      <c r="E1321" t="s">
        <v>83</v>
      </c>
      <c r="F1321" t="s">
        <v>183</v>
      </c>
      <c r="G1321" t="s">
        <v>2910</v>
      </c>
      <c r="H1321" t="str">
        <f>"93190"</f>
        <v>93190</v>
      </c>
      <c r="I1321" t="s">
        <v>59</v>
      </c>
    </row>
    <row r="1322" spans="1:10" x14ac:dyDescent="0.3">
      <c r="A1322" t="str">
        <f>"21505551"</f>
        <v>21505551</v>
      </c>
      <c r="B1322" t="s">
        <v>2911</v>
      </c>
      <c r="C1322" t="str">
        <f t="shared" si="96"/>
        <v>706</v>
      </c>
      <c r="D1322" t="s">
        <v>28</v>
      </c>
      <c r="E1322" t="s">
        <v>23</v>
      </c>
      <c r="F1322" t="s">
        <v>99</v>
      </c>
      <c r="G1322" t="s">
        <v>2912</v>
      </c>
      <c r="H1322" t="str">
        <f>"9499"</f>
        <v>9499</v>
      </c>
      <c r="I1322" t="s">
        <v>31</v>
      </c>
    </row>
    <row r="1323" spans="1:10" x14ac:dyDescent="0.3">
      <c r="A1323" t="str">
        <f>"65268041"</f>
        <v>65268041</v>
      </c>
      <c r="B1323" t="s">
        <v>2913</v>
      </c>
      <c r="C1323" t="str">
        <f t="shared" si="96"/>
        <v>706</v>
      </c>
      <c r="D1323" t="s">
        <v>28</v>
      </c>
      <c r="E1323" t="s">
        <v>23</v>
      </c>
      <c r="F1323" t="s">
        <v>68</v>
      </c>
      <c r="G1323" t="s">
        <v>2914</v>
      </c>
      <c r="H1323" t="str">
        <f>"931"</f>
        <v>931</v>
      </c>
      <c r="I1323" t="s">
        <v>26</v>
      </c>
    </row>
    <row r="1324" spans="1:10" x14ac:dyDescent="0.3">
      <c r="A1324" t="str">
        <f>"19292864"</f>
        <v>19292864</v>
      </c>
      <c r="B1324" t="s">
        <v>2915</v>
      </c>
      <c r="C1324" t="str">
        <f t="shared" si="96"/>
        <v>706</v>
      </c>
      <c r="D1324" t="s">
        <v>28</v>
      </c>
      <c r="E1324" t="s">
        <v>52</v>
      </c>
      <c r="F1324" t="s">
        <v>52</v>
      </c>
      <c r="G1324" t="s">
        <v>2916</v>
      </c>
      <c r="H1324" t="str">
        <f>"9499"</f>
        <v>9499</v>
      </c>
      <c r="I1324" t="s">
        <v>31</v>
      </c>
    </row>
    <row r="1325" spans="1:10" x14ac:dyDescent="0.3">
      <c r="A1325" t="str">
        <f>"02877996"</f>
        <v>02877996</v>
      </c>
      <c r="B1325" t="s">
        <v>2917</v>
      </c>
      <c r="C1325" t="str">
        <f t="shared" si="96"/>
        <v>706</v>
      </c>
      <c r="D1325" t="s">
        <v>28</v>
      </c>
      <c r="E1325" t="s">
        <v>23</v>
      </c>
      <c r="F1325" t="s">
        <v>23</v>
      </c>
      <c r="G1325" t="s">
        <v>2918</v>
      </c>
      <c r="H1325" t="str">
        <f>"9499"</f>
        <v>9499</v>
      </c>
      <c r="I1325" t="s">
        <v>31</v>
      </c>
    </row>
    <row r="1326" spans="1:10" x14ac:dyDescent="0.3">
      <c r="A1326" t="str">
        <f>"22827170"</f>
        <v>22827170</v>
      </c>
      <c r="B1326" t="s">
        <v>2919</v>
      </c>
      <c r="C1326" t="str">
        <f t="shared" si="96"/>
        <v>706</v>
      </c>
      <c r="D1326" t="s">
        <v>28</v>
      </c>
      <c r="E1326" t="s">
        <v>83</v>
      </c>
      <c r="F1326" t="s">
        <v>83</v>
      </c>
      <c r="G1326" t="s">
        <v>1083</v>
      </c>
      <c r="H1326" t="str">
        <f>"9499"</f>
        <v>9499</v>
      </c>
      <c r="I1326" t="s">
        <v>31</v>
      </c>
      <c r="J1326" t="s">
        <v>163</v>
      </c>
    </row>
    <row r="1327" spans="1:10" x14ac:dyDescent="0.3">
      <c r="A1327" t="str">
        <f>"02140543"</f>
        <v>02140543</v>
      </c>
      <c r="B1327" t="s">
        <v>2920</v>
      </c>
      <c r="C1327" t="str">
        <f t="shared" si="96"/>
        <v>706</v>
      </c>
      <c r="D1327" t="s">
        <v>28</v>
      </c>
      <c r="E1327" t="s">
        <v>83</v>
      </c>
      <c r="F1327" t="s">
        <v>183</v>
      </c>
      <c r="G1327" t="s">
        <v>2011</v>
      </c>
      <c r="H1327" t="str">
        <f>"94999"</f>
        <v>94999</v>
      </c>
      <c r="I1327" t="s">
        <v>202</v>
      </c>
    </row>
    <row r="1328" spans="1:10" x14ac:dyDescent="0.3">
      <c r="A1328" t="str">
        <f>"08172161"</f>
        <v>08172161</v>
      </c>
      <c r="B1328" t="s">
        <v>2921</v>
      </c>
      <c r="C1328" t="str">
        <f t="shared" si="96"/>
        <v>706</v>
      </c>
      <c r="D1328" t="s">
        <v>28</v>
      </c>
      <c r="E1328" t="s">
        <v>29</v>
      </c>
      <c r="F1328" t="s">
        <v>195</v>
      </c>
      <c r="G1328" t="s">
        <v>2922</v>
      </c>
      <c r="H1328" t="str">
        <f>"9499"</f>
        <v>9499</v>
      </c>
      <c r="I1328" t="s">
        <v>31</v>
      </c>
    </row>
    <row r="1329" spans="1:11" x14ac:dyDescent="0.3">
      <c r="A1329" t="str">
        <f>"22690395"</f>
        <v>22690395</v>
      </c>
      <c r="B1329" t="s">
        <v>2923</v>
      </c>
      <c r="C1329" t="str">
        <f t="shared" si="96"/>
        <v>706</v>
      </c>
      <c r="D1329" t="s">
        <v>28</v>
      </c>
      <c r="E1329" t="s">
        <v>29</v>
      </c>
      <c r="F1329" t="s">
        <v>138</v>
      </c>
      <c r="G1329" t="s">
        <v>2924</v>
      </c>
      <c r="H1329" t="str">
        <f>"9499"</f>
        <v>9499</v>
      </c>
      <c r="I1329" t="s">
        <v>31</v>
      </c>
    </row>
    <row r="1330" spans="1:11" x14ac:dyDescent="0.3">
      <c r="A1330" t="str">
        <f>"22738428"</f>
        <v>22738428</v>
      </c>
      <c r="B1330" t="s">
        <v>2925</v>
      </c>
      <c r="C1330" t="str">
        <f t="shared" si="96"/>
        <v>706</v>
      </c>
      <c r="D1330" t="s">
        <v>28</v>
      </c>
      <c r="E1330" t="s">
        <v>29</v>
      </c>
      <c r="F1330" t="s">
        <v>29</v>
      </c>
      <c r="G1330" t="s">
        <v>2926</v>
      </c>
      <c r="H1330" t="str">
        <f>"9499"</f>
        <v>9499</v>
      </c>
      <c r="I1330" t="s">
        <v>31</v>
      </c>
    </row>
    <row r="1331" spans="1:11" x14ac:dyDescent="0.3">
      <c r="A1331" t="str">
        <f>"08865639"</f>
        <v>08865639</v>
      </c>
      <c r="B1331" t="s">
        <v>2927</v>
      </c>
      <c r="C1331" t="str">
        <f t="shared" si="96"/>
        <v>706</v>
      </c>
      <c r="D1331" t="s">
        <v>28</v>
      </c>
      <c r="E1331" t="s">
        <v>83</v>
      </c>
      <c r="F1331" t="s">
        <v>83</v>
      </c>
      <c r="G1331" t="s">
        <v>2928</v>
      </c>
      <c r="H1331" t="str">
        <f>"9499"</f>
        <v>9499</v>
      </c>
      <c r="I1331" t="s">
        <v>31</v>
      </c>
    </row>
    <row r="1332" spans="1:11" x14ac:dyDescent="0.3">
      <c r="A1332" t="str">
        <f>"22827340"</f>
        <v>22827340</v>
      </c>
      <c r="B1332" t="s">
        <v>2929</v>
      </c>
      <c r="C1332" t="str">
        <f t="shared" si="96"/>
        <v>706</v>
      </c>
      <c r="D1332" t="s">
        <v>28</v>
      </c>
      <c r="E1332" t="s">
        <v>83</v>
      </c>
      <c r="F1332" t="s">
        <v>83</v>
      </c>
      <c r="G1332" t="s">
        <v>2930</v>
      </c>
      <c r="H1332" t="str">
        <f>"93120"</f>
        <v>93120</v>
      </c>
      <c r="I1332" t="s">
        <v>54</v>
      </c>
    </row>
    <row r="1333" spans="1:11" x14ac:dyDescent="0.3">
      <c r="A1333" t="str">
        <f>"27048098"</f>
        <v>27048098</v>
      </c>
      <c r="B1333" t="s">
        <v>2931</v>
      </c>
      <c r="C1333" t="str">
        <f t="shared" si="96"/>
        <v>706</v>
      </c>
      <c r="D1333" t="s">
        <v>28</v>
      </c>
      <c r="E1333" t="s">
        <v>23</v>
      </c>
      <c r="F1333" t="s">
        <v>23</v>
      </c>
      <c r="G1333" t="s">
        <v>2932</v>
      </c>
      <c r="H1333" t="str">
        <f>"93110"</f>
        <v>93110</v>
      </c>
      <c r="I1333" t="s">
        <v>92</v>
      </c>
    </row>
    <row r="1334" spans="1:11" x14ac:dyDescent="0.3">
      <c r="A1334" t="str">
        <f>"26614979"</f>
        <v>26614979</v>
      </c>
      <c r="B1334" t="s">
        <v>2933</v>
      </c>
      <c r="C1334" t="str">
        <f t="shared" si="96"/>
        <v>706</v>
      </c>
      <c r="D1334" t="s">
        <v>28</v>
      </c>
      <c r="E1334" t="s">
        <v>23</v>
      </c>
      <c r="F1334" t="s">
        <v>23</v>
      </c>
      <c r="G1334" t="s">
        <v>2934</v>
      </c>
      <c r="H1334" t="str">
        <f>"93110"</f>
        <v>93110</v>
      </c>
      <c r="I1334" t="s">
        <v>92</v>
      </c>
      <c r="J1334" t="s">
        <v>262</v>
      </c>
      <c r="K1334" t="s">
        <v>162</v>
      </c>
    </row>
    <row r="1335" spans="1:11" x14ac:dyDescent="0.3">
      <c r="A1335" t="str">
        <f>"27025306"</f>
        <v>27025306</v>
      </c>
      <c r="B1335" t="s">
        <v>2935</v>
      </c>
      <c r="C1335" t="str">
        <f t="shared" si="96"/>
        <v>706</v>
      </c>
      <c r="D1335" t="s">
        <v>28</v>
      </c>
      <c r="E1335" t="s">
        <v>52</v>
      </c>
      <c r="F1335" t="s">
        <v>334</v>
      </c>
      <c r="G1335" t="s">
        <v>2936</v>
      </c>
      <c r="H1335" t="str">
        <f>"93120"</f>
        <v>93120</v>
      </c>
      <c r="I1335" t="s">
        <v>54</v>
      </c>
    </row>
    <row r="1336" spans="1:11" x14ac:dyDescent="0.3">
      <c r="A1336" t="str">
        <f>"21150443"</f>
        <v>21150443</v>
      </c>
      <c r="B1336" t="s">
        <v>2937</v>
      </c>
      <c r="C1336" t="str">
        <f t="shared" si="96"/>
        <v>706</v>
      </c>
      <c r="D1336" t="s">
        <v>28</v>
      </c>
      <c r="E1336" t="s">
        <v>29</v>
      </c>
      <c r="F1336" t="s">
        <v>29</v>
      </c>
      <c r="G1336" t="s">
        <v>2938</v>
      </c>
      <c r="H1336" t="str">
        <f>"93190"</f>
        <v>93190</v>
      </c>
      <c r="I1336" t="s">
        <v>59</v>
      </c>
      <c r="J1336" t="s">
        <v>54</v>
      </c>
    </row>
    <row r="1337" spans="1:11" x14ac:dyDescent="0.3">
      <c r="A1337" t="str">
        <f>"01365738"</f>
        <v>01365738</v>
      </c>
      <c r="B1337" t="s">
        <v>2939</v>
      </c>
      <c r="C1337" t="str">
        <f t="shared" si="96"/>
        <v>706</v>
      </c>
      <c r="D1337" t="s">
        <v>28</v>
      </c>
      <c r="E1337" t="s">
        <v>29</v>
      </c>
      <c r="F1337" t="s">
        <v>195</v>
      </c>
      <c r="G1337" t="s">
        <v>2940</v>
      </c>
      <c r="H1337" t="str">
        <f>"93190"</f>
        <v>93190</v>
      </c>
      <c r="I1337" t="s">
        <v>59</v>
      </c>
    </row>
    <row r="1338" spans="1:11" x14ac:dyDescent="0.3">
      <c r="A1338" t="str">
        <f>"70281670"</f>
        <v>70281670</v>
      </c>
      <c r="B1338" t="s">
        <v>2941</v>
      </c>
      <c r="C1338" t="str">
        <f t="shared" si="96"/>
        <v>706</v>
      </c>
      <c r="D1338" t="s">
        <v>28</v>
      </c>
      <c r="E1338" t="s">
        <v>23</v>
      </c>
      <c r="F1338" t="s">
        <v>23</v>
      </c>
      <c r="G1338" t="s">
        <v>2942</v>
      </c>
      <c r="H1338" t="str">
        <f>"93120"</f>
        <v>93120</v>
      </c>
      <c r="I1338" t="s">
        <v>54</v>
      </c>
    </row>
    <row r="1339" spans="1:11" x14ac:dyDescent="0.3">
      <c r="A1339" t="str">
        <f>"26577691"</f>
        <v>26577691</v>
      </c>
      <c r="B1339" t="s">
        <v>2943</v>
      </c>
      <c r="C1339" t="str">
        <f t="shared" si="96"/>
        <v>706</v>
      </c>
      <c r="D1339" t="s">
        <v>28</v>
      </c>
      <c r="E1339" t="s">
        <v>83</v>
      </c>
      <c r="F1339" t="s">
        <v>183</v>
      </c>
      <c r="G1339" t="s">
        <v>2944</v>
      </c>
      <c r="H1339" t="str">
        <f>"93120"</f>
        <v>93120</v>
      </c>
      <c r="I1339" t="s">
        <v>54</v>
      </c>
    </row>
    <row r="1340" spans="1:11" x14ac:dyDescent="0.3">
      <c r="A1340" t="str">
        <f>"05220190"</f>
        <v>05220190</v>
      </c>
      <c r="B1340" t="s">
        <v>2945</v>
      </c>
      <c r="C1340" t="str">
        <f t="shared" si="96"/>
        <v>706</v>
      </c>
      <c r="D1340" t="s">
        <v>28</v>
      </c>
      <c r="E1340" t="s">
        <v>52</v>
      </c>
      <c r="F1340" t="s">
        <v>379</v>
      </c>
      <c r="G1340" t="s">
        <v>2946</v>
      </c>
      <c r="H1340" t="str">
        <f>"9499"</f>
        <v>9499</v>
      </c>
      <c r="I1340" t="s">
        <v>31</v>
      </c>
    </row>
    <row r="1341" spans="1:11" x14ac:dyDescent="0.3">
      <c r="A1341" t="str">
        <f>"26229315"</f>
        <v>26229315</v>
      </c>
      <c r="B1341" t="s">
        <v>2947</v>
      </c>
      <c r="C1341" t="str">
        <f>"118"</f>
        <v>118</v>
      </c>
      <c r="D1341" t="s">
        <v>337</v>
      </c>
      <c r="E1341" t="s">
        <v>23</v>
      </c>
      <c r="F1341" t="s">
        <v>23</v>
      </c>
      <c r="G1341" t="s">
        <v>2948</v>
      </c>
      <c r="H1341" t="str">
        <f>"9499"</f>
        <v>9499</v>
      </c>
      <c r="I1341" t="s">
        <v>31</v>
      </c>
    </row>
    <row r="1342" spans="1:11" x14ac:dyDescent="0.3">
      <c r="A1342" t="str">
        <f>"22611584"</f>
        <v>22611584</v>
      </c>
      <c r="B1342" t="s">
        <v>2949</v>
      </c>
      <c r="C1342" t="str">
        <f t="shared" ref="C1342:C1352" si="97">"706"</f>
        <v>706</v>
      </c>
      <c r="D1342" t="s">
        <v>28</v>
      </c>
      <c r="E1342" t="s">
        <v>23</v>
      </c>
      <c r="F1342" t="s">
        <v>975</v>
      </c>
      <c r="G1342" t="s">
        <v>2950</v>
      </c>
      <c r="H1342" t="str">
        <f>"94996"</f>
        <v>94996</v>
      </c>
      <c r="I1342" t="s">
        <v>47</v>
      </c>
    </row>
    <row r="1343" spans="1:11" x14ac:dyDescent="0.3">
      <c r="A1343" t="str">
        <f>"26545446"</f>
        <v>26545446</v>
      </c>
      <c r="B1343" t="s">
        <v>2951</v>
      </c>
      <c r="C1343" t="str">
        <f t="shared" si="97"/>
        <v>706</v>
      </c>
      <c r="D1343" t="s">
        <v>28</v>
      </c>
      <c r="E1343" t="s">
        <v>83</v>
      </c>
      <c r="F1343" t="s">
        <v>83</v>
      </c>
      <c r="G1343" t="s">
        <v>2952</v>
      </c>
      <c r="H1343" t="str">
        <f>"9499"</f>
        <v>9499</v>
      </c>
      <c r="I1343" t="s">
        <v>31</v>
      </c>
    </row>
    <row r="1344" spans="1:11" x14ac:dyDescent="0.3">
      <c r="A1344" t="str">
        <f>"26563622"</f>
        <v>26563622</v>
      </c>
      <c r="B1344" t="s">
        <v>2953</v>
      </c>
      <c r="C1344" t="str">
        <f t="shared" si="97"/>
        <v>706</v>
      </c>
      <c r="D1344" t="s">
        <v>28</v>
      </c>
      <c r="E1344" t="s">
        <v>52</v>
      </c>
      <c r="F1344" t="s">
        <v>52</v>
      </c>
      <c r="G1344" t="s">
        <v>2954</v>
      </c>
      <c r="H1344" t="str">
        <f>"9499"</f>
        <v>9499</v>
      </c>
      <c r="I1344" t="s">
        <v>31</v>
      </c>
    </row>
    <row r="1345" spans="1:10" x14ac:dyDescent="0.3">
      <c r="A1345" t="str">
        <f>"26517418"</f>
        <v>26517418</v>
      </c>
      <c r="B1345" t="s">
        <v>2955</v>
      </c>
      <c r="C1345" t="str">
        <f t="shared" si="97"/>
        <v>706</v>
      </c>
      <c r="D1345" t="s">
        <v>28</v>
      </c>
      <c r="E1345" t="s">
        <v>52</v>
      </c>
      <c r="F1345" t="s">
        <v>52</v>
      </c>
      <c r="G1345" t="s">
        <v>2956</v>
      </c>
      <c r="H1345" t="str">
        <f>"9499"</f>
        <v>9499</v>
      </c>
      <c r="I1345" t="s">
        <v>31</v>
      </c>
    </row>
    <row r="1346" spans="1:10" x14ac:dyDescent="0.3">
      <c r="A1346" t="str">
        <f>"68731698"</f>
        <v>68731698</v>
      </c>
      <c r="B1346" t="s">
        <v>2957</v>
      </c>
      <c r="C1346" t="str">
        <f t="shared" si="97"/>
        <v>706</v>
      </c>
      <c r="D1346" t="s">
        <v>28</v>
      </c>
      <c r="E1346" t="s">
        <v>23</v>
      </c>
      <c r="F1346" t="s">
        <v>23</v>
      </c>
      <c r="G1346" t="s">
        <v>2958</v>
      </c>
      <c r="H1346" t="str">
        <f>"9499"</f>
        <v>9499</v>
      </c>
      <c r="I1346" t="s">
        <v>31</v>
      </c>
    </row>
    <row r="1347" spans="1:10" x14ac:dyDescent="0.3">
      <c r="A1347" t="str">
        <f>"22909044"</f>
        <v>22909044</v>
      </c>
      <c r="B1347" t="s">
        <v>2959</v>
      </c>
      <c r="C1347" t="str">
        <f t="shared" si="97"/>
        <v>706</v>
      </c>
      <c r="D1347" t="s">
        <v>28</v>
      </c>
      <c r="E1347" t="s">
        <v>23</v>
      </c>
      <c r="F1347" t="s">
        <v>24</v>
      </c>
      <c r="G1347" t="s">
        <v>2960</v>
      </c>
      <c r="H1347" t="str">
        <f>"94993"</f>
        <v>94993</v>
      </c>
      <c r="I1347" t="s">
        <v>50</v>
      </c>
    </row>
    <row r="1348" spans="1:10" x14ac:dyDescent="0.3">
      <c r="A1348" t="str">
        <f>"08174610"</f>
        <v>08174610</v>
      </c>
      <c r="B1348" t="s">
        <v>2961</v>
      </c>
      <c r="C1348" t="str">
        <f t="shared" si="97"/>
        <v>706</v>
      </c>
      <c r="D1348" t="s">
        <v>28</v>
      </c>
      <c r="E1348" t="s">
        <v>52</v>
      </c>
      <c r="F1348" t="s">
        <v>52</v>
      </c>
      <c r="G1348" t="s">
        <v>2962</v>
      </c>
      <c r="H1348" t="str">
        <f>"93190"</f>
        <v>93190</v>
      </c>
      <c r="I1348" t="s">
        <v>59</v>
      </c>
    </row>
    <row r="1349" spans="1:10" x14ac:dyDescent="0.3">
      <c r="A1349" t="str">
        <f>"07648235"</f>
        <v>07648235</v>
      </c>
      <c r="B1349" t="s">
        <v>2963</v>
      </c>
      <c r="C1349" t="str">
        <f t="shared" si="97"/>
        <v>706</v>
      </c>
      <c r="D1349" t="s">
        <v>28</v>
      </c>
      <c r="E1349" t="s">
        <v>23</v>
      </c>
      <c r="F1349" t="s">
        <v>24</v>
      </c>
      <c r="G1349" t="s">
        <v>2964</v>
      </c>
      <c r="H1349" t="str">
        <f>"93190"</f>
        <v>93190</v>
      </c>
      <c r="I1349" t="s">
        <v>59</v>
      </c>
    </row>
    <row r="1350" spans="1:10" x14ac:dyDescent="0.3">
      <c r="A1350" t="str">
        <f>"47934638"</f>
        <v>47934638</v>
      </c>
      <c r="B1350" t="s">
        <v>2965</v>
      </c>
      <c r="C1350" t="str">
        <f t="shared" si="97"/>
        <v>706</v>
      </c>
      <c r="D1350" t="s">
        <v>28</v>
      </c>
      <c r="E1350" t="s">
        <v>83</v>
      </c>
      <c r="F1350" t="s">
        <v>537</v>
      </c>
      <c r="G1350" t="s">
        <v>2966</v>
      </c>
      <c r="H1350" t="str">
        <f>"93110"</f>
        <v>93110</v>
      </c>
      <c r="I1350" t="s">
        <v>92</v>
      </c>
    </row>
    <row r="1351" spans="1:10" x14ac:dyDescent="0.3">
      <c r="A1351" t="str">
        <f>"21850305"</f>
        <v>21850305</v>
      </c>
      <c r="B1351" t="s">
        <v>2967</v>
      </c>
      <c r="C1351" t="str">
        <f t="shared" si="97"/>
        <v>706</v>
      </c>
      <c r="D1351" t="s">
        <v>28</v>
      </c>
      <c r="E1351" t="s">
        <v>29</v>
      </c>
      <c r="F1351" t="s">
        <v>195</v>
      </c>
      <c r="G1351" t="s">
        <v>2968</v>
      </c>
      <c r="H1351" t="str">
        <f>"93120"</f>
        <v>93120</v>
      </c>
      <c r="I1351" t="s">
        <v>54</v>
      </c>
    </row>
    <row r="1352" spans="1:10" x14ac:dyDescent="0.3">
      <c r="A1352" t="str">
        <f>"26983761"</f>
        <v>26983761</v>
      </c>
      <c r="B1352" t="s">
        <v>2969</v>
      </c>
      <c r="C1352" t="str">
        <f t="shared" si="97"/>
        <v>706</v>
      </c>
      <c r="D1352" t="s">
        <v>28</v>
      </c>
      <c r="E1352" t="s">
        <v>23</v>
      </c>
      <c r="F1352" t="s">
        <v>23</v>
      </c>
      <c r="G1352" t="s">
        <v>2970</v>
      </c>
      <c r="H1352" t="str">
        <f>"9499"</f>
        <v>9499</v>
      </c>
      <c r="I1352" t="s">
        <v>31</v>
      </c>
    </row>
    <row r="1353" spans="1:10" x14ac:dyDescent="0.3">
      <c r="A1353" t="str">
        <f>"02557631"</f>
        <v>02557631</v>
      </c>
      <c r="B1353" t="s">
        <v>2971</v>
      </c>
      <c r="C1353" t="str">
        <f>"141"</f>
        <v>141</v>
      </c>
      <c r="D1353" t="s">
        <v>112</v>
      </c>
      <c r="E1353" t="s">
        <v>29</v>
      </c>
      <c r="F1353" t="s">
        <v>29</v>
      </c>
      <c r="G1353" t="s">
        <v>1365</v>
      </c>
      <c r="H1353" t="str">
        <f>"9002"</f>
        <v>9002</v>
      </c>
      <c r="I1353" t="s">
        <v>163</v>
      </c>
      <c r="J1353" t="s">
        <v>2972</v>
      </c>
    </row>
    <row r="1354" spans="1:10" x14ac:dyDescent="0.3">
      <c r="A1354" t="str">
        <f>"08614873"</f>
        <v>08614873</v>
      </c>
      <c r="B1354" t="s">
        <v>2973</v>
      </c>
      <c r="C1354" t="str">
        <f>"706"</f>
        <v>706</v>
      </c>
      <c r="D1354" t="s">
        <v>28</v>
      </c>
      <c r="E1354" t="s">
        <v>23</v>
      </c>
      <c r="F1354" t="s">
        <v>23</v>
      </c>
      <c r="G1354" t="s">
        <v>2974</v>
      </c>
      <c r="H1354" t="str">
        <f>"9499"</f>
        <v>9499</v>
      </c>
      <c r="I1354" t="s">
        <v>31</v>
      </c>
    </row>
    <row r="1355" spans="1:10" x14ac:dyDescent="0.3">
      <c r="A1355" t="str">
        <f>"23175435"</f>
        <v>23175435</v>
      </c>
      <c r="B1355" t="s">
        <v>2975</v>
      </c>
      <c r="C1355" t="str">
        <f>"706"</f>
        <v>706</v>
      </c>
      <c r="D1355" t="s">
        <v>28</v>
      </c>
      <c r="E1355" t="s">
        <v>83</v>
      </c>
      <c r="F1355" t="s">
        <v>2674</v>
      </c>
      <c r="G1355" t="s">
        <v>2976</v>
      </c>
      <c r="H1355" t="str">
        <f>"9499"</f>
        <v>9499</v>
      </c>
      <c r="I1355" t="s">
        <v>31</v>
      </c>
    </row>
    <row r="1356" spans="1:10" x14ac:dyDescent="0.3">
      <c r="A1356" t="str">
        <f>"07749775"</f>
        <v>07749775</v>
      </c>
      <c r="B1356" t="s">
        <v>2977</v>
      </c>
      <c r="C1356" t="str">
        <f>"118"</f>
        <v>118</v>
      </c>
      <c r="D1356" t="s">
        <v>337</v>
      </c>
      <c r="E1356" t="s">
        <v>29</v>
      </c>
      <c r="F1356" t="s">
        <v>29</v>
      </c>
      <c r="G1356" t="s">
        <v>2978</v>
      </c>
      <c r="H1356" t="str">
        <f>"94991"</f>
        <v>94991</v>
      </c>
      <c r="I1356" t="s">
        <v>433</v>
      </c>
    </row>
    <row r="1357" spans="1:10" x14ac:dyDescent="0.3">
      <c r="A1357" t="str">
        <f>"04596439"</f>
        <v>04596439</v>
      </c>
      <c r="B1357" t="s">
        <v>2979</v>
      </c>
      <c r="C1357" t="str">
        <f t="shared" ref="C1357:C1420" si="98">"706"</f>
        <v>706</v>
      </c>
      <c r="D1357" t="s">
        <v>28</v>
      </c>
      <c r="E1357" t="s">
        <v>29</v>
      </c>
      <c r="F1357" t="s">
        <v>775</v>
      </c>
      <c r="G1357" t="s">
        <v>2980</v>
      </c>
      <c r="H1357" t="str">
        <f>"9499"</f>
        <v>9499</v>
      </c>
      <c r="I1357" t="s">
        <v>31</v>
      </c>
    </row>
    <row r="1358" spans="1:10" x14ac:dyDescent="0.3">
      <c r="A1358" t="str">
        <f>"70283117"</f>
        <v>70283117</v>
      </c>
      <c r="B1358" t="s">
        <v>2981</v>
      </c>
      <c r="C1358" t="str">
        <f t="shared" si="98"/>
        <v>706</v>
      </c>
      <c r="D1358" t="s">
        <v>28</v>
      </c>
      <c r="E1358" t="s">
        <v>23</v>
      </c>
      <c r="F1358" t="s">
        <v>975</v>
      </c>
      <c r="G1358" t="s">
        <v>2982</v>
      </c>
      <c r="H1358" t="str">
        <f>"9499"</f>
        <v>9499</v>
      </c>
      <c r="I1358" t="s">
        <v>31</v>
      </c>
    </row>
    <row r="1359" spans="1:10" x14ac:dyDescent="0.3">
      <c r="A1359" t="str">
        <f>"22817204"</f>
        <v>22817204</v>
      </c>
      <c r="B1359" t="s">
        <v>2983</v>
      </c>
      <c r="C1359" t="str">
        <f t="shared" si="98"/>
        <v>706</v>
      </c>
      <c r="D1359" t="s">
        <v>28</v>
      </c>
      <c r="E1359" t="s">
        <v>23</v>
      </c>
      <c r="F1359" t="s">
        <v>99</v>
      </c>
      <c r="G1359" t="s">
        <v>2984</v>
      </c>
      <c r="H1359" t="str">
        <f>"93120"</f>
        <v>93120</v>
      </c>
      <c r="I1359" t="s">
        <v>54</v>
      </c>
    </row>
    <row r="1360" spans="1:10" x14ac:dyDescent="0.3">
      <c r="A1360" t="str">
        <f>"22899766"</f>
        <v>22899766</v>
      </c>
      <c r="B1360" t="s">
        <v>2985</v>
      </c>
      <c r="C1360" t="str">
        <f t="shared" si="98"/>
        <v>706</v>
      </c>
      <c r="D1360" t="s">
        <v>28</v>
      </c>
      <c r="E1360" t="s">
        <v>29</v>
      </c>
      <c r="F1360" t="s">
        <v>117</v>
      </c>
      <c r="G1360" t="s">
        <v>2986</v>
      </c>
      <c r="H1360" t="str">
        <f>"9499"</f>
        <v>9499</v>
      </c>
      <c r="I1360" t="s">
        <v>31</v>
      </c>
    </row>
    <row r="1361" spans="1:11" x14ac:dyDescent="0.3">
      <c r="A1361" t="str">
        <f>"08213879"</f>
        <v>08213879</v>
      </c>
      <c r="B1361" t="s">
        <v>2987</v>
      </c>
      <c r="C1361" t="str">
        <f t="shared" si="98"/>
        <v>706</v>
      </c>
      <c r="D1361" t="s">
        <v>28</v>
      </c>
      <c r="E1361" t="s">
        <v>29</v>
      </c>
      <c r="F1361" t="s">
        <v>1796</v>
      </c>
      <c r="G1361" t="s">
        <v>2988</v>
      </c>
      <c r="H1361" t="str">
        <f>"94995"</f>
        <v>94995</v>
      </c>
      <c r="I1361" t="s">
        <v>232</v>
      </c>
    </row>
    <row r="1362" spans="1:11" x14ac:dyDescent="0.3">
      <c r="A1362" t="str">
        <f>"08888299"</f>
        <v>08888299</v>
      </c>
      <c r="B1362" t="s">
        <v>2989</v>
      </c>
      <c r="C1362" t="str">
        <f t="shared" si="98"/>
        <v>706</v>
      </c>
      <c r="D1362" t="s">
        <v>28</v>
      </c>
      <c r="E1362" t="s">
        <v>23</v>
      </c>
      <c r="F1362" t="s">
        <v>1418</v>
      </c>
      <c r="G1362" t="s">
        <v>2990</v>
      </c>
      <c r="H1362" t="str">
        <f>"9499"</f>
        <v>9499</v>
      </c>
      <c r="I1362" t="s">
        <v>31</v>
      </c>
    </row>
    <row r="1363" spans="1:11" x14ac:dyDescent="0.3">
      <c r="A1363" t="str">
        <f>"08625042"</f>
        <v>08625042</v>
      </c>
      <c r="B1363" t="s">
        <v>2991</v>
      </c>
      <c r="C1363" t="str">
        <f t="shared" si="98"/>
        <v>706</v>
      </c>
      <c r="D1363" t="s">
        <v>28</v>
      </c>
      <c r="E1363" t="s">
        <v>83</v>
      </c>
      <c r="F1363" t="s">
        <v>83</v>
      </c>
      <c r="G1363" t="s">
        <v>2992</v>
      </c>
      <c r="H1363" t="str">
        <f>"9499"</f>
        <v>9499</v>
      </c>
      <c r="I1363" t="s">
        <v>31</v>
      </c>
    </row>
    <row r="1364" spans="1:11" x14ac:dyDescent="0.3">
      <c r="A1364" t="str">
        <f>"26665794"</f>
        <v>26665794</v>
      </c>
      <c r="B1364" t="s">
        <v>2993</v>
      </c>
      <c r="C1364" t="str">
        <f t="shared" si="98"/>
        <v>706</v>
      </c>
      <c r="D1364" t="s">
        <v>28</v>
      </c>
      <c r="E1364" t="s">
        <v>83</v>
      </c>
      <c r="F1364" t="s">
        <v>881</v>
      </c>
      <c r="G1364" t="s">
        <v>2994</v>
      </c>
      <c r="H1364" t="str">
        <f>"9499"</f>
        <v>9499</v>
      </c>
      <c r="I1364" t="s">
        <v>31</v>
      </c>
    </row>
    <row r="1365" spans="1:11" x14ac:dyDescent="0.3">
      <c r="A1365" t="str">
        <f>"49157582"</f>
        <v>49157582</v>
      </c>
      <c r="B1365" t="s">
        <v>2995</v>
      </c>
      <c r="C1365" t="str">
        <f t="shared" si="98"/>
        <v>706</v>
      </c>
      <c r="D1365" t="s">
        <v>28</v>
      </c>
      <c r="E1365" t="s">
        <v>23</v>
      </c>
      <c r="F1365" t="s">
        <v>23</v>
      </c>
      <c r="G1365" t="s">
        <v>2996</v>
      </c>
      <c r="H1365" t="str">
        <f>"93120"</f>
        <v>93120</v>
      </c>
      <c r="I1365" t="s">
        <v>54</v>
      </c>
    </row>
    <row r="1366" spans="1:11" x14ac:dyDescent="0.3">
      <c r="A1366" t="str">
        <f>"46531378"</f>
        <v>46531378</v>
      </c>
      <c r="B1366" t="s">
        <v>2997</v>
      </c>
      <c r="C1366" t="str">
        <f t="shared" si="98"/>
        <v>706</v>
      </c>
      <c r="D1366" t="s">
        <v>28</v>
      </c>
      <c r="E1366" t="s">
        <v>29</v>
      </c>
      <c r="F1366" t="s">
        <v>45</v>
      </c>
      <c r="G1366" t="s">
        <v>2998</v>
      </c>
      <c r="H1366" t="str">
        <f>"93120"</f>
        <v>93120</v>
      </c>
      <c r="I1366" t="s">
        <v>54</v>
      </c>
    </row>
    <row r="1367" spans="1:11" x14ac:dyDescent="0.3">
      <c r="A1367" t="str">
        <f>"22770267"</f>
        <v>22770267</v>
      </c>
      <c r="B1367" t="s">
        <v>2999</v>
      </c>
      <c r="C1367" t="str">
        <f t="shared" si="98"/>
        <v>706</v>
      </c>
      <c r="D1367" t="s">
        <v>28</v>
      </c>
      <c r="E1367" t="s">
        <v>23</v>
      </c>
      <c r="F1367" t="s">
        <v>23</v>
      </c>
      <c r="G1367" t="s">
        <v>3000</v>
      </c>
      <c r="H1367" t="str">
        <f>"93110"</f>
        <v>93110</v>
      </c>
      <c r="I1367" t="s">
        <v>92</v>
      </c>
    </row>
    <row r="1368" spans="1:11" x14ac:dyDescent="0.3">
      <c r="A1368" t="str">
        <f>"46277633"</f>
        <v>46277633</v>
      </c>
      <c r="B1368" t="s">
        <v>3001</v>
      </c>
      <c r="C1368" t="str">
        <f t="shared" si="98"/>
        <v>706</v>
      </c>
      <c r="D1368" t="s">
        <v>28</v>
      </c>
      <c r="E1368" t="s">
        <v>23</v>
      </c>
      <c r="F1368" t="s">
        <v>23</v>
      </c>
      <c r="G1368" t="s">
        <v>3002</v>
      </c>
      <c r="H1368" t="str">
        <f>"9499"</f>
        <v>9499</v>
      </c>
      <c r="I1368" t="s">
        <v>31</v>
      </c>
      <c r="J1368" t="s">
        <v>498</v>
      </c>
      <c r="K1368" t="s">
        <v>1134</v>
      </c>
    </row>
    <row r="1369" spans="1:11" x14ac:dyDescent="0.3">
      <c r="A1369" t="str">
        <f>"08650811"</f>
        <v>08650811</v>
      </c>
      <c r="B1369" t="s">
        <v>3003</v>
      </c>
      <c r="C1369" t="str">
        <f t="shared" si="98"/>
        <v>706</v>
      </c>
      <c r="D1369" t="s">
        <v>28</v>
      </c>
      <c r="E1369" t="s">
        <v>29</v>
      </c>
      <c r="F1369" t="s">
        <v>29</v>
      </c>
      <c r="G1369" t="s">
        <v>3004</v>
      </c>
      <c r="H1369" t="str">
        <f>"94993"</f>
        <v>94993</v>
      </c>
      <c r="I1369" t="s">
        <v>50</v>
      </c>
    </row>
    <row r="1370" spans="1:11" x14ac:dyDescent="0.3">
      <c r="A1370" t="str">
        <f>"26645351"</f>
        <v>26645351</v>
      </c>
      <c r="B1370" t="s">
        <v>3005</v>
      </c>
      <c r="C1370" t="str">
        <f t="shared" si="98"/>
        <v>706</v>
      </c>
      <c r="D1370" t="s">
        <v>28</v>
      </c>
      <c r="E1370" t="s">
        <v>52</v>
      </c>
      <c r="F1370" t="s">
        <v>234</v>
      </c>
      <c r="G1370" t="s">
        <v>3006</v>
      </c>
      <c r="H1370" t="str">
        <f>"9499"</f>
        <v>9499</v>
      </c>
      <c r="I1370" t="s">
        <v>31</v>
      </c>
    </row>
    <row r="1371" spans="1:11" x14ac:dyDescent="0.3">
      <c r="A1371" t="str">
        <f>"26634163"</f>
        <v>26634163</v>
      </c>
      <c r="B1371" t="s">
        <v>3007</v>
      </c>
      <c r="C1371" t="str">
        <f t="shared" si="98"/>
        <v>706</v>
      </c>
      <c r="D1371" t="s">
        <v>28</v>
      </c>
      <c r="E1371" t="s">
        <v>83</v>
      </c>
      <c r="F1371" t="s">
        <v>537</v>
      </c>
      <c r="G1371" t="s">
        <v>3008</v>
      </c>
      <c r="H1371" t="str">
        <f>"9499"</f>
        <v>9499</v>
      </c>
      <c r="I1371" t="s">
        <v>31</v>
      </c>
    </row>
    <row r="1372" spans="1:11" x14ac:dyDescent="0.3">
      <c r="A1372" t="str">
        <f>"22737502"</f>
        <v>22737502</v>
      </c>
      <c r="B1372" t="s">
        <v>3009</v>
      </c>
      <c r="C1372" t="str">
        <f t="shared" si="98"/>
        <v>706</v>
      </c>
      <c r="D1372" t="s">
        <v>28</v>
      </c>
      <c r="E1372" t="s">
        <v>29</v>
      </c>
      <c r="F1372" t="s">
        <v>38</v>
      </c>
      <c r="G1372" t="s">
        <v>3010</v>
      </c>
      <c r="H1372" t="str">
        <f>"94993"</f>
        <v>94993</v>
      </c>
      <c r="I1372" t="s">
        <v>50</v>
      </c>
    </row>
    <row r="1373" spans="1:11" x14ac:dyDescent="0.3">
      <c r="A1373" t="str">
        <f>"27055701"</f>
        <v>27055701</v>
      </c>
      <c r="B1373" t="s">
        <v>3011</v>
      </c>
      <c r="C1373" t="str">
        <f t="shared" si="98"/>
        <v>706</v>
      </c>
      <c r="D1373" t="s">
        <v>28</v>
      </c>
      <c r="E1373" t="s">
        <v>52</v>
      </c>
      <c r="F1373" t="s">
        <v>52</v>
      </c>
      <c r="G1373" t="s">
        <v>3012</v>
      </c>
      <c r="H1373" t="str">
        <f>"9499"</f>
        <v>9499</v>
      </c>
      <c r="I1373" t="s">
        <v>31</v>
      </c>
    </row>
    <row r="1374" spans="1:11" x14ac:dyDescent="0.3">
      <c r="A1374" t="str">
        <f>"08728071"</f>
        <v>08728071</v>
      </c>
      <c r="B1374" t="s">
        <v>3013</v>
      </c>
      <c r="C1374" t="str">
        <f t="shared" si="98"/>
        <v>706</v>
      </c>
      <c r="D1374" t="s">
        <v>28</v>
      </c>
      <c r="E1374" t="s">
        <v>29</v>
      </c>
      <c r="F1374" t="s">
        <v>38</v>
      </c>
      <c r="G1374" t="s">
        <v>3014</v>
      </c>
      <c r="H1374" t="str">
        <f>"9499"</f>
        <v>9499</v>
      </c>
      <c r="I1374" t="s">
        <v>31</v>
      </c>
    </row>
    <row r="1375" spans="1:11" x14ac:dyDescent="0.3">
      <c r="A1375" t="str">
        <f>"26670321"</f>
        <v>26670321</v>
      </c>
      <c r="B1375" t="s">
        <v>3015</v>
      </c>
      <c r="C1375" t="str">
        <f t="shared" si="98"/>
        <v>706</v>
      </c>
      <c r="D1375" t="s">
        <v>28</v>
      </c>
      <c r="E1375" t="s">
        <v>83</v>
      </c>
      <c r="F1375" t="s">
        <v>83</v>
      </c>
      <c r="G1375" t="s">
        <v>3016</v>
      </c>
      <c r="H1375" t="str">
        <f>"9499"</f>
        <v>9499</v>
      </c>
      <c r="I1375" t="s">
        <v>31</v>
      </c>
    </row>
    <row r="1376" spans="1:11" x14ac:dyDescent="0.3">
      <c r="A1376" t="str">
        <f>"22604839"</f>
        <v>22604839</v>
      </c>
      <c r="B1376" t="s">
        <v>3017</v>
      </c>
      <c r="C1376" t="str">
        <f t="shared" si="98"/>
        <v>706</v>
      </c>
      <c r="D1376" t="s">
        <v>28</v>
      </c>
      <c r="E1376" t="s">
        <v>29</v>
      </c>
      <c r="F1376" t="s">
        <v>195</v>
      </c>
      <c r="G1376" t="s">
        <v>3018</v>
      </c>
      <c r="H1376" t="str">
        <f>"9499"</f>
        <v>9499</v>
      </c>
      <c r="I1376" t="s">
        <v>31</v>
      </c>
    </row>
    <row r="1377" spans="1:9" x14ac:dyDescent="0.3">
      <c r="A1377" t="str">
        <f>"26556847"</f>
        <v>26556847</v>
      </c>
      <c r="B1377" t="s">
        <v>3019</v>
      </c>
      <c r="C1377" t="str">
        <f t="shared" si="98"/>
        <v>706</v>
      </c>
      <c r="D1377" t="s">
        <v>28</v>
      </c>
      <c r="E1377" t="s">
        <v>29</v>
      </c>
      <c r="F1377" t="s">
        <v>195</v>
      </c>
      <c r="G1377" t="s">
        <v>3020</v>
      </c>
      <c r="H1377" t="str">
        <f>"94999"</f>
        <v>94999</v>
      </c>
      <c r="I1377" t="s">
        <v>202</v>
      </c>
    </row>
    <row r="1378" spans="1:9" x14ac:dyDescent="0.3">
      <c r="A1378" t="str">
        <f>"22717684"</f>
        <v>22717684</v>
      </c>
      <c r="B1378" t="s">
        <v>3021</v>
      </c>
      <c r="C1378" t="str">
        <f t="shared" si="98"/>
        <v>706</v>
      </c>
      <c r="D1378" t="s">
        <v>28</v>
      </c>
      <c r="E1378" t="s">
        <v>52</v>
      </c>
      <c r="F1378" t="s">
        <v>80</v>
      </c>
      <c r="G1378" t="s">
        <v>1761</v>
      </c>
      <c r="H1378" t="str">
        <f>"9499"</f>
        <v>9499</v>
      </c>
      <c r="I1378" t="s">
        <v>31</v>
      </c>
    </row>
    <row r="1379" spans="1:9" x14ac:dyDescent="0.3">
      <c r="A1379" t="str">
        <f>"70830410"</f>
        <v>70830410</v>
      </c>
      <c r="B1379" t="s">
        <v>3022</v>
      </c>
      <c r="C1379" t="str">
        <f t="shared" si="98"/>
        <v>706</v>
      </c>
      <c r="D1379" t="s">
        <v>28</v>
      </c>
      <c r="E1379" t="s">
        <v>52</v>
      </c>
      <c r="F1379" t="s">
        <v>52</v>
      </c>
      <c r="G1379" t="s">
        <v>3023</v>
      </c>
      <c r="H1379" t="str">
        <f>"93120"</f>
        <v>93120</v>
      </c>
      <c r="I1379" t="s">
        <v>54</v>
      </c>
    </row>
    <row r="1380" spans="1:9" x14ac:dyDescent="0.3">
      <c r="A1380" t="str">
        <f>"64123626"</f>
        <v>64123626</v>
      </c>
      <c r="B1380" t="s">
        <v>3024</v>
      </c>
      <c r="C1380" t="str">
        <f t="shared" si="98"/>
        <v>706</v>
      </c>
      <c r="D1380" t="s">
        <v>28</v>
      </c>
      <c r="E1380" t="s">
        <v>29</v>
      </c>
      <c r="F1380" t="s">
        <v>195</v>
      </c>
      <c r="G1380" t="s">
        <v>3025</v>
      </c>
      <c r="H1380" t="str">
        <f>"93120"</f>
        <v>93120</v>
      </c>
      <c r="I1380" t="s">
        <v>54</v>
      </c>
    </row>
    <row r="1381" spans="1:9" x14ac:dyDescent="0.3">
      <c r="A1381" t="str">
        <f>"26656451"</f>
        <v>26656451</v>
      </c>
      <c r="B1381" t="s">
        <v>3026</v>
      </c>
      <c r="C1381" t="str">
        <f t="shared" si="98"/>
        <v>706</v>
      </c>
      <c r="D1381" t="s">
        <v>28</v>
      </c>
      <c r="E1381" t="s">
        <v>52</v>
      </c>
      <c r="F1381" t="s">
        <v>94</v>
      </c>
      <c r="G1381" t="s">
        <v>1915</v>
      </c>
      <c r="H1381" t="str">
        <f>"9499"</f>
        <v>9499</v>
      </c>
      <c r="I1381" t="s">
        <v>31</v>
      </c>
    </row>
    <row r="1382" spans="1:9" x14ac:dyDescent="0.3">
      <c r="A1382" t="str">
        <f>"01995057"</f>
        <v>01995057</v>
      </c>
      <c r="B1382" t="s">
        <v>3027</v>
      </c>
      <c r="C1382" t="str">
        <f t="shared" si="98"/>
        <v>706</v>
      </c>
      <c r="D1382" t="s">
        <v>28</v>
      </c>
      <c r="E1382" t="s">
        <v>29</v>
      </c>
      <c r="F1382" t="s">
        <v>195</v>
      </c>
      <c r="G1382" t="s">
        <v>195</v>
      </c>
      <c r="H1382" t="str">
        <f>"94999"</f>
        <v>94999</v>
      </c>
      <c r="I1382" t="s">
        <v>202</v>
      </c>
    </row>
    <row r="1383" spans="1:9" x14ac:dyDescent="0.3">
      <c r="A1383" t="str">
        <f>"09476750"</f>
        <v>09476750</v>
      </c>
      <c r="B1383" t="s">
        <v>3028</v>
      </c>
      <c r="C1383" t="str">
        <f t="shared" si="98"/>
        <v>706</v>
      </c>
      <c r="D1383" t="s">
        <v>28</v>
      </c>
      <c r="E1383" t="s">
        <v>29</v>
      </c>
      <c r="F1383" t="s">
        <v>29</v>
      </c>
      <c r="G1383" t="s">
        <v>3029</v>
      </c>
      <c r="H1383" t="str">
        <f>"93190"</f>
        <v>93190</v>
      </c>
      <c r="I1383" t="s">
        <v>59</v>
      </c>
    </row>
    <row r="1384" spans="1:9" x14ac:dyDescent="0.3">
      <c r="A1384" t="str">
        <f>"26614324"</f>
        <v>26614324</v>
      </c>
      <c r="B1384" t="s">
        <v>3030</v>
      </c>
      <c r="C1384" t="str">
        <f t="shared" si="98"/>
        <v>706</v>
      </c>
      <c r="D1384" t="s">
        <v>28</v>
      </c>
      <c r="E1384" t="s">
        <v>52</v>
      </c>
      <c r="F1384" t="s">
        <v>234</v>
      </c>
      <c r="G1384" t="s">
        <v>3031</v>
      </c>
      <c r="H1384" t="str">
        <f t="shared" ref="H1384:H1389" si="99">"93110"</f>
        <v>93110</v>
      </c>
      <c r="I1384" t="s">
        <v>92</v>
      </c>
    </row>
    <row r="1385" spans="1:9" x14ac:dyDescent="0.3">
      <c r="A1385" t="str">
        <f>"26551241"</f>
        <v>26551241</v>
      </c>
      <c r="B1385" t="s">
        <v>3032</v>
      </c>
      <c r="C1385" t="str">
        <f t="shared" si="98"/>
        <v>706</v>
      </c>
      <c r="D1385" t="s">
        <v>28</v>
      </c>
      <c r="E1385" t="s">
        <v>52</v>
      </c>
      <c r="F1385" t="s">
        <v>234</v>
      </c>
      <c r="G1385" t="s">
        <v>3033</v>
      </c>
      <c r="H1385" t="str">
        <f t="shared" si="99"/>
        <v>93110</v>
      </c>
      <c r="I1385" t="s">
        <v>92</v>
      </c>
    </row>
    <row r="1386" spans="1:9" x14ac:dyDescent="0.3">
      <c r="A1386" t="str">
        <f>"26611287"</f>
        <v>26611287</v>
      </c>
      <c r="B1386" t="s">
        <v>3034</v>
      </c>
      <c r="C1386" t="str">
        <f t="shared" si="98"/>
        <v>706</v>
      </c>
      <c r="D1386" t="s">
        <v>28</v>
      </c>
      <c r="E1386" t="s">
        <v>52</v>
      </c>
      <c r="F1386" t="s">
        <v>234</v>
      </c>
      <c r="G1386" t="s">
        <v>3031</v>
      </c>
      <c r="H1386" t="str">
        <f t="shared" si="99"/>
        <v>93110</v>
      </c>
      <c r="I1386" t="s">
        <v>92</v>
      </c>
    </row>
    <row r="1387" spans="1:9" x14ac:dyDescent="0.3">
      <c r="A1387" t="str">
        <f>"26624362"</f>
        <v>26624362</v>
      </c>
      <c r="B1387" t="s">
        <v>3035</v>
      </c>
      <c r="C1387" t="str">
        <f t="shared" si="98"/>
        <v>706</v>
      </c>
      <c r="D1387" t="s">
        <v>28</v>
      </c>
      <c r="E1387" t="s">
        <v>52</v>
      </c>
      <c r="F1387" t="s">
        <v>234</v>
      </c>
      <c r="G1387" t="s">
        <v>3031</v>
      </c>
      <c r="H1387" t="str">
        <f t="shared" si="99"/>
        <v>93110</v>
      </c>
      <c r="I1387" t="s">
        <v>92</v>
      </c>
    </row>
    <row r="1388" spans="1:9" x14ac:dyDescent="0.3">
      <c r="A1388" t="str">
        <f>"26613841"</f>
        <v>26613841</v>
      </c>
      <c r="B1388" t="s">
        <v>3036</v>
      </c>
      <c r="C1388" t="str">
        <f t="shared" si="98"/>
        <v>706</v>
      </c>
      <c r="D1388" t="s">
        <v>28</v>
      </c>
      <c r="E1388" t="s">
        <v>52</v>
      </c>
      <c r="F1388" t="s">
        <v>234</v>
      </c>
      <c r="G1388" t="s">
        <v>3031</v>
      </c>
      <c r="H1388" t="str">
        <f t="shared" si="99"/>
        <v>93110</v>
      </c>
      <c r="I1388" t="s">
        <v>92</v>
      </c>
    </row>
    <row r="1389" spans="1:9" x14ac:dyDescent="0.3">
      <c r="A1389" t="str">
        <f>"26625431"</f>
        <v>26625431</v>
      </c>
      <c r="B1389" t="s">
        <v>3037</v>
      </c>
      <c r="C1389" t="str">
        <f t="shared" si="98"/>
        <v>706</v>
      </c>
      <c r="D1389" t="s">
        <v>28</v>
      </c>
      <c r="E1389" t="s">
        <v>52</v>
      </c>
      <c r="F1389" t="s">
        <v>234</v>
      </c>
      <c r="G1389" t="s">
        <v>3031</v>
      </c>
      <c r="H1389" t="str">
        <f t="shared" si="99"/>
        <v>93110</v>
      </c>
      <c r="I1389" t="s">
        <v>92</v>
      </c>
    </row>
    <row r="1390" spans="1:9" x14ac:dyDescent="0.3">
      <c r="A1390" t="str">
        <f>"28557522"</f>
        <v>28557522</v>
      </c>
      <c r="B1390" t="s">
        <v>3038</v>
      </c>
      <c r="C1390" t="str">
        <f t="shared" si="98"/>
        <v>706</v>
      </c>
      <c r="D1390" t="s">
        <v>28</v>
      </c>
      <c r="E1390" t="s">
        <v>52</v>
      </c>
      <c r="F1390" t="s">
        <v>344</v>
      </c>
      <c r="G1390" t="s">
        <v>3039</v>
      </c>
      <c r="H1390" t="str">
        <f>"9499"</f>
        <v>9499</v>
      </c>
      <c r="I1390" t="s">
        <v>31</v>
      </c>
    </row>
    <row r="1391" spans="1:9" x14ac:dyDescent="0.3">
      <c r="A1391" t="str">
        <f>"18811221"</f>
        <v>18811221</v>
      </c>
      <c r="B1391" t="s">
        <v>3040</v>
      </c>
      <c r="C1391" t="str">
        <f t="shared" si="98"/>
        <v>706</v>
      </c>
      <c r="D1391" t="s">
        <v>28</v>
      </c>
      <c r="E1391" t="s">
        <v>23</v>
      </c>
      <c r="F1391" t="s">
        <v>23</v>
      </c>
      <c r="G1391" t="s">
        <v>3041</v>
      </c>
      <c r="H1391" t="str">
        <f>"931"</f>
        <v>931</v>
      </c>
      <c r="I1391" t="s">
        <v>26</v>
      </c>
    </row>
    <row r="1392" spans="1:9" x14ac:dyDescent="0.3">
      <c r="A1392" t="str">
        <f>"00531928"</f>
        <v>00531928</v>
      </c>
      <c r="B1392" t="s">
        <v>3042</v>
      </c>
      <c r="C1392" t="str">
        <f t="shared" si="98"/>
        <v>706</v>
      </c>
      <c r="D1392" t="s">
        <v>28</v>
      </c>
      <c r="E1392" t="s">
        <v>23</v>
      </c>
      <c r="F1392" t="s">
        <v>23</v>
      </c>
      <c r="G1392" t="s">
        <v>3043</v>
      </c>
      <c r="H1392" t="str">
        <f>"93120"</f>
        <v>93120</v>
      </c>
      <c r="I1392" t="s">
        <v>54</v>
      </c>
    </row>
    <row r="1393" spans="1:9" x14ac:dyDescent="0.3">
      <c r="A1393" t="str">
        <f>"05101379"</f>
        <v>05101379</v>
      </c>
      <c r="B1393" t="s">
        <v>3044</v>
      </c>
      <c r="C1393" t="str">
        <f t="shared" si="98"/>
        <v>706</v>
      </c>
      <c r="D1393" t="s">
        <v>28</v>
      </c>
      <c r="E1393" t="s">
        <v>52</v>
      </c>
      <c r="F1393" t="s">
        <v>951</v>
      </c>
      <c r="G1393" t="s">
        <v>3045</v>
      </c>
      <c r="H1393" t="str">
        <f>"9311"</f>
        <v>9311</v>
      </c>
      <c r="I1393" t="s">
        <v>92</v>
      </c>
    </row>
    <row r="1394" spans="1:9" x14ac:dyDescent="0.3">
      <c r="A1394" t="str">
        <f>"22741101"</f>
        <v>22741101</v>
      </c>
      <c r="B1394" t="s">
        <v>3046</v>
      </c>
      <c r="C1394" t="str">
        <f t="shared" si="98"/>
        <v>706</v>
      </c>
      <c r="D1394" t="s">
        <v>28</v>
      </c>
      <c r="E1394" t="s">
        <v>83</v>
      </c>
      <c r="F1394" t="s">
        <v>183</v>
      </c>
      <c r="G1394" t="s">
        <v>3047</v>
      </c>
      <c r="H1394" t="str">
        <f>"93110"</f>
        <v>93110</v>
      </c>
      <c r="I1394" t="s">
        <v>92</v>
      </c>
    </row>
    <row r="1395" spans="1:9" x14ac:dyDescent="0.3">
      <c r="A1395" t="str">
        <f>"22608591"</f>
        <v>22608591</v>
      </c>
      <c r="B1395" t="s">
        <v>3048</v>
      </c>
      <c r="C1395" t="str">
        <f t="shared" si="98"/>
        <v>706</v>
      </c>
      <c r="D1395" t="s">
        <v>28</v>
      </c>
      <c r="E1395" t="s">
        <v>29</v>
      </c>
      <c r="F1395" t="s">
        <v>29</v>
      </c>
      <c r="G1395" t="s">
        <v>3049</v>
      </c>
      <c r="H1395" t="str">
        <f>"93110"</f>
        <v>93110</v>
      </c>
      <c r="I1395" t="s">
        <v>92</v>
      </c>
    </row>
    <row r="1396" spans="1:9" x14ac:dyDescent="0.3">
      <c r="A1396" t="str">
        <f>"66545731"</f>
        <v>66545731</v>
      </c>
      <c r="B1396" t="s">
        <v>3050</v>
      </c>
      <c r="C1396" t="str">
        <f t="shared" si="98"/>
        <v>706</v>
      </c>
      <c r="D1396" t="s">
        <v>28</v>
      </c>
      <c r="E1396" t="s">
        <v>52</v>
      </c>
      <c r="F1396" t="s">
        <v>52</v>
      </c>
      <c r="G1396" t="s">
        <v>3051</v>
      </c>
      <c r="H1396" t="str">
        <f>"93110"</f>
        <v>93110</v>
      </c>
      <c r="I1396" t="s">
        <v>92</v>
      </c>
    </row>
    <row r="1397" spans="1:9" x14ac:dyDescent="0.3">
      <c r="A1397" t="str">
        <f>"65760522"</f>
        <v>65760522</v>
      </c>
      <c r="B1397" t="s">
        <v>3052</v>
      </c>
      <c r="C1397" t="str">
        <f t="shared" si="98"/>
        <v>706</v>
      </c>
      <c r="D1397" t="s">
        <v>28</v>
      </c>
      <c r="E1397" t="s">
        <v>23</v>
      </c>
      <c r="F1397" t="s">
        <v>23</v>
      </c>
      <c r="G1397" t="s">
        <v>2996</v>
      </c>
      <c r="H1397" t="str">
        <f>"93120"</f>
        <v>93120</v>
      </c>
      <c r="I1397" t="s">
        <v>54</v>
      </c>
    </row>
    <row r="1398" spans="1:9" x14ac:dyDescent="0.3">
      <c r="A1398" t="str">
        <f>"22834044"</f>
        <v>22834044</v>
      </c>
      <c r="B1398" t="s">
        <v>3053</v>
      </c>
      <c r="C1398" t="str">
        <f t="shared" si="98"/>
        <v>706</v>
      </c>
      <c r="D1398" t="s">
        <v>28</v>
      </c>
      <c r="E1398" t="s">
        <v>23</v>
      </c>
      <c r="F1398" t="s">
        <v>107</v>
      </c>
      <c r="G1398" t="s">
        <v>3054</v>
      </c>
      <c r="H1398" t="str">
        <f>"93110"</f>
        <v>93110</v>
      </c>
      <c r="I1398" t="s">
        <v>92</v>
      </c>
    </row>
    <row r="1399" spans="1:9" x14ac:dyDescent="0.3">
      <c r="A1399" t="str">
        <f>"08872201"</f>
        <v>08872201</v>
      </c>
      <c r="B1399" t="s">
        <v>3055</v>
      </c>
      <c r="C1399" t="str">
        <f t="shared" si="98"/>
        <v>706</v>
      </c>
      <c r="D1399" t="s">
        <v>28</v>
      </c>
      <c r="E1399" t="s">
        <v>29</v>
      </c>
      <c r="F1399" t="s">
        <v>271</v>
      </c>
      <c r="G1399" t="s">
        <v>3056</v>
      </c>
      <c r="H1399" t="str">
        <f>"93110"</f>
        <v>93110</v>
      </c>
      <c r="I1399" t="s">
        <v>92</v>
      </c>
    </row>
    <row r="1400" spans="1:9" x14ac:dyDescent="0.3">
      <c r="A1400" t="str">
        <f>"69603987"</f>
        <v>69603987</v>
      </c>
      <c r="B1400" t="s">
        <v>3057</v>
      </c>
      <c r="C1400" t="str">
        <f t="shared" si="98"/>
        <v>706</v>
      </c>
      <c r="D1400" t="s">
        <v>28</v>
      </c>
      <c r="E1400" t="s">
        <v>29</v>
      </c>
      <c r="F1400" t="s">
        <v>38</v>
      </c>
      <c r="G1400" t="s">
        <v>3058</v>
      </c>
      <c r="H1400" t="str">
        <f>"93120"</f>
        <v>93120</v>
      </c>
      <c r="I1400" t="s">
        <v>54</v>
      </c>
    </row>
    <row r="1401" spans="1:9" x14ac:dyDescent="0.3">
      <c r="A1401" t="str">
        <f>"06187579"</f>
        <v>06187579</v>
      </c>
      <c r="B1401" t="s">
        <v>3059</v>
      </c>
      <c r="C1401" t="str">
        <f t="shared" si="98"/>
        <v>706</v>
      </c>
      <c r="D1401" t="s">
        <v>28</v>
      </c>
      <c r="E1401" t="s">
        <v>52</v>
      </c>
      <c r="F1401" t="s">
        <v>52</v>
      </c>
      <c r="G1401" t="s">
        <v>167</v>
      </c>
      <c r="H1401" t="str">
        <f>"9499"</f>
        <v>9499</v>
      </c>
      <c r="I1401" t="s">
        <v>31</v>
      </c>
    </row>
    <row r="1402" spans="1:9" x14ac:dyDescent="0.3">
      <c r="A1402" t="str">
        <f>"08446679"</f>
        <v>08446679</v>
      </c>
      <c r="B1402" t="s">
        <v>3060</v>
      </c>
      <c r="C1402" t="str">
        <f t="shared" si="98"/>
        <v>706</v>
      </c>
      <c r="D1402" t="s">
        <v>28</v>
      </c>
      <c r="E1402" t="s">
        <v>29</v>
      </c>
      <c r="F1402" t="s">
        <v>681</v>
      </c>
      <c r="G1402" t="s">
        <v>1584</v>
      </c>
      <c r="H1402" t="str">
        <f>"93110"</f>
        <v>93110</v>
      </c>
      <c r="I1402" t="s">
        <v>92</v>
      </c>
    </row>
    <row r="1403" spans="1:9" x14ac:dyDescent="0.3">
      <c r="A1403" t="str">
        <f>"48773026"</f>
        <v>48773026</v>
      </c>
      <c r="B1403" t="s">
        <v>3061</v>
      </c>
      <c r="C1403" t="str">
        <f t="shared" si="98"/>
        <v>706</v>
      </c>
      <c r="D1403" t="s">
        <v>28</v>
      </c>
      <c r="E1403" t="s">
        <v>29</v>
      </c>
      <c r="F1403" t="s">
        <v>38</v>
      </c>
      <c r="G1403" t="s">
        <v>3062</v>
      </c>
      <c r="H1403" t="str">
        <f>"93120"</f>
        <v>93120</v>
      </c>
      <c r="I1403" t="s">
        <v>54</v>
      </c>
    </row>
    <row r="1404" spans="1:9" x14ac:dyDescent="0.3">
      <c r="A1404" t="str">
        <f>"69652228"</f>
        <v>69652228</v>
      </c>
      <c r="B1404" t="s">
        <v>3063</v>
      </c>
      <c r="C1404" t="str">
        <f t="shared" si="98"/>
        <v>706</v>
      </c>
      <c r="D1404" t="s">
        <v>28</v>
      </c>
      <c r="E1404" t="s">
        <v>52</v>
      </c>
      <c r="F1404" t="s">
        <v>113</v>
      </c>
      <c r="G1404" t="s">
        <v>998</v>
      </c>
      <c r="H1404" t="str">
        <f>"93120"</f>
        <v>93120</v>
      </c>
      <c r="I1404" t="s">
        <v>54</v>
      </c>
    </row>
    <row r="1405" spans="1:9" x14ac:dyDescent="0.3">
      <c r="A1405" t="str">
        <f>"60370238"</f>
        <v>60370238</v>
      </c>
      <c r="B1405" t="s">
        <v>3064</v>
      </c>
      <c r="C1405" t="str">
        <f t="shared" si="98"/>
        <v>706</v>
      </c>
      <c r="D1405" t="s">
        <v>28</v>
      </c>
      <c r="E1405" t="s">
        <v>52</v>
      </c>
      <c r="F1405" t="s">
        <v>52</v>
      </c>
      <c r="G1405" t="s">
        <v>996</v>
      </c>
      <c r="H1405" t="str">
        <f>"9311"</f>
        <v>9311</v>
      </c>
      <c r="I1405" t="s">
        <v>92</v>
      </c>
    </row>
    <row r="1406" spans="1:9" x14ac:dyDescent="0.3">
      <c r="A1406" t="str">
        <f>"27005011"</f>
        <v>27005011</v>
      </c>
      <c r="B1406" t="s">
        <v>3065</v>
      </c>
      <c r="C1406" t="str">
        <f t="shared" si="98"/>
        <v>706</v>
      </c>
      <c r="D1406" t="s">
        <v>28</v>
      </c>
      <c r="E1406" t="s">
        <v>29</v>
      </c>
      <c r="F1406" t="s">
        <v>195</v>
      </c>
      <c r="G1406" t="s">
        <v>3066</v>
      </c>
      <c r="H1406" t="str">
        <f>"93110"</f>
        <v>93110</v>
      </c>
      <c r="I1406" t="s">
        <v>92</v>
      </c>
    </row>
    <row r="1407" spans="1:9" x14ac:dyDescent="0.3">
      <c r="A1407" t="str">
        <f>"27004023"</f>
        <v>27004023</v>
      </c>
      <c r="B1407" t="s">
        <v>3067</v>
      </c>
      <c r="C1407" t="str">
        <f t="shared" si="98"/>
        <v>706</v>
      </c>
      <c r="D1407" t="s">
        <v>28</v>
      </c>
      <c r="E1407" t="s">
        <v>83</v>
      </c>
      <c r="F1407" t="s">
        <v>480</v>
      </c>
      <c r="G1407" t="s">
        <v>3068</v>
      </c>
      <c r="H1407" t="str">
        <f t="shared" ref="H1407:H1413" si="100">"9499"</f>
        <v>9499</v>
      </c>
      <c r="I1407" t="s">
        <v>31</v>
      </c>
    </row>
    <row r="1408" spans="1:9" x14ac:dyDescent="0.3">
      <c r="A1408" t="str">
        <f>"14371251"</f>
        <v>14371251</v>
      </c>
      <c r="B1408" t="s">
        <v>3069</v>
      </c>
      <c r="C1408" t="str">
        <f t="shared" si="98"/>
        <v>706</v>
      </c>
      <c r="D1408" t="s">
        <v>28</v>
      </c>
      <c r="E1408" t="s">
        <v>23</v>
      </c>
      <c r="F1408" t="s">
        <v>99</v>
      </c>
      <c r="G1408" t="s">
        <v>3070</v>
      </c>
      <c r="H1408" t="str">
        <f t="shared" si="100"/>
        <v>9499</v>
      </c>
      <c r="I1408" t="s">
        <v>31</v>
      </c>
    </row>
    <row r="1409" spans="1:9" x14ac:dyDescent="0.3">
      <c r="A1409" t="str">
        <f>"22723412"</f>
        <v>22723412</v>
      </c>
      <c r="B1409" t="s">
        <v>3071</v>
      </c>
      <c r="C1409" t="str">
        <f t="shared" si="98"/>
        <v>706</v>
      </c>
      <c r="D1409" t="s">
        <v>28</v>
      </c>
      <c r="E1409" t="s">
        <v>83</v>
      </c>
      <c r="F1409" t="s">
        <v>183</v>
      </c>
      <c r="G1409" t="s">
        <v>3072</v>
      </c>
      <c r="H1409" t="str">
        <f t="shared" si="100"/>
        <v>9499</v>
      </c>
      <c r="I1409" t="s">
        <v>31</v>
      </c>
    </row>
    <row r="1410" spans="1:9" x14ac:dyDescent="0.3">
      <c r="A1410" t="str">
        <f>"02043611"</f>
        <v>02043611</v>
      </c>
      <c r="B1410" t="s">
        <v>3073</v>
      </c>
      <c r="C1410" t="str">
        <f t="shared" si="98"/>
        <v>706</v>
      </c>
      <c r="D1410" t="s">
        <v>28</v>
      </c>
      <c r="E1410" t="s">
        <v>23</v>
      </c>
      <c r="F1410" t="s">
        <v>1877</v>
      </c>
      <c r="G1410" t="s">
        <v>3074</v>
      </c>
      <c r="H1410" t="str">
        <f t="shared" si="100"/>
        <v>9499</v>
      </c>
      <c r="I1410" t="s">
        <v>31</v>
      </c>
    </row>
    <row r="1411" spans="1:9" x14ac:dyDescent="0.3">
      <c r="A1411" t="str">
        <f>"22903895"</f>
        <v>22903895</v>
      </c>
      <c r="B1411" t="s">
        <v>3075</v>
      </c>
      <c r="C1411" t="str">
        <f t="shared" si="98"/>
        <v>706</v>
      </c>
      <c r="D1411" t="s">
        <v>28</v>
      </c>
      <c r="E1411" t="s">
        <v>83</v>
      </c>
      <c r="F1411" t="s">
        <v>175</v>
      </c>
      <c r="G1411" t="s">
        <v>3076</v>
      </c>
      <c r="H1411" t="str">
        <f t="shared" si="100"/>
        <v>9499</v>
      </c>
      <c r="I1411" t="s">
        <v>31</v>
      </c>
    </row>
    <row r="1412" spans="1:9" x14ac:dyDescent="0.3">
      <c r="A1412" t="str">
        <f>"01253654"</f>
        <v>01253654</v>
      </c>
      <c r="B1412" t="s">
        <v>3077</v>
      </c>
      <c r="C1412" t="str">
        <f t="shared" si="98"/>
        <v>706</v>
      </c>
      <c r="D1412" t="s">
        <v>28</v>
      </c>
      <c r="E1412" t="s">
        <v>83</v>
      </c>
      <c r="F1412" t="s">
        <v>83</v>
      </c>
      <c r="G1412" t="s">
        <v>1356</v>
      </c>
      <c r="H1412" t="str">
        <f t="shared" si="100"/>
        <v>9499</v>
      </c>
      <c r="I1412" t="s">
        <v>31</v>
      </c>
    </row>
    <row r="1413" spans="1:9" x14ac:dyDescent="0.3">
      <c r="A1413" t="str">
        <f>"26566826"</f>
        <v>26566826</v>
      </c>
      <c r="B1413" t="s">
        <v>3078</v>
      </c>
      <c r="C1413" t="str">
        <f t="shared" si="98"/>
        <v>706</v>
      </c>
      <c r="D1413" t="s">
        <v>28</v>
      </c>
      <c r="E1413" t="s">
        <v>52</v>
      </c>
      <c r="F1413" t="s">
        <v>52</v>
      </c>
      <c r="G1413" t="s">
        <v>3079</v>
      </c>
      <c r="H1413" t="str">
        <f t="shared" si="100"/>
        <v>9499</v>
      </c>
      <c r="I1413" t="s">
        <v>31</v>
      </c>
    </row>
    <row r="1414" spans="1:9" x14ac:dyDescent="0.3">
      <c r="A1414" t="str">
        <f>"22819258"</f>
        <v>22819258</v>
      </c>
      <c r="B1414" t="s">
        <v>3080</v>
      </c>
      <c r="C1414" t="str">
        <f t="shared" si="98"/>
        <v>706</v>
      </c>
      <c r="D1414" t="s">
        <v>28</v>
      </c>
      <c r="E1414" t="s">
        <v>23</v>
      </c>
      <c r="F1414" t="s">
        <v>23</v>
      </c>
      <c r="G1414" t="s">
        <v>3081</v>
      </c>
      <c r="H1414" t="str">
        <f>"94996"</f>
        <v>94996</v>
      </c>
      <c r="I1414" t="s">
        <v>47</v>
      </c>
    </row>
    <row r="1415" spans="1:9" x14ac:dyDescent="0.3">
      <c r="A1415" t="str">
        <f>"06444911"</f>
        <v>06444911</v>
      </c>
      <c r="B1415" t="s">
        <v>3082</v>
      </c>
      <c r="C1415" t="str">
        <f t="shared" si="98"/>
        <v>706</v>
      </c>
      <c r="D1415" t="s">
        <v>28</v>
      </c>
      <c r="E1415" t="s">
        <v>23</v>
      </c>
      <c r="F1415" t="s">
        <v>23</v>
      </c>
      <c r="G1415" t="s">
        <v>3083</v>
      </c>
      <c r="H1415" t="str">
        <f>"9499"</f>
        <v>9499</v>
      </c>
      <c r="I1415" t="s">
        <v>31</v>
      </c>
    </row>
    <row r="1416" spans="1:9" x14ac:dyDescent="0.3">
      <c r="A1416" t="str">
        <f>"06926886"</f>
        <v>06926886</v>
      </c>
      <c r="B1416" t="s">
        <v>3084</v>
      </c>
      <c r="C1416" t="str">
        <f t="shared" si="98"/>
        <v>706</v>
      </c>
      <c r="D1416" t="s">
        <v>28</v>
      </c>
      <c r="E1416" t="s">
        <v>52</v>
      </c>
      <c r="F1416" t="s">
        <v>52</v>
      </c>
      <c r="G1416" t="s">
        <v>3085</v>
      </c>
      <c r="H1416" t="str">
        <f>"9499"</f>
        <v>9499</v>
      </c>
      <c r="I1416" t="s">
        <v>31</v>
      </c>
    </row>
    <row r="1417" spans="1:9" x14ac:dyDescent="0.3">
      <c r="A1417" t="str">
        <f>"22865683"</f>
        <v>22865683</v>
      </c>
      <c r="B1417" t="s">
        <v>3086</v>
      </c>
      <c r="C1417" t="str">
        <f t="shared" si="98"/>
        <v>706</v>
      </c>
      <c r="D1417" t="s">
        <v>28</v>
      </c>
      <c r="E1417" t="s">
        <v>23</v>
      </c>
      <c r="F1417" t="s">
        <v>23</v>
      </c>
      <c r="G1417" t="s">
        <v>3087</v>
      </c>
      <c r="H1417" t="str">
        <f>"90030"</f>
        <v>90030</v>
      </c>
      <c r="I1417" t="s">
        <v>1252</v>
      </c>
    </row>
    <row r="1418" spans="1:9" x14ac:dyDescent="0.3">
      <c r="A1418" t="str">
        <f>"26672634"</f>
        <v>26672634</v>
      </c>
      <c r="B1418" t="s">
        <v>3088</v>
      </c>
      <c r="C1418" t="str">
        <f t="shared" si="98"/>
        <v>706</v>
      </c>
      <c r="D1418" t="s">
        <v>28</v>
      </c>
      <c r="E1418" t="s">
        <v>23</v>
      </c>
      <c r="F1418" t="s">
        <v>23</v>
      </c>
      <c r="G1418" t="s">
        <v>3089</v>
      </c>
      <c r="H1418" t="str">
        <f>"93110"</f>
        <v>93110</v>
      </c>
      <c r="I1418" t="s">
        <v>92</v>
      </c>
    </row>
    <row r="1419" spans="1:9" x14ac:dyDescent="0.3">
      <c r="A1419" t="str">
        <f>"65828097"</f>
        <v>65828097</v>
      </c>
      <c r="B1419" t="s">
        <v>3090</v>
      </c>
      <c r="C1419" t="str">
        <f t="shared" si="98"/>
        <v>706</v>
      </c>
      <c r="D1419" t="s">
        <v>28</v>
      </c>
      <c r="E1419" t="s">
        <v>83</v>
      </c>
      <c r="F1419" t="s">
        <v>1425</v>
      </c>
      <c r="G1419" t="s">
        <v>3091</v>
      </c>
      <c r="H1419" t="str">
        <f>"9499"</f>
        <v>9499</v>
      </c>
      <c r="I1419" t="s">
        <v>31</v>
      </c>
    </row>
    <row r="1420" spans="1:9" x14ac:dyDescent="0.3">
      <c r="A1420" t="str">
        <f>"22673865"</f>
        <v>22673865</v>
      </c>
      <c r="B1420" t="s">
        <v>3092</v>
      </c>
      <c r="C1420" t="str">
        <f t="shared" si="98"/>
        <v>706</v>
      </c>
      <c r="D1420" t="s">
        <v>28</v>
      </c>
      <c r="E1420" t="s">
        <v>23</v>
      </c>
      <c r="F1420" t="s">
        <v>23</v>
      </c>
      <c r="G1420" t="s">
        <v>1203</v>
      </c>
      <c r="H1420" t="str">
        <f>"9499"</f>
        <v>9499</v>
      </c>
      <c r="I1420" t="s">
        <v>31</v>
      </c>
    </row>
    <row r="1421" spans="1:9" x14ac:dyDescent="0.3">
      <c r="A1421" t="str">
        <f>"22817417"</f>
        <v>22817417</v>
      </c>
      <c r="B1421" t="s">
        <v>3093</v>
      </c>
      <c r="C1421" t="str">
        <f t="shared" ref="C1421" si="101">"706"</f>
        <v>706</v>
      </c>
      <c r="D1421" t="s">
        <v>28</v>
      </c>
      <c r="E1421" t="s">
        <v>29</v>
      </c>
      <c r="F1421" t="s">
        <v>38</v>
      </c>
      <c r="G1421" t="s">
        <v>3094</v>
      </c>
      <c r="H1421" t="str">
        <f>"90030"</f>
        <v>90030</v>
      </c>
      <c r="I1421" t="s">
        <v>1252</v>
      </c>
    </row>
    <row r="1422" spans="1:9" x14ac:dyDescent="0.3">
      <c r="A1422" t="str">
        <f>"08379831"</f>
        <v>08379831</v>
      </c>
      <c r="B1422" t="s">
        <v>3095</v>
      </c>
      <c r="C1422" t="str">
        <f>"161"</f>
        <v>161</v>
      </c>
      <c r="D1422" t="s">
        <v>152</v>
      </c>
      <c r="E1422" t="s">
        <v>23</v>
      </c>
      <c r="F1422" t="s">
        <v>23</v>
      </c>
      <c r="G1422" t="s">
        <v>1145</v>
      </c>
      <c r="H1422" t="str">
        <f>"9499"</f>
        <v>9499</v>
      </c>
      <c r="I1422" t="s">
        <v>31</v>
      </c>
    </row>
    <row r="1423" spans="1:9" x14ac:dyDescent="0.3">
      <c r="A1423" t="str">
        <f>"00547484"</f>
        <v>00547484</v>
      </c>
      <c r="B1423" t="s">
        <v>3096</v>
      </c>
      <c r="C1423" t="str">
        <f t="shared" ref="C1423:C1484" si="102">"706"</f>
        <v>706</v>
      </c>
      <c r="D1423" t="s">
        <v>28</v>
      </c>
      <c r="E1423" t="s">
        <v>52</v>
      </c>
      <c r="F1423" t="s">
        <v>344</v>
      </c>
      <c r="G1423" t="s">
        <v>345</v>
      </c>
      <c r="H1423" t="str">
        <f>"9499"</f>
        <v>9499</v>
      </c>
      <c r="I1423" t="s">
        <v>31</v>
      </c>
    </row>
    <row r="1424" spans="1:9" x14ac:dyDescent="0.3">
      <c r="A1424" t="str">
        <f>"14003139"</f>
        <v>14003139</v>
      </c>
      <c r="B1424" t="s">
        <v>3097</v>
      </c>
      <c r="C1424" t="str">
        <f t="shared" si="102"/>
        <v>706</v>
      </c>
      <c r="D1424" t="s">
        <v>28</v>
      </c>
      <c r="E1424" t="s">
        <v>83</v>
      </c>
      <c r="F1424" t="s">
        <v>409</v>
      </c>
      <c r="G1424" t="s">
        <v>3098</v>
      </c>
      <c r="H1424" t="str">
        <f>"9499"</f>
        <v>9499</v>
      </c>
      <c r="I1424" t="s">
        <v>31</v>
      </c>
    </row>
    <row r="1425" spans="1:9" x14ac:dyDescent="0.3">
      <c r="A1425" t="str">
        <f>"26650754"</f>
        <v>26650754</v>
      </c>
      <c r="B1425" t="s">
        <v>3099</v>
      </c>
      <c r="C1425" t="str">
        <f t="shared" si="102"/>
        <v>706</v>
      </c>
      <c r="D1425" t="s">
        <v>28</v>
      </c>
      <c r="E1425" t="s">
        <v>23</v>
      </c>
      <c r="F1425" t="s">
        <v>695</v>
      </c>
      <c r="G1425" t="s">
        <v>3100</v>
      </c>
      <c r="H1425" t="str">
        <f>"9499"</f>
        <v>9499</v>
      </c>
      <c r="I1425" t="s">
        <v>31</v>
      </c>
    </row>
    <row r="1426" spans="1:9" x14ac:dyDescent="0.3">
      <c r="A1426" t="str">
        <f>"22721240"</f>
        <v>22721240</v>
      </c>
      <c r="B1426" t="s">
        <v>3101</v>
      </c>
      <c r="C1426" t="str">
        <f t="shared" si="102"/>
        <v>706</v>
      </c>
      <c r="D1426" t="s">
        <v>28</v>
      </c>
      <c r="E1426" t="s">
        <v>83</v>
      </c>
      <c r="F1426" t="s">
        <v>175</v>
      </c>
      <c r="G1426" t="s">
        <v>3102</v>
      </c>
      <c r="H1426" t="str">
        <f>"93110"</f>
        <v>93110</v>
      </c>
      <c r="I1426" t="s">
        <v>92</v>
      </c>
    </row>
    <row r="1427" spans="1:9" x14ac:dyDescent="0.3">
      <c r="A1427" t="str">
        <f>"70418136"</f>
        <v>70418136</v>
      </c>
      <c r="B1427" t="s">
        <v>3103</v>
      </c>
      <c r="C1427" t="str">
        <f t="shared" si="102"/>
        <v>706</v>
      </c>
      <c r="D1427" t="s">
        <v>28</v>
      </c>
      <c r="E1427" t="s">
        <v>83</v>
      </c>
      <c r="F1427" t="s">
        <v>83</v>
      </c>
      <c r="G1427" t="s">
        <v>3104</v>
      </c>
      <c r="H1427" t="str">
        <f>"93110"</f>
        <v>93110</v>
      </c>
      <c r="I1427" t="s">
        <v>92</v>
      </c>
    </row>
    <row r="1428" spans="1:9" x14ac:dyDescent="0.3">
      <c r="A1428" t="str">
        <f>"07015534"</f>
        <v>07015534</v>
      </c>
      <c r="B1428" t="s">
        <v>3105</v>
      </c>
      <c r="C1428" t="str">
        <f t="shared" si="102"/>
        <v>706</v>
      </c>
      <c r="D1428" t="s">
        <v>28</v>
      </c>
      <c r="E1428" t="s">
        <v>29</v>
      </c>
      <c r="F1428" t="s">
        <v>45</v>
      </c>
      <c r="G1428" t="s">
        <v>3106</v>
      </c>
      <c r="H1428" t="str">
        <f>"93190"</f>
        <v>93190</v>
      </c>
      <c r="I1428" t="s">
        <v>59</v>
      </c>
    </row>
    <row r="1429" spans="1:9" x14ac:dyDescent="0.3">
      <c r="A1429" t="str">
        <f>"28553497"</f>
        <v>28553497</v>
      </c>
      <c r="B1429" t="s">
        <v>3107</v>
      </c>
      <c r="C1429" t="str">
        <f t="shared" si="102"/>
        <v>706</v>
      </c>
      <c r="D1429" t="s">
        <v>28</v>
      </c>
      <c r="E1429" t="s">
        <v>23</v>
      </c>
      <c r="F1429" t="s">
        <v>2429</v>
      </c>
      <c r="G1429" t="s">
        <v>3108</v>
      </c>
      <c r="H1429" t="str">
        <f>"9499"</f>
        <v>9499</v>
      </c>
      <c r="I1429" t="s">
        <v>31</v>
      </c>
    </row>
    <row r="1430" spans="1:9" x14ac:dyDescent="0.3">
      <c r="A1430" t="str">
        <f>"19166150"</f>
        <v>19166150</v>
      </c>
      <c r="B1430" t="s">
        <v>3109</v>
      </c>
      <c r="C1430" t="str">
        <f t="shared" si="102"/>
        <v>706</v>
      </c>
      <c r="D1430" t="s">
        <v>28</v>
      </c>
      <c r="E1430" t="s">
        <v>29</v>
      </c>
      <c r="F1430" t="s">
        <v>1590</v>
      </c>
      <c r="G1430" t="s">
        <v>3110</v>
      </c>
      <c r="H1430" t="str">
        <f>"9499"</f>
        <v>9499</v>
      </c>
      <c r="I1430" t="s">
        <v>31</v>
      </c>
    </row>
    <row r="1431" spans="1:9" x14ac:dyDescent="0.3">
      <c r="A1431" t="str">
        <f>"03330974"</f>
        <v>03330974</v>
      </c>
      <c r="B1431" t="s">
        <v>3111</v>
      </c>
      <c r="C1431" t="str">
        <f t="shared" si="102"/>
        <v>706</v>
      </c>
      <c r="D1431" t="s">
        <v>28</v>
      </c>
      <c r="E1431" t="s">
        <v>23</v>
      </c>
      <c r="F1431" t="s">
        <v>23</v>
      </c>
      <c r="G1431" t="s">
        <v>3112</v>
      </c>
      <c r="H1431" t="str">
        <f>"9499"</f>
        <v>9499</v>
      </c>
      <c r="I1431" t="s">
        <v>31</v>
      </c>
    </row>
    <row r="1432" spans="1:9" x14ac:dyDescent="0.3">
      <c r="A1432" t="str">
        <f>"22841547"</f>
        <v>22841547</v>
      </c>
      <c r="B1432" t="s">
        <v>3113</v>
      </c>
      <c r="C1432" t="str">
        <f t="shared" si="102"/>
        <v>706</v>
      </c>
      <c r="D1432" t="s">
        <v>28</v>
      </c>
      <c r="E1432" t="s">
        <v>23</v>
      </c>
      <c r="F1432" t="s">
        <v>2467</v>
      </c>
      <c r="G1432" t="s">
        <v>3114</v>
      </c>
      <c r="H1432" t="str">
        <f>"93110"</f>
        <v>93110</v>
      </c>
      <c r="I1432" t="s">
        <v>92</v>
      </c>
    </row>
    <row r="1433" spans="1:9" x14ac:dyDescent="0.3">
      <c r="A1433" t="str">
        <f>"19157517"</f>
        <v>19157517</v>
      </c>
      <c r="B1433" t="s">
        <v>3115</v>
      </c>
      <c r="C1433" t="str">
        <f t="shared" si="102"/>
        <v>706</v>
      </c>
      <c r="D1433" t="s">
        <v>28</v>
      </c>
      <c r="E1433" t="s">
        <v>52</v>
      </c>
      <c r="F1433" t="s">
        <v>52</v>
      </c>
      <c r="G1433" t="s">
        <v>2371</v>
      </c>
      <c r="H1433" t="str">
        <f>"94991"</f>
        <v>94991</v>
      </c>
      <c r="I1433" t="s">
        <v>433</v>
      </c>
    </row>
    <row r="1434" spans="1:9" x14ac:dyDescent="0.3">
      <c r="A1434" t="str">
        <f>"26525739"</f>
        <v>26525739</v>
      </c>
      <c r="B1434" t="s">
        <v>3116</v>
      </c>
      <c r="C1434" t="str">
        <f t="shared" si="102"/>
        <v>706</v>
      </c>
      <c r="D1434" t="s">
        <v>28</v>
      </c>
      <c r="E1434" t="s">
        <v>52</v>
      </c>
      <c r="F1434" t="s">
        <v>379</v>
      </c>
      <c r="G1434" t="s">
        <v>3117</v>
      </c>
      <c r="H1434" t="str">
        <f>"9499"</f>
        <v>9499</v>
      </c>
      <c r="I1434" t="s">
        <v>31</v>
      </c>
    </row>
    <row r="1435" spans="1:9" x14ac:dyDescent="0.3">
      <c r="A1435" t="str">
        <f>"21426121"</f>
        <v>21426121</v>
      </c>
      <c r="B1435" t="s">
        <v>3118</v>
      </c>
      <c r="C1435" t="str">
        <f t="shared" si="102"/>
        <v>706</v>
      </c>
      <c r="D1435" t="s">
        <v>28</v>
      </c>
      <c r="E1435" t="s">
        <v>83</v>
      </c>
      <c r="F1435" t="s">
        <v>409</v>
      </c>
      <c r="G1435" t="s">
        <v>3119</v>
      </c>
      <c r="H1435" t="str">
        <f>"93190"</f>
        <v>93190</v>
      </c>
      <c r="I1435" t="s">
        <v>59</v>
      </c>
    </row>
    <row r="1436" spans="1:9" x14ac:dyDescent="0.3">
      <c r="A1436" t="str">
        <f>"47659131"</f>
        <v>47659131</v>
      </c>
      <c r="B1436" t="s">
        <v>3120</v>
      </c>
      <c r="C1436" t="str">
        <f t="shared" si="102"/>
        <v>706</v>
      </c>
      <c r="D1436" t="s">
        <v>28</v>
      </c>
      <c r="E1436" t="s">
        <v>29</v>
      </c>
      <c r="F1436" t="s">
        <v>38</v>
      </c>
      <c r="G1436" t="s">
        <v>38</v>
      </c>
      <c r="H1436" t="str">
        <f>"9499"</f>
        <v>9499</v>
      </c>
      <c r="I1436" t="s">
        <v>31</v>
      </c>
    </row>
    <row r="1437" spans="1:9" x14ac:dyDescent="0.3">
      <c r="A1437" t="str">
        <f>"26560500"</f>
        <v>26560500</v>
      </c>
      <c r="B1437" t="s">
        <v>3121</v>
      </c>
      <c r="C1437" t="str">
        <f t="shared" si="102"/>
        <v>706</v>
      </c>
      <c r="D1437" t="s">
        <v>28</v>
      </c>
      <c r="E1437" t="s">
        <v>29</v>
      </c>
      <c r="F1437" t="s">
        <v>38</v>
      </c>
      <c r="G1437" t="s">
        <v>3062</v>
      </c>
      <c r="H1437" t="str">
        <f>"93120"</f>
        <v>93120</v>
      </c>
      <c r="I1437" t="s">
        <v>54</v>
      </c>
    </row>
    <row r="1438" spans="1:9" x14ac:dyDescent="0.3">
      <c r="A1438" t="str">
        <f>"22612858"</f>
        <v>22612858</v>
      </c>
      <c r="B1438" t="s">
        <v>3122</v>
      </c>
      <c r="C1438" t="str">
        <f t="shared" si="102"/>
        <v>706</v>
      </c>
      <c r="D1438" t="s">
        <v>28</v>
      </c>
      <c r="E1438" t="s">
        <v>52</v>
      </c>
      <c r="F1438" t="s">
        <v>52</v>
      </c>
      <c r="G1438" t="s">
        <v>3123</v>
      </c>
      <c r="H1438" t="str">
        <f>"9499"</f>
        <v>9499</v>
      </c>
      <c r="I1438" t="s">
        <v>31</v>
      </c>
    </row>
    <row r="1439" spans="1:9" x14ac:dyDescent="0.3">
      <c r="A1439" t="str">
        <f>"70904995"</f>
        <v>70904995</v>
      </c>
      <c r="B1439" t="s">
        <v>3124</v>
      </c>
      <c r="C1439" t="str">
        <f t="shared" si="102"/>
        <v>706</v>
      </c>
      <c r="D1439" t="s">
        <v>28</v>
      </c>
      <c r="E1439" t="s">
        <v>83</v>
      </c>
      <c r="F1439" t="s">
        <v>175</v>
      </c>
      <c r="G1439" t="s">
        <v>3125</v>
      </c>
      <c r="H1439" t="str">
        <f>"9499"</f>
        <v>9499</v>
      </c>
      <c r="I1439" t="s">
        <v>31</v>
      </c>
    </row>
    <row r="1440" spans="1:9" x14ac:dyDescent="0.3">
      <c r="A1440" t="str">
        <f>"26559714"</f>
        <v>26559714</v>
      </c>
      <c r="B1440" t="s">
        <v>3126</v>
      </c>
      <c r="C1440" t="str">
        <f t="shared" si="102"/>
        <v>706</v>
      </c>
      <c r="D1440" t="s">
        <v>28</v>
      </c>
      <c r="E1440" t="s">
        <v>83</v>
      </c>
      <c r="F1440" t="s">
        <v>83</v>
      </c>
      <c r="G1440" t="s">
        <v>3127</v>
      </c>
      <c r="H1440" t="str">
        <f t="shared" ref="H1440:H1444" si="103">"93110"</f>
        <v>93110</v>
      </c>
      <c r="I1440" t="s">
        <v>92</v>
      </c>
    </row>
    <row r="1441" spans="1:9" x14ac:dyDescent="0.3">
      <c r="A1441" t="str">
        <f>"27037487"</f>
        <v>27037487</v>
      </c>
      <c r="B1441" t="s">
        <v>3128</v>
      </c>
      <c r="C1441" t="str">
        <f t="shared" si="102"/>
        <v>706</v>
      </c>
      <c r="D1441" t="s">
        <v>28</v>
      </c>
      <c r="E1441" t="s">
        <v>52</v>
      </c>
      <c r="F1441" t="s">
        <v>94</v>
      </c>
      <c r="G1441" t="s">
        <v>3129</v>
      </c>
      <c r="H1441" t="str">
        <f t="shared" si="103"/>
        <v>93110</v>
      </c>
      <c r="I1441" t="s">
        <v>92</v>
      </c>
    </row>
    <row r="1442" spans="1:9" x14ac:dyDescent="0.3">
      <c r="A1442" t="str">
        <f>"66184606"</f>
        <v>66184606</v>
      </c>
      <c r="B1442" t="s">
        <v>3130</v>
      </c>
      <c r="C1442" t="str">
        <f t="shared" si="102"/>
        <v>706</v>
      </c>
      <c r="D1442" t="s">
        <v>28</v>
      </c>
      <c r="E1442" t="s">
        <v>29</v>
      </c>
      <c r="F1442" t="s">
        <v>29</v>
      </c>
      <c r="G1442" t="s">
        <v>3131</v>
      </c>
      <c r="H1442" t="str">
        <f t="shared" si="103"/>
        <v>93110</v>
      </c>
      <c r="I1442" t="s">
        <v>92</v>
      </c>
    </row>
    <row r="1443" spans="1:9" x14ac:dyDescent="0.3">
      <c r="A1443" t="str">
        <f>"26676770"</f>
        <v>26676770</v>
      </c>
      <c r="B1443" t="s">
        <v>3132</v>
      </c>
      <c r="C1443" t="str">
        <f t="shared" si="102"/>
        <v>706</v>
      </c>
      <c r="D1443" t="s">
        <v>28</v>
      </c>
      <c r="E1443" t="s">
        <v>23</v>
      </c>
      <c r="F1443" t="s">
        <v>24</v>
      </c>
      <c r="G1443" t="s">
        <v>3133</v>
      </c>
      <c r="H1443" t="str">
        <f t="shared" si="103"/>
        <v>93110</v>
      </c>
      <c r="I1443" t="s">
        <v>92</v>
      </c>
    </row>
    <row r="1444" spans="1:9" x14ac:dyDescent="0.3">
      <c r="A1444" t="str">
        <f>"40994961"</f>
        <v>40994961</v>
      </c>
      <c r="B1444" t="s">
        <v>3134</v>
      </c>
      <c r="C1444" t="str">
        <f t="shared" si="102"/>
        <v>706</v>
      </c>
      <c r="D1444" t="s">
        <v>28</v>
      </c>
      <c r="E1444" t="s">
        <v>23</v>
      </c>
      <c r="F1444" t="s">
        <v>975</v>
      </c>
      <c r="G1444" t="s">
        <v>3135</v>
      </c>
      <c r="H1444" t="str">
        <f t="shared" si="103"/>
        <v>93110</v>
      </c>
      <c r="I1444" t="s">
        <v>92</v>
      </c>
    </row>
    <row r="1445" spans="1:9" x14ac:dyDescent="0.3">
      <c r="A1445" t="str">
        <f>"68158149"</f>
        <v>68158149</v>
      </c>
      <c r="B1445" t="s">
        <v>3136</v>
      </c>
      <c r="C1445" t="str">
        <f t="shared" si="102"/>
        <v>706</v>
      </c>
      <c r="D1445" t="s">
        <v>28</v>
      </c>
      <c r="E1445" t="s">
        <v>83</v>
      </c>
      <c r="F1445" t="s">
        <v>83</v>
      </c>
      <c r="G1445" t="s">
        <v>3137</v>
      </c>
      <c r="H1445" t="str">
        <f>"93120"</f>
        <v>93120</v>
      </c>
      <c r="I1445" t="s">
        <v>54</v>
      </c>
    </row>
    <row r="1446" spans="1:9" x14ac:dyDescent="0.3">
      <c r="A1446" t="str">
        <f>"70284695"</f>
        <v>70284695</v>
      </c>
      <c r="B1446" t="s">
        <v>3138</v>
      </c>
      <c r="C1446" t="str">
        <f t="shared" si="102"/>
        <v>706</v>
      </c>
      <c r="D1446" t="s">
        <v>28</v>
      </c>
      <c r="E1446" t="s">
        <v>83</v>
      </c>
      <c r="F1446" t="s">
        <v>873</v>
      </c>
      <c r="G1446" t="s">
        <v>3139</v>
      </c>
      <c r="H1446" t="str">
        <f>"93120"</f>
        <v>93120</v>
      </c>
      <c r="I1446" t="s">
        <v>54</v>
      </c>
    </row>
    <row r="1447" spans="1:9" x14ac:dyDescent="0.3">
      <c r="A1447" t="str">
        <f>"26554992"</f>
        <v>26554992</v>
      </c>
      <c r="B1447" t="s">
        <v>3140</v>
      </c>
      <c r="C1447" t="str">
        <f t="shared" si="102"/>
        <v>706</v>
      </c>
      <c r="D1447" t="s">
        <v>28</v>
      </c>
      <c r="E1447" t="s">
        <v>29</v>
      </c>
      <c r="F1447" t="s">
        <v>29</v>
      </c>
      <c r="G1447" t="s">
        <v>3141</v>
      </c>
      <c r="H1447" t="str">
        <f>"93110"</f>
        <v>93110</v>
      </c>
      <c r="I1447" t="s">
        <v>92</v>
      </c>
    </row>
    <row r="1448" spans="1:9" x14ac:dyDescent="0.3">
      <c r="A1448" t="str">
        <f>"03163873"</f>
        <v>03163873</v>
      </c>
      <c r="B1448" t="s">
        <v>3142</v>
      </c>
      <c r="C1448" t="str">
        <f t="shared" si="102"/>
        <v>706</v>
      </c>
      <c r="D1448" t="s">
        <v>28</v>
      </c>
      <c r="E1448" t="s">
        <v>23</v>
      </c>
      <c r="F1448" t="s">
        <v>23</v>
      </c>
      <c r="G1448" t="s">
        <v>3143</v>
      </c>
      <c r="H1448" t="str">
        <f>"93190"</f>
        <v>93190</v>
      </c>
      <c r="I1448" t="s">
        <v>59</v>
      </c>
    </row>
    <row r="1449" spans="1:9" x14ac:dyDescent="0.3">
      <c r="A1449" t="str">
        <f>"22713883"</f>
        <v>22713883</v>
      </c>
      <c r="B1449" t="s">
        <v>3144</v>
      </c>
      <c r="C1449" t="str">
        <f t="shared" si="102"/>
        <v>706</v>
      </c>
      <c r="D1449" t="s">
        <v>28</v>
      </c>
      <c r="E1449" t="s">
        <v>83</v>
      </c>
      <c r="F1449" t="s">
        <v>183</v>
      </c>
      <c r="G1449" t="s">
        <v>3145</v>
      </c>
      <c r="H1449" t="str">
        <f>"93110"</f>
        <v>93110</v>
      </c>
      <c r="I1449" t="s">
        <v>92</v>
      </c>
    </row>
    <row r="1450" spans="1:9" x14ac:dyDescent="0.3">
      <c r="A1450" t="str">
        <f>"22684808"</f>
        <v>22684808</v>
      </c>
      <c r="B1450" t="s">
        <v>3146</v>
      </c>
      <c r="C1450" t="str">
        <f t="shared" si="102"/>
        <v>706</v>
      </c>
      <c r="D1450" t="s">
        <v>28</v>
      </c>
      <c r="E1450" t="s">
        <v>83</v>
      </c>
      <c r="F1450" t="s">
        <v>183</v>
      </c>
      <c r="G1450" t="s">
        <v>3147</v>
      </c>
      <c r="H1450" t="str">
        <f>"9499"</f>
        <v>9499</v>
      </c>
      <c r="I1450" t="s">
        <v>31</v>
      </c>
    </row>
    <row r="1451" spans="1:9" x14ac:dyDescent="0.3">
      <c r="A1451" t="str">
        <f>"04405536"</f>
        <v>04405536</v>
      </c>
      <c r="B1451" t="s">
        <v>3148</v>
      </c>
      <c r="C1451" t="str">
        <f t="shared" si="102"/>
        <v>706</v>
      </c>
      <c r="D1451" t="s">
        <v>28</v>
      </c>
      <c r="E1451" t="s">
        <v>83</v>
      </c>
      <c r="F1451" t="s">
        <v>183</v>
      </c>
      <c r="G1451" t="s">
        <v>3149</v>
      </c>
      <c r="H1451" t="str">
        <f>"93190"</f>
        <v>93190</v>
      </c>
      <c r="I1451" t="s">
        <v>59</v>
      </c>
    </row>
    <row r="1452" spans="1:9" x14ac:dyDescent="0.3">
      <c r="A1452" t="str">
        <f>"26561867"</f>
        <v>26561867</v>
      </c>
      <c r="B1452" t="s">
        <v>3151</v>
      </c>
      <c r="C1452" t="str">
        <f t="shared" si="102"/>
        <v>706</v>
      </c>
      <c r="D1452" t="s">
        <v>28</v>
      </c>
      <c r="E1452" t="s">
        <v>83</v>
      </c>
      <c r="F1452" t="s">
        <v>183</v>
      </c>
      <c r="G1452" t="s">
        <v>3152</v>
      </c>
      <c r="H1452" t="str">
        <f>"9499"</f>
        <v>9499</v>
      </c>
      <c r="I1452" t="s">
        <v>31</v>
      </c>
    </row>
    <row r="1453" spans="1:9" x14ac:dyDescent="0.3">
      <c r="A1453" t="str">
        <f>"04359844"</f>
        <v>04359844</v>
      </c>
      <c r="B1453" t="s">
        <v>3153</v>
      </c>
      <c r="C1453" t="str">
        <f t="shared" si="102"/>
        <v>706</v>
      </c>
      <c r="D1453" t="s">
        <v>28</v>
      </c>
      <c r="E1453" t="s">
        <v>83</v>
      </c>
      <c r="F1453" t="s">
        <v>183</v>
      </c>
      <c r="G1453" t="s">
        <v>2757</v>
      </c>
      <c r="H1453" t="str">
        <f>"93190"</f>
        <v>93190</v>
      </c>
      <c r="I1453" t="s">
        <v>59</v>
      </c>
    </row>
    <row r="1454" spans="1:9" x14ac:dyDescent="0.3">
      <c r="A1454" t="str">
        <f>"22731342"</f>
        <v>22731342</v>
      </c>
      <c r="B1454" t="s">
        <v>3154</v>
      </c>
      <c r="C1454" t="str">
        <f t="shared" si="102"/>
        <v>706</v>
      </c>
      <c r="D1454" t="s">
        <v>28</v>
      </c>
      <c r="E1454" t="s">
        <v>83</v>
      </c>
      <c r="F1454" t="s">
        <v>183</v>
      </c>
      <c r="G1454" t="s">
        <v>3155</v>
      </c>
      <c r="H1454" t="str">
        <f>"9499"</f>
        <v>9499</v>
      </c>
      <c r="I1454" t="s">
        <v>31</v>
      </c>
    </row>
    <row r="1455" spans="1:9" x14ac:dyDescent="0.3">
      <c r="A1455" t="str">
        <f>"06395015"</f>
        <v>06395015</v>
      </c>
      <c r="B1455" t="s">
        <v>3156</v>
      </c>
      <c r="C1455" t="str">
        <f t="shared" si="102"/>
        <v>706</v>
      </c>
      <c r="D1455" t="s">
        <v>28</v>
      </c>
      <c r="E1455" t="s">
        <v>23</v>
      </c>
      <c r="F1455" t="s">
        <v>23</v>
      </c>
      <c r="G1455" t="s">
        <v>3157</v>
      </c>
      <c r="H1455" t="str">
        <f>"93120"</f>
        <v>93120</v>
      </c>
      <c r="I1455" t="s">
        <v>54</v>
      </c>
    </row>
    <row r="1456" spans="1:9" x14ac:dyDescent="0.3">
      <c r="A1456" t="str">
        <f>"68081651"</f>
        <v>68081651</v>
      </c>
      <c r="B1456" t="s">
        <v>3158</v>
      </c>
      <c r="C1456" t="str">
        <f t="shared" si="102"/>
        <v>706</v>
      </c>
      <c r="D1456" t="s">
        <v>28</v>
      </c>
      <c r="E1456" t="s">
        <v>83</v>
      </c>
      <c r="F1456" t="s">
        <v>83</v>
      </c>
      <c r="G1456" t="s">
        <v>3159</v>
      </c>
      <c r="H1456" t="str">
        <f>"93120"</f>
        <v>93120</v>
      </c>
      <c r="I1456" t="s">
        <v>54</v>
      </c>
    </row>
    <row r="1457" spans="1:9" x14ac:dyDescent="0.3">
      <c r="A1457" t="str">
        <f>"21656533"</f>
        <v>21656533</v>
      </c>
      <c r="B1457" t="s">
        <v>3160</v>
      </c>
      <c r="C1457" t="str">
        <f t="shared" si="102"/>
        <v>706</v>
      </c>
      <c r="D1457" t="s">
        <v>28</v>
      </c>
      <c r="E1457" t="s">
        <v>23</v>
      </c>
      <c r="F1457" t="s">
        <v>23</v>
      </c>
      <c r="G1457" t="s">
        <v>754</v>
      </c>
      <c r="H1457" t="str">
        <f>"9499"</f>
        <v>9499</v>
      </c>
      <c r="I1457" t="s">
        <v>31</v>
      </c>
    </row>
    <row r="1458" spans="1:9" x14ac:dyDescent="0.3">
      <c r="A1458" t="str">
        <f>"22750126"</f>
        <v>22750126</v>
      </c>
      <c r="B1458" t="s">
        <v>3161</v>
      </c>
      <c r="C1458" t="str">
        <f t="shared" si="102"/>
        <v>706</v>
      </c>
      <c r="D1458" t="s">
        <v>28</v>
      </c>
      <c r="E1458" t="s">
        <v>29</v>
      </c>
      <c r="F1458" t="s">
        <v>38</v>
      </c>
      <c r="G1458" t="s">
        <v>3162</v>
      </c>
      <c r="H1458" t="str">
        <f>"94993"</f>
        <v>94993</v>
      </c>
      <c r="I1458" t="s">
        <v>50</v>
      </c>
    </row>
    <row r="1459" spans="1:9" x14ac:dyDescent="0.3">
      <c r="A1459" t="str">
        <f>"22680730"</f>
        <v>22680730</v>
      </c>
      <c r="B1459" t="s">
        <v>3163</v>
      </c>
      <c r="C1459" t="str">
        <f t="shared" si="102"/>
        <v>706</v>
      </c>
      <c r="D1459" t="s">
        <v>28</v>
      </c>
      <c r="E1459" t="s">
        <v>52</v>
      </c>
      <c r="F1459" t="s">
        <v>80</v>
      </c>
      <c r="G1459" t="s">
        <v>3164</v>
      </c>
      <c r="H1459" t="str">
        <f>"01700"</f>
        <v>01700</v>
      </c>
      <c r="I1459" t="s">
        <v>1501</v>
      </c>
    </row>
    <row r="1460" spans="1:9" x14ac:dyDescent="0.3">
      <c r="A1460" t="str">
        <f>"67027229"</f>
        <v>67027229</v>
      </c>
      <c r="B1460" t="s">
        <v>3165</v>
      </c>
      <c r="C1460" t="str">
        <f t="shared" si="102"/>
        <v>706</v>
      </c>
      <c r="D1460" t="s">
        <v>28</v>
      </c>
      <c r="E1460" t="s">
        <v>52</v>
      </c>
      <c r="F1460" t="s">
        <v>2038</v>
      </c>
      <c r="G1460" t="s">
        <v>3166</v>
      </c>
      <c r="H1460" t="str">
        <f>"9499"</f>
        <v>9499</v>
      </c>
      <c r="I1460" t="s">
        <v>31</v>
      </c>
    </row>
    <row r="1461" spans="1:9" x14ac:dyDescent="0.3">
      <c r="A1461" t="str">
        <f>"26564581"</f>
        <v>26564581</v>
      </c>
      <c r="B1461" t="s">
        <v>3167</v>
      </c>
      <c r="C1461" t="str">
        <f t="shared" si="102"/>
        <v>706</v>
      </c>
      <c r="D1461" t="s">
        <v>28</v>
      </c>
      <c r="E1461" t="s">
        <v>29</v>
      </c>
      <c r="F1461" t="s">
        <v>38</v>
      </c>
      <c r="G1461" t="s">
        <v>3168</v>
      </c>
      <c r="H1461" t="str">
        <f>"94993"</f>
        <v>94993</v>
      </c>
      <c r="I1461" t="s">
        <v>50</v>
      </c>
    </row>
    <row r="1462" spans="1:9" x14ac:dyDescent="0.3">
      <c r="A1462" t="str">
        <f>"04777433"</f>
        <v>04777433</v>
      </c>
      <c r="B1462" t="s">
        <v>3169</v>
      </c>
      <c r="C1462" t="str">
        <f t="shared" si="102"/>
        <v>706</v>
      </c>
      <c r="D1462" t="s">
        <v>28</v>
      </c>
      <c r="E1462" t="s">
        <v>29</v>
      </c>
      <c r="F1462" t="s">
        <v>195</v>
      </c>
      <c r="G1462" t="s">
        <v>3170</v>
      </c>
      <c r="H1462" t="str">
        <f t="shared" ref="H1462:H1467" si="104">"9499"</f>
        <v>9499</v>
      </c>
      <c r="I1462" t="s">
        <v>31</v>
      </c>
    </row>
    <row r="1463" spans="1:9" x14ac:dyDescent="0.3">
      <c r="A1463" t="str">
        <f>"26645378"</f>
        <v>26645378</v>
      </c>
      <c r="B1463" t="s">
        <v>3171</v>
      </c>
      <c r="C1463" t="str">
        <f t="shared" si="102"/>
        <v>706</v>
      </c>
      <c r="D1463" t="s">
        <v>28</v>
      </c>
      <c r="E1463" t="s">
        <v>23</v>
      </c>
      <c r="F1463" t="s">
        <v>23</v>
      </c>
      <c r="G1463" t="s">
        <v>3172</v>
      </c>
      <c r="H1463" t="str">
        <f t="shared" si="104"/>
        <v>9499</v>
      </c>
      <c r="I1463" t="s">
        <v>31</v>
      </c>
    </row>
    <row r="1464" spans="1:9" x14ac:dyDescent="0.3">
      <c r="A1464" t="str">
        <f>"22687963"</f>
        <v>22687963</v>
      </c>
      <c r="B1464" t="s">
        <v>3173</v>
      </c>
      <c r="C1464" t="str">
        <f t="shared" si="102"/>
        <v>706</v>
      </c>
      <c r="D1464" t="s">
        <v>28</v>
      </c>
      <c r="E1464" t="s">
        <v>29</v>
      </c>
      <c r="F1464" t="s">
        <v>685</v>
      </c>
      <c r="G1464" t="s">
        <v>3174</v>
      </c>
      <c r="H1464" t="str">
        <f t="shared" si="104"/>
        <v>9499</v>
      </c>
      <c r="I1464" t="s">
        <v>31</v>
      </c>
    </row>
    <row r="1465" spans="1:9" x14ac:dyDescent="0.3">
      <c r="A1465" t="str">
        <f>"19275005"</f>
        <v>19275005</v>
      </c>
      <c r="B1465" t="s">
        <v>3175</v>
      </c>
      <c r="C1465" t="str">
        <f t="shared" si="102"/>
        <v>706</v>
      </c>
      <c r="D1465" t="s">
        <v>28</v>
      </c>
      <c r="E1465" t="s">
        <v>23</v>
      </c>
      <c r="F1465" t="s">
        <v>1880</v>
      </c>
      <c r="G1465" t="s">
        <v>3176</v>
      </c>
      <c r="H1465" t="str">
        <f t="shared" si="104"/>
        <v>9499</v>
      </c>
      <c r="I1465" t="s">
        <v>31</v>
      </c>
    </row>
    <row r="1466" spans="1:9" x14ac:dyDescent="0.3">
      <c r="A1466" t="str">
        <f>"14376636"</f>
        <v>14376636</v>
      </c>
      <c r="B1466" t="s">
        <v>3177</v>
      </c>
      <c r="C1466" t="str">
        <f t="shared" si="102"/>
        <v>706</v>
      </c>
      <c r="D1466" t="s">
        <v>28</v>
      </c>
      <c r="E1466" t="s">
        <v>52</v>
      </c>
      <c r="F1466" t="s">
        <v>488</v>
      </c>
      <c r="G1466" t="s">
        <v>3178</v>
      </c>
      <c r="H1466" t="str">
        <f t="shared" si="104"/>
        <v>9499</v>
      </c>
      <c r="I1466" t="s">
        <v>31</v>
      </c>
    </row>
    <row r="1467" spans="1:9" x14ac:dyDescent="0.3">
      <c r="A1467" t="str">
        <f>"22668454"</f>
        <v>22668454</v>
      </c>
      <c r="B1467" t="s">
        <v>3179</v>
      </c>
      <c r="C1467" t="str">
        <f t="shared" si="102"/>
        <v>706</v>
      </c>
      <c r="D1467" t="s">
        <v>28</v>
      </c>
      <c r="E1467" t="s">
        <v>23</v>
      </c>
      <c r="F1467" t="s">
        <v>744</v>
      </c>
      <c r="G1467" t="s">
        <v>3180</v>
      </c>
      <c r="H1467" t="str">
        <f t="shared" si="104"/>
        <v>9499</v>
      </c>
      <c r="I1467" t="s">
        <v>31</v>
      </c>
    </row>
    <row r="1468" spans="1:9" x14ac:dyDescent="0.3">
      <c r="A1468" t="str">
        <f>"27043801"</f>
        <v>27043801</v>
      </c>
      <c r="B1468" t="s">
        <v>3181</v>
      </c>
      <c r="C1468" t="str">
        <f t="shared" si="102"/>
        <v>706</v>
      </c>
      <c r="D1468" t="s">
        <v>28</v>
      </c>
      <c r="E1468" t="s">
        <v>29</v>
      </c>
      <c r="F1468" t="s">
        <v>29</v>
      </c>
      <c r="G1468" t="s">
        <v>3182</v>
      </c>
      <c r="H1468" t="str">
        <f>"93110"</f>
        <v>93110</v>
      </c>
      <c r="I1468" t="s">
        <v>92</v>
      </c>
    </row>
    <row r="1469" spans="1:9" x14ac:dyDescent="0.3">
      <c r="A1469" t="str">
        <f>"22675591"</f>
        <v>22675591</v>
      </c>
      <c r="B1469" t="s">
        <v>3183</v>
      </c>
      <c r="C1469" t="str">
        <f t="shared" si="102"/>
        <v>706</v>
      </c>
      <c r="D1469" t="s">
        <v>28</v>
      </c>
      <c r="E1469" t="s">
        <v>29</v>
      </c>
      <c r="F1469" t="s">
        <v>29</v>
      </c>
      <c r="G1469" t="s">
        <v>3184</v>
      </c>
      <c r="H1469" t="str">
        <f>"9499"</f>
        <v>9499</v>
      </c>
      <c r="I1469" t="s">
        <v>31</v>
      </c>
    </row>
    <row r="1470" spans="1:9" x14ac:dyDescent="0.3">
      <c r="A1470" t="str">
        <f>"26538989"</f>
        <v>26538989</v>
      </c>
      <c r="B1470" t="s">
        <v>3185</v>
      </c>
      <c r="C1470" t="str">
        <f t="shared" si="102"/>
        <v>706</v>
      </c>
      <c r="D1470" t="s">
        <v>28</v>
      </c>
      <c r="E1470" t="s">
        <v>29</v>
      </c>
      <c r="F1470" t="s">
        <v>38</v>
      </c>
      <c r="G1470" t="s">
        <v>3186</v>
      </c>
      <c r="H1470" t="str">
        <f>"93110"</f>
        <v>93110</v>
      </c>
      <c r="I1470" t="s">
        <v>92</v>
      </c>
    </row>
    <row r="1471" spans="1:9" x14ac:dyDescent="0.3">
      <c r="A1471" t="str">
        <f>"28559363"</f>
        <v>28559363</v>
      </c>
      <c r="B1471" t="s">
        <v>3187</v>
      </c>
      <c r="C1471" t="str">
        <f t="shared" si="102"/>
        <v>706</v>
      </c>
      <c r="D1471" t="s">
        <v>28</v>
      </c>
      <c r="E1471" t="s">
        <v>52</v>
      </c>
      <c r="F1471" t="s">
        <v>379</v>
      </c>
      <c r="G1471" t="s">
        <v>3188</v>
      </c>
      <c r="H1471" t="str">
        <f>"93110"</f>
        <v>93110</v>
      </c>
      <c r="I1471" t="s">
        <v>92</v>
      </c>
    </row>
    <row r="1472" spans="1:9" x14ac:dyDescent="0.3">
      <c r="A1472" t="str">
        <f>"27058221"</f>
        <v>27058221</v>
      </c>
      <c r="B1472" t="s">
        <v>3189</v>
      </c>
      <c r="C1472" t="str">
        <f t="shared" si="102"/>
        <v>706</v>
      </c>
      <c r="D1472" t="s">
        <v>28</v>
      </c>
      <c r="E1472" t="s">
        <v>29</v>
      </c>
      <c r="F1472" t="s">
        <v>29</v>
      </c>
      <c r="G1472" t="s">
        <v>3190</v>
      </c>
      <c r="H1472" t="str">
        <f>"93110"</f>
        <v>93110</v>
      </c>
      <c r="I1472" t="s">
        <v>92</v>
      </c>
    </row>
    <row r="1473" spans="1:10" x14ac:dyDescent="0.3">
      <c r="A1473" t="str">
        <f>"18035949"</f>
        <v>18035949</v>
      </c>
      <c r="B1473" t="s">
        <v>3191</v>
      </c>
      <c r="C1473" t="str">
        <f t="shared" si="102"/>
        <v>706</v>
      </c>
      <c r="D1473" t="s">
        <v>28</v>
      </c>
      <c r="E1473" t="s">
        <v>23</v>
      </c>
      <c r="F1473" t="s">
        <v>23</v>
      </c>
      <c r="G1473" t="s">
        <v>3192</v>
      </c>
      <c r="H1473" t="str">
        <f>"93190"</f>
        <v>93190</v>
      </c>
      <c r="I1473" t="s">
        <v>59</v>
      </c>
    </row>
    <row r="1474" spans="1:10" x14ac:dyDescent="0.3">
      <c r="A1474" t="str">
        <f>"26646447"</f>
        <v>26646447</v>
      </c>
      <c r="B1474" t="s">
        <v>3193</v>
      </c>
      <c r="C1474" t="str">
        <f t="shared" si="102"/>
        <v>706</v>
      </c>
      <c r="D1474" t="s">
        <v>28</v>
      </c>
      <c r="E1474" t="s">
        <v>29</v>
      </c>
      <c r="F1474" t="s">
        <v>38</v>
      </c>
      <c r="G1474" t="s">
        <v>3194</v>
      </c>
      <c r="H1474" t="str">
        <f>"93110"</f>
        <v>93110</v>
      </c>
      <c r="I1474" t="s">
        <v>92</v>
      </c>
    </row>
    <row r="1475" spans="1:10" x14ac:dyDescent="0.3">
      <c r="A1475" t="str">
        <f>"22672672"</f>
        <v>22672672</v>
      </c>
      <c r="B1475" t="s">
        <v>3195</v>
      </c>
      <c r="C1475" t="str">
        <f t="shared" si="102"/>
        <v>706</v>
      </c>
      <c r="D1475" t="s">
        <v>28</v>
      </c>
      <c r="E1475" t="s">
        <v>83</v>
      </c>
      <c r="F1475" t="s">
        <v>83</v>
      </c>
      <c r="G1475" t="s">
        <v>3196</v>
      </c>
      <c r="H1475" t="str">
        <f>"9499"</f>
        <v>9499</v>
      </c>
      <c r="I1475" t="s">
        <v>31</v>
      </c>
      <c r="J1475" t="s">
        <v>258</v>
      </c>
    </row>
    <row r="1476" spans="1:10" x14ac:dyDescent="0.3">
      <c r="A1476" t="str">
        <f>"05460697"</f>
        <v>05460697</v>
      </c>
      <c r="B1476" t="s">
        <v>3197</v>
      </c>
      <c r="C1476" t="str">
        <f t="shared" si="102"/>
        <v>706</v>
      </c>
      <c r="D1476" t="s">
        <v>28</v>
      </c>
      <c r="E1476" t="s">
        <v>29</v>
      </c>
      <c r="F1476" t="s">
        <v>195</v>
      </c>
      <c r="G1476" t="s">
        <v>3198</v>
      </c>
      <c r="H1476" t="str">
        <f>"9499"</f>
        <v>9499</v>
      </c>
      <c r="I1476" t="s">
        <v>31</v>
      </c>
    </row>
    <row r="1477" spans="1:10" x14ac:dyDescent="0.3">
      <c r="A1477" t="str">
        <f>"19395299"</f>
        <v>19395299</v>
      </c>
      <c r="B1477" t="s">
        <v>3199</v>
      </c>
      <c r="C1477" t="str">
        <f t="shared" si="102"/>
        <v>706</v>
      </c>
      <c r="D1477" t="s">
        <v>28</v>
      </c>
      <c r="E1477" t="s">
        <v>83</v>
      </c>
      <c r="F1477" t="s">
        <v>175</v>
      </c>
      <c r="G1477" t="s">
        <v>3200</v>
      </c>
      <c r="H1477" t="str">
        <f>"93190"</f>
        <v>93190</v>
      </c>
      <c r="I1477" t="s">
        <v>59</v>
      </c>
    </row>
    <row r="1478" spans="1:10" x14ac:dyDescent="0.3">
      <c r="A1478" t="str">
        <f>"26674076"</f>
        <v>26674076</v>
      </c>
      <c r="B1478" t="s">
        <v>3201</v>
      </c>
      <c r="C1478" t="str">
        <f t="shared" si="102"/>
        <v>706</v>
      </c>
      <c r="D1478" t="s">
        <v>28</v>
      </c>
      <c r="E1478" t="s">
        <v>29</v>
      </c>
      <c r="F1478" t="s">
        <v>1810</v>
      </c>
      <c r="G1478" t="s">
        <v>3202</v>
      </c>
      <c r="H1478" t="str">
        <f>"9499"</f>
        <v>9499</v>
      </c>
      <c r="I1478" t="s">
        <v>31</v>
      </c>
    </row>
    <row r="1479" spans="1:10" x14ac:dyDescent="0.3">
      <c r="A1479" t="str">
        <f>"08729964"</f>
        <v>08729964</v>
      </c>
      <c r="B1479" t="s">
        <v>3203</v>
      </c>
      <c r="C1479" t="str">
        <f t="shared" si="102"/>
        <v>706</v>
      </c>
      <c r="D1479" t="s">
        <v>28</v>
      </c>
      <c r="E1479" t="s">
        <v>29</v>
      </c>
      <c r="F1479" t="s">
        <v>38</v>
      </c>
      <c r="G1479" t="s">
        <v>3204</v>
      </c>
      <c r="H1479" t="str">
        <f>"9499"</f>
        <v>9499</v>
      </c>
      <c r="I1479" t="s">
        <v>31</v>
      </c>
    </row>
    <row r="1480" spans="1:10" x14ac:dyDescent="0.3">
      <c r="A1480" t="str">
        <f>"26561255"</f>
        <v>26561255</v>
      </c>
      <c r="B1480" t="s">
        <v>3205</v>
      </c>
      <c r="C1480" t="str">
        <f t="shared" si="102"/>
        <v>706</v>
      </c>
      <c r="D1480" t="s">
        <v>28</v>
      </c>
      <c r="E1480" t="s">
        <v>23</v>
      </c>
      <c r="F1480" t="s">
        <v>23</v>
      </c>
      <c r="G1480" t="s">
        <v>3206</v>
      </c>
      <c r="H1480" t="str">
        <f>"93120"</f>
        <v>93120</v>
      </c>
      <c r="I1480" t="s">
        <v>54</v>
      </c>
    </row>
    <row r="1481" spans="1:10" x14ac:dyDescent="0.3">
      <c r="A1481" t="str">
        <f>"66610486"</f>
        <v>66610486</v>
      </c>
      <c r="B1481" t="s">
        <v>3207</v>
      </c>
      <c r="C1481" t="str">
        <f t="shared" si="102"/>
        <v>706</v>
      </c>
      <c r="D1481" t="s">
        <v>28</v>
      </c>
      <c r="E1481" t="s">
        <v>83</v>
      </c>
      <c r="F1481" t="s">
        <v>3208</v>
      </c>
      <c r="G1481" t="s">
        <v>3209</v>
      </c>
      <c r="H1481" t="str">
        <f>"931"</f>
        <v>931</v>
      </c>
      <c r="I1481" t="s">
        <v>26</v>
      </c>
    </row>
    <row r="1482" spans="1:10" x14ac:dyDescent="0.3">
      <c r="A1482" t="str">
        <f>"23308672"</f>
        <v>23308672</v>
      </c>
      <c r="B1482" t="s">
        <v>3210</v>
      </c>
      <c r="C1482" t="str">
        <f t="shared" si="102"/>
        <v>706</v>
      </c>
      <c r="D1482" t="s">
        <v>28</v>
      </c>
      <c r="E1482" t="s">
        <v>29</v>
      </c>
      <c r="F1482" t="s">
        <v>195</v>
      </c>
      <c r="G1482" t="s">
        <v>3211</v>
      </c>
      <c r="H1482" t="str">
        <f>"9499"</f>
        <v>9499</v>
      </c>
      <c r="I1482" t="s">
        <v>31</v>
      </c>
    </row>
    <row r="1483" spans="1:10" x14ac:dyDescent="0.3">
      <c r="A1483" t="str">
        <f>"26545985"</f>
        <v>26545985</v>
      </c>
      <c r="B1483" t="s">
        <v>3212</v>
      </c>
      <c r="C1483" t="str">
        <f t="shared" si="102"/>
        <v>706</v>
      </c>
      <c r="D1483" t="s">
        <v>28</v>
      </c>
      <c r="E1483" t="s">
        <v>29</v>
      </c>
      <c r="F1483" t="s">
        <v>195</v>
      </c>
      <c r="G1483" t="s">
        <v>3213</v>
      </c>
      <c r="H1483" t="str">
        <f>"90010"</f>
        <v>90010</v>
      </c>
      <c r="I1483" t="s">
        <v>2014</v>
      </c>
    </row>
    <row r="1484" spans="1:10" x14ac:dyDescent="0.3">
      <c r="A1484" t="str">
        <f>"22722742"</f>
        <v>22722742</v>
      </c>
      <c r="B1484" t="s">
        <v>3214</v>
      </c>
      <c r="C1484" t="str">
        <f t="shared" si="102"/>
        <v>706</v>
      </c>
      <c r="D1484" t="s">
        <v>28</v>
      </c>
      <c r="E1484" t="s">
        <v>52</v>
      </c>
      <c r="F1484" t="s">
        <v>52</v>
      </c>
      <c r="G1484" t="s">
        <v>2956</v>
      </c>
      <c r="H1484" t="str">
        <f t="shared" ref="H1484:H1492" si="105">"9499"</f>
        <v>9499</v>
      </c>
      <c r="I1484" t="s">
        <v>31</v>
      </c>
    </row>
    <row r="1485" spans="1:10" x14ac:dyDescent="0.3">
      <c r="A1485" t="str">
        <f>"26524279"</f>
        <v>26524279</v>
      </c>
      <c r="B1485" t="s">
        <v>3215</v>
      </c>
      <c r="C1485" t="str">
        <f t="shared" ref="C1485:C1505" si="106">"706"</f>
        <v>706</v>
      </c>
      <c r="D1485" t="s">
        <v>28</v>
      </c>
      <c r="E1485" t="s">
        <v>52</v>
      </c>
      <c r="F1485" t="s">
        <v>52</v>
      </c>
      <c r="G1485" t="s">
        <v>3216</v>
      </c>
      <c r="H1485" t="str">
        <f t="shared" si="105"/>
        <v>9499</v>
      </c>
      <c r="I1485" t="s">
        <v>31</v>
      </c>
      <c r="J1485" t="s">
        <v>159</v>
      </c>
    </row>
    <row r="1486" spans="1:10" x14ac:dyDescent="0.3">
      <c r="A1486" t="str">
        <f>"70893136"</f>
        <v>70893136</v>
      </c>
      <c r="B1486" t="s">
        <v>3217</v>
      </c>
      <c r="C1486" t="str">
        <f t="shared" si="106"/>
        <v>706</v>
      </c>
      <c r="D1486" t="s">
        <v>28</v>
      </c>
      <c r="E1486" t="s">
        <v>52</v>
      </c>
      <c r="F1486" t="s">
        <v>52</v>
      </c>
      <c r="G1486" t="s">
        <v>3218</v>
      </c>
      <c r="H1486" t="str">
        <f t="shared" si="105"/>
        <v>9499</v>
      </c>
      <c r="I1486" t="s">
        <v>31</v>
      </c>
    </row>
    <row r="1487" spans="1:10" x14ac:dyDescent="0.3">
      <c r="A1487" t="str">
        <f>"17918456"</f>
        <v>17918456</v>
      </c>
      <c r="B1487" t="s">
        <v>3219</v>
      </c>
      <c r="C1487" t="str">
        <f t="shared" si="106"/>
        <v>706</v>
      </c>
      <c r="D1487" t="s">
        <v>28</v>
      </c>
      <c r="E1487" t="s">
        <v>52</v>
      </c>
      <c r="F1487" t="s">
        <v>52</v>
      </c>
      <c r="G1487" t="s">
        <v>3220</v>
      </c>
      <c r="H1487" t="str">
        <f t="shared" si="105"/>
        <v>9499</v>
      </c>
      <c r="I1487" t="s">
        <v>31</v>
      </c>
    </row>
    <row r="1488" spans="1:10" x14ac:dyDescent="0.3">
      <c r="A1488" t="str">
        <f>"22674357"</f>
        <v>22674357</v>
      </c>
      <c r="B1488" t="s">
        <v>3221</v>
      </c>
      <c r="C1488" t="str">
        <f t="shared" si="106"/>
        <v>706</v>
      </c>
      <c r="D1488" t="s">
        <v>28</v>
      </c>
      <c r="E1488" t="s">
        <v>29</v>
      </c>
      <c r="F1488" t="s">
        <v>1926</v>
      </c>
      <c r="G1488" t="s">
        <v>3222</v>
      </c>
      <c r="H1488" t="str">
        <f t="shared" si="105"/>
        <v>9499</v>
      </c>
      <c r="I1488" t="s">
        <v>31</v>
      </c>
    </row>
    <row r="1489" spans="1:11" x14ac:dyDescent="0.3">
      <c r="A1489" t="str">
        <f>"21409153"</f>
        <v>21409153</v>
      </c>
      <c r="B1489" t="s">
        <v>3223</v>
      </c>
      <c r="C1489" t="str">
        <f t="shared" si="106"/>
        <v>706</v>
      </c>
      <c r="D1489" t="s">
        <v>28</v>
      </c>
      <c r="E1489" t="s">
        <v>23</v>
      </c>
      <c r="F1489" t="s">
        <v>23</v>
      </c>
      <c r="G1489" t="s">
        <v>3224</v>
      </c>
      <c r="H1489" t="str">
        <f t="shared" si="105"/>
        <v>9499</v>
      </c>
      <c r="I1489" t="s">
        <v>31</v>
      </c>
    </row>
    <row r="1490" spans="1:11" x14ac:dyDescent="0.3">
      <c r="A1490" t="str">
        <f>"22855084"</f>
        <v>22855084</v>
      </c>
      <c r="B1490" t="s">
        <v>3225</v>
      </c>
      <c r="C1490" t="str">
        <f t="shared" si="106"/>
        <v>706</v>
      </c>
      <c r="D1490" t="s">
        <v>28</v>
      </c>
      <c r="E1490" t="s">
        <v>23</v>
      </c>
      <c r="F1490" t="s">
        <v>23</v>
      </c>
      <c r="G1490" t="s">
        <v>3226</v>
      </c>
      <c r="H1490" t="str">
        <f t="shared" si="105"/>
        <v>9499</v>
      </c>
      <c r="I1490" t="s">
        <v>31</v>
      </c>
    </row>
    <row r="1491" spans="1:11" x14ac:dyDescent="0.3">
      <c r="A1491" t="str">
        <f>"22847031"</f>
        <v>22847031</v>
      </c>
      <c r="B1491" t="s">
        <v>3227</v>
      </c>
      <c r="C1491" t="str">
        <f t="shared" si="106"/>
        <v>706</v>
      </c>
      <c r="D1491" t="s">
        <v>28</v>
      </c>
      <c r="E1491" t="s">
        <v>29</v>
      </c>
      <c r="F1491" t="s">
        <v>607</v>
      </c>
      <c r="G1491" t="s">
        <v>3228</v>
      </c>
      <c r="H1491" t="str">
        <f t="shared" si="105"/>
        <v>9499</v>
      </c>
      <c r="I1491" t="s">
        <v>31</v>
      </c>
    </row>
    <row r="1492" spans="1:11" x14ac:dyDescent="0.3">
      <c r="A1492" t="str">
        <f>"22853910"</f>
        <v>22853910</v>
      </c>
      <c r="B1492" t="s">
        <v>3229</v>
      </c>
      <c r="C1492" t="str">
        <f t="shared" si="106"/>
        <v>706</v>
      </c>
      <c r="D1492" t="s">
        <v>28</v>
      </c>
      <c r="E1492" t="s">
        <v>23</v>
      </c>
      <c r="F1492" t="s">
        <v>23</v>
      </c>
      <c r="G1492" t="s">
        <v>3230</v>
      </c>
      <c r="H1492" t="str">
        <f t="shared" si="105"/>
        <v>9499</v>
      </c>
      <c r="I1492" t="s">
        <v>31</v>
      </c>
    </row>
    <row r="1493" spans="1:11" x14ac:dyDescent="0.3">
      <c r="A1493" t="str">
        <f>"09403183"</f>
        <v>09403183</v>
      </c>
      <c r="B1493" t="s">
        <v>3231</v>
      </c>
      <c r="C1493" t="str">
        <f t="shared" si="106"/>
        <v>706</v>
      </c>
      <c r="D1493" t="s">
        <v>28</v>
      </c>
      <c r="E1493" t="s">
        <v>83</v>
      </c>
      <c r="F1493" t="s">
        <v>944</v>
      </c>
      <c r="G1493" t="s">
        <v>3232</v>
      </c>
      <c r="H1493" t="str">
        <f>"94993"</f>
        <v>94993</v>
      </c>
      <c r="I1493" t="s">
        <v>50</v>
      </c>
    </row>
    <row r="1494" spans="1:11" x14ac:dyDescent="0.3">
      <c r="A1494" t="str">
        <f>"27055272"</f>
        <v>27055272</v>
      </c>
      <c r="B1494" t="s">
        <v>3233</v>
      </c>
      <c r="C1494" t="str">
        <f t="shared" si="106"/>
        <v>706</v>
      </c>
      <c r="D1494" t="s">
        <v>28</v>
      </c>
      <c r="E1494" t="s">
        <v>23</v>
      </c>
      <c r="F1494" t="s">
        <v>23</v>
      </c>
      <c r="G1494" t="s">
        <v>3234</v>
      </c>
      <c r="H1494" t="str">
        <f t="shared" ref="H1494:H1503" si="107">"9499"</f>
        <v>9499</v>
      </c>
      <c r="I1494" t="s">
        <v>31</v>
      </c>
    </row>
    <row r="1495" spans="1:11" x14ac:dyDescent="0.3">
      <c r="A1495" t="str">
        <f>"01324748"</f>
        <v>01324748</v>
      </c>
      <c r="B1495" t="s">
        <v>3235</v>
      </c>
      <c r="C1495" t="str">
        <f t="shared" si="106"/>
        <v>706</v>
      </c>
      <c r="D1495" t="s">
        <v>28</v>
      </c>
      <c r="E1495" t="s">
        <v>29</v>
      </c>
      <c r="F1495" t="s">
        <v>3236</v>
      </c>
      <c r="G1495" t="s">
        <v>3237</v>
      </c>
      <c r="H1495" t="str">
        <f t="shared" si="107"/>
        <v>9499</v>
      </c>
      <c r="I1495" t="s">
        <v>31</v>
      </c>
      <c r="J1495" t="s">
        <v>258</v>
      </c>
      <c r="K1495" t="s">
        <v>3238</v>
      </c>
    </row>
    <row r="1496" spans="1:11" x14ac:dyDescent="0.3">
      <c r="A1496" t="str">
        <f>"26600846"</f>
        <v>26600846</v>
      </c>
      <c r="B1496" t="s">
        <v>3239</v>
      </c>
      <c r="C1496" t="str">
        <f t="shared" si="106"/>
        <v>706</v>
      </c>
      <c r="D1496" t="s">
        <v>28</v>
      </c>
      <c r="E1496" t="s">
        <v>29</v>
      </c>
      <c r="F1496" t="s">
        <v>195</v>
      </c>
      <c r="G1496" t="s">
        <v>3240</v>
      </c>
      <c r="H1496" t="str">
        <f t="shared" si="107"/>
        <v>9499</v>
      </c>
      <c r="I1496" t="s">
        <v>31</v>
      </c>
    </row>
    <row r="1497" spans="1:11" x14ac:dyDescent="0.3">
      <c r="A1497" t="str">
        <f>"48471178"</f>
        <v>48471178</v>
      </c>
      <c r="B1497" t="s">
        <v>3241</v>
      </c>
      <c r="C1497" t="str">
        <f t="shared" si="106"/>
        <v>706</v>
      </c>
      <c r="D1497" t="s">
        <v>28</v>
      </c>
      <c r="E1497" t="s">
        <v>23</v>
      </c>
      <c r="F1497" t="s">
        <v>23</v>
      </c>
      <c r="G1497" t="s">
        <v>418</v>
      </c>
      <c r="H1497" t="str">
        <f t="shared" si="107"/>
        <v>9499</v>
      </c>
      <c r="I1497" t="s">
        <v>31</v>
      </c>
    </row>
    <row r="1498" spans="1:11" x14ac:dyDescent="0.3">
      <c r="A1498" t="str">
        <f>"17829691"</f>
        <v>17829691</v>
      </c>
      <c r="B1498" t="s">
        <v>3242</v>
      </c>
      <c r="C1498" t="str">
        <f t="shared" si="106"/>
        <v>706</v>
      </c>
      <c r="D1498" t="s">
        <v>28</v>
      </c>
      <c r="E1498" t="s">
        <v>52</v>
      </c>
      <c r="F1498" t="s">
        <v>113</v>
      </c>
      <c r="G1498" t="s">
        <v>3243</v>
      </c>
      <c r="H1498" t="str">
        <f t="shared" si="107"/>
        <v>9499</v>
      </c>
      <c r="I1498" t="s">
        <v>31</v>
      </c>
      <c r="J1498" t="s">
        <v>163</v>
      </c>
    </row>
    <row r="1499" spans="1:11" x14ac:dyDescent="0.3">
      <c r="A1499" t="str">
        <f>"06110517"</f>
        <v>06110517</v>
      </c>
      <c r="B1499" t="s">
        <v>3244</v>
      </c>
      <c r="C1499" t="str">
        <f t="shared" si="106"/>
        <v>706</v>
      </c>
      <c r="D1499" t="s">
        <v>28</v>
      </c>
      <c r="E1499" t="s">
        <v>23</v>
      </c>
      <c r="F1499" t="s">
        <v>24</v>
      </c>
      <c r="G1499" t="s">
        <v>850</v>
      </c>
      <c r="H1499" t="str">
        <f t="shared" si="107"/>
        <v>9499</v>
      </c>
      <c r="I1499" t="s">
        <v>31</v>
      </c>
    </row>
    <row r="1500" spans="1:11" x14ac:dyDescent="0.3">
      <c r="A1500" t="str">
        <f>"04353463"</f>
        <v>04353463</v>
      </c>
      <c r="B1500" t="s">
        <v>3245</v>
      </c>
      <c r="C1500" t="str">
        <f t="shared" si="106"/>
        <v>706</v>
      </c>
      <c r="D1500" t="s">
        <v>28</v>
      </c>
      <c r="E1500" t="s">
        <v>29</v>
      </c>
      <c r="F1500" t="s">
        <v>1266</v>
      </c>
      <c r="G1500" t="s">
        <v>3246</v>
      </c>
      <c r="H1500" t="str">
        <f t="shared" si="107"/>
        <v>9499</v>
      </c>
      <c r="I1500" t="s">
        <v>31</v>
      </c>
    </row>
    <row r="1501" spans="1:11" x14ac:dyDescent="0.3">
      <c r="A1501" t="str">
        <f>"22897330"</f>
        <v>22897330</v>
      </c>
      <c r="B1501" t="s">
        <v>3247</v>
      </c>
      <c r="C1501" t="str">
        <f t="shared" si="106"/>
        <v>706</v>
      </c>
      <c r="D1501" t="s">
        <v>28</v>
      </c>
      <c r="E1501" t="s">
        <v>29</v>
      </c>
      <c r="F1501" t="s">
        <v>38</v>
      </c>
      <c r="G1501" t="s">
        <v>3248</v>
      </c>
      <c r="H1501" t="str">
        <f t="shared" si="107"/>
        <v>9499</v>
      </c>
      <c r="I1501" t="s">
        <v>31</v>
      </c>
    </row>
    <row r="1502" spans="1:11" x14ac:dyDescent="0.3">
      <c r="A1502" t="str">
        <f>"66184762"</f>
        <v>66184762</v>
      </c>
      <c r="B1502" t="s">
        <v>3249</v>
      </c>
      <c r="C1502" t="str">
        <f t="shared" si="106"/>
        <v>706</v>
      </c>
      <c r="D1502" t="s">
        <v>28</v>
      </c>
      <c r="E1502" t="s">
        <v>29</v>
      </c>
      <c r="F1502" t="s">
        <v>195</v>
      </c>
      <c r="G1502" t="s">
        <v>3250</v>
      </c>
      <c r="H1502" t="str">
        <f t="shared" si="107"/>
        <v>9499</v>
      </c>
      <c r="I1502" t="s">
        <v>31</v>
      </c>
    </row>
    <row r="1503" spans="1:11" x14ac:dyDescent="0.3">
      <c r="A1503" t="str">
        <f>"63458667"</f>
        <v>63458667</v>
      </c>
      <c r="B1503" t="s">
        <v>3251</v>
      </c>
      <c r="C1503" t="str">
        <f t="shared" si="106"/>
        <v>706</v>
      </c>
      <c r="D1503" t="s">
        <v>28</v>
      </c>
      <c r="E1503" t="s">
        <v>83</v>
      </c>
      <c r="F1503" t="s">
        <v>537</v>
      </c>
      <c r="G1503" t="s">
        <v>918</v>
      </c>
      <c r="H1503" t="str">
        <f t="shared" si="107"/>
        <v>9499</v>
      </c>
      <c r="I1503" t="s">
        <v>31</v>
      </c>
    </row>
    <row r="1504" spans="1:11" x14ac:dyDescent="0.3">
      <c r="A1504" t="str">
        <f>"28555881"</f>
        <v>28555881</v>
      </c>
      <c r="B1504" t="s">
        <v>3252</v>
      </c>
      <c r="C1504" t="str">
        <f t="shared" si="106"/>
        <v>706</v>
      </c>
      <c r="D1504" t="s">
        <v>28</v>
      </c>
      <c r="E1504" t="s">
        <v>52</v>
      </c>
      <c r="F1504" t="s">
        <v>65</v>
      </c>
      <c r="G1504" t="s">
        <v>3253</v>
      </c>
      <c r="H1504" t="str">
        <f>"94"</f>
        <v>94</v>
      </c>
      <c r="I1504" t="s">
        <v>1016</v>
      </c>
    </row>
    <row r="1505" spans="1:21" x14ac:dyDescent="0.3">
      <c r="A1505" t="str">
        <f>"01555723"</f>
        <v>01555723</v>
      </c>
      <c r="B1505" t="s">
        <v>3254</v>
      </c>
      <c r="C1505" t="str">
        <f t="shared" si="106"/>
        <v>706</v>
      </c>
      <c r="D1505" t="s">
        <v>28</v>
      </c>
      <c r="E1505" t="s">
        <v>29</v>
      </c>
      <c r="F1505" t="s">
        <v>29</v>
      </c>
      <c r="G1505" t="s">
        <v>3049</v>
      </c>
      <c r="H1505" t="str">
        <f>"9499"</f>
        <v>9499</v>
      </c>
      <c r="I1505" t="s">
        <v>31</v>
      </c>
    </row>
    <row r="1506" spans="1:21" x14ac:dyDescent="0.3">
      <c r="A1506" t="str">
        <f>"70829560"</f>
        <v>70829560</v>
      </c>
      <c r="B1506" t="s">
        <v>3255</v>
      </c>
      <c r="C1506" t="str">
        <f>"161"</f>
        <v>161</v>
      </c>
      <c r="D1506" t="s">
        <v>152</v>
      </c>
      <c r="E1506" t="s">
        <v>23</v>
      </c>
      <c r="F1506" t="s">
        <v>23</v>
      </c>
      <c r="G1506" t="s">
        <v>3256</v>
      </c>
      <c r="H1506" t="str">
        <f>"87301"</f>
        <v>87301</v>
      </c>
      <c r="I1506" t="s">
        <v>1186</v>
      </c>
      <c r="J1506" t="s">
        <v>147</v>
      </c>
      <c r="K1506" t="s">
        <v>157</v>
      </c>
      <c r="L1506" t="s">
        <v>622</v>
      </c>
      <c r="M1506" t="s">
        <v>1119</v>
      </c>
      <c r="N1506" t="s">
        <v>40</v>
      </c>
      <c r="O1506" t="s">
        <v>209</v>
      </c>
      <c r="P1506" t="s">
        <v>1362</v>
      </c>
      <c r="Q1506" t="s">
        <v>161</v>
      </c>
      <c r="R1506" t="s">
        <v>162</v>
      </c>
      <c r="S1506" t="s">
        <v>3257</v>
      </c>
      <c r="T1506" t="s">
        <v>3258</v>
      </c>
      <c r="U1506" t="s">
        <v>148</v>
      </c>
    </row>
    <row r="1507" spans="1:21" x14ac:dyDescent="0.3">
      <c r="A1507" t="str">
        <f>"22839453"</f>
        <v>22839453</v>
      </c>
      <c r="B1507" t="s">
        <v>3259</v>
      </c>
      <c r="C1507" t="str">
        <f t="shared" ref="C1507:C1513" si="108">"706"</f>
        <v>706</v>
      </c>
      <c r="D1507" t="s">
        <v>28</v>
      </c>
      <c r="E1507" t="s">
        <v>29</v>
      </c>
      <c r="F1507" t="s">
        <v>1810</v>
      </c>
      <c r="G1507" t="s">
        <v>3260</v>
      </c>
      <c r="H1507" t="str">
        <f>"94991"</f>
        <v>94991</v>
      </c>
      <c r="I1507" t="s">
        <v>433</v>
      </c>
    </row>
    <row r="1508" spans="1:21" x14ac:dyDescent="0.3">
      <c r="A1508" t="str">
        <f>"26982315"</f>
        <v>26982315</v>
      </c>
      <c r="B1508" t="s">
        <v>3261</v>
      </c>
      <c r="C1508" t="str">
        <f t="shared" si="108"/>
        <v>706</v>
      </c>
      <c r="D1508" t="s">
        <v>28</v>
      </c>
      <c r="E1508" t="s">
        <v>29</v>
      </c>
      <c r="F1508" t="s">
        <v>38</v>
      </c>
      <c r="G1508" t="s">
        <v>3262</v>
      </c>
      <c r="H1508" t="str">
        <f>"9499"</f>
        <v>9499</v>
      </c>
      <c r="I1508" t="s">
        <v>31</v>
      </c>
    </row>
    <row r="1509" spans="1:21" x14ac:dyDescent="0.3">
      <c r="A1509" t="str">
        <f>"26573491"</f>
        <v>26573491</v>
      </c>
      <c r="B1509" t="s">
        <v>3263</v>
      </c>
      <c r="C1509" t="str">
        <f t="shared" si="108"/>
        <v>706</v>
      </c>
      <c r="D1509" t="s">
        <v>28</v>
      </c>
      <c r="E1509" t="s">
        <v>83</v>
      </c>
      <c r="F1509" t="s">
        <v>183</v>
      </c>
      <c r="G1509" t="s">
        <v>3264</v>
      </c>
      <c r="H1509" t="str">
        <f>"90030"</f>
        <v>90030</v>
      </c>
      <c r="I1509" t="s">
        <v>1252</v>
      </c>
    </row>
    <row r="1510" spans="1:21" x14ac:dyDescent="0.3">
      <c r="A1510" t="str">
        <f>"09784675"</f>
        <v>09784675</v>
      </c>
      <c r="B1510" t="s">
        <v>3265</v>
      </c>
      <c r="C1510" t="str">
        <f t="shared" si="108"/>
        <v>706</v>
      </c>
      <c r="D1510" t="s">
        <v>28</v>
      </c>
      <c r="E1510" t="s">
        <v>29</v>
      </c>
      <c r="F1510" t="s">
        <v>195</v>
      </c>
      <c r="G1510" t="s">
        <v>3266</v>
      </c>
      <c r="H1510" t="str">
        <f>"9499"</f>
        <v>9499</v>
      </c>
      <c r="I1510" t="s">
        <v>31</v>
      </c>
    </row>
    <row r="1511" spans="1:21" x14ac:dyDescent="0.3">
      <c r="A1511" t="str">
        <f>"01918087"</f>
        <v>01918087</v>
      </c>
      <c r="B1511" t="s">
        <v>3267</v>
      </c>
      <c r="C1511" t="str">
        <f t="shared" si="108"/>
        <v>706</v>
      </c>
      <c r="D1511" t="s">
        <v>28</v>
      </c>
      <c r="E1511" t="s">
        <v>23</v>
      </c>
      <c r="F1511" t="s">
        <v>3268</v>
      </c>
      <c r="G1511" t="s">
        <v>3269</v>
      </c>
      <c r="H1511" t="str">
        <f>"9499"</f>
        <v>9499</v>
      </c>
      <c r="I1511" t="s">
        <v>31</v>
      </c>
    </row>
    <row r="1512" spans="1:21" x14ac:dyDescent="0.3">
      <c r="A1512" t="str">
        <f>"27048829"</f>
        <v>27048829</v>
      </c>
      <c r="B1512" t="s">
        <v>3270</v>
      </c>
      <c r="C1512" t="str">
        <f t="shared" si="108"/>
        <v>706</v>
      </c>
      <c r="D1512" t="s">
        <v>28</v>
      </c>
      <c r="E1512" t="s">
        <v>52</v>
      </c>
      <c r="F1512" t="s">
        <v>52</v>
      </c>
      <c r="G1512" t="s">
        <v>3271</v>
      </c>
      <c r="H1512" t="str">
        <f>"9499"</f>
        <v>9499</v>
      </c>
      <c r="I1512" t="s">
        <v>31</v>
      </c>
    </row>
    <row r="1513" spans="1:21" x14ac:dyDescent="0.3">
      <c r="A1513" t="str">
        <f>"22742280"</f>
        <v>22742280</v>
      </c>
      <c r="B1513" t="s">
        <v>3272</v>
      </c>
      <c r="C1513" t="str">
        <f t="shared" si="108"/>
        <v>706</v>
      </c>
      <c r="D1513" t="s">
        <v>28</v>
      </c>
      <c r="E1513" t="s">
        <v>29</v>
      </c>
      <c r="F1513" t="s">
        <v>702</v>
      </c>
      <c r="G1513" t="s">
        <v>3273</v>
      </c>
      <c r="H1513" t="str">
        <f>"94993"</f>
        <v>94993</v>
      </c>
      <c r="I1513" t="s">
        <v>50</v>
      </c>
    </row>
    <row r="1514" spans="1:21" x14ac:dyDescent="0.3">
      <c r="A1514" t="str">
        <f>"71182594"</f>
        <v>71182594</v>
      </c>
      <c r="B1514" t="s">
        <v>3274</v>
      </c>
      <c r="C1514" t="str">
        <f>"922"</f>
        <v>922</v>
      </c>
      <c r="D1514" t="s">
        <v>171</v>
      </c>
      <c r="E1514" t="s">
        <v>23</v>
      </c>
      <c r="F1514" t="s">
        <v>23</v>
      </c>
      <c r="G1514" t="s">
        <v>172</v>
      </c>
      <c r="H1514" t="str">
        <f>"85600"</f>
        <v>85600</v>
      </c>
      <c r="I1514" t="s">
        <v>173</v>
      </c>
    </row>
    <row r="1515" spans="1:21" x14ac:dyDescent="0.3">
      <c r="A1515" t="str">
        <f>"05421551"</f>
        <v>05421551</v>
      </c>
      <c r="B1515" t="s">
        <v>3275</v>
      </c>
      <c r="C1515" t="str">
        <f t="shared" ref="C1515:C1529" si="109">"706"</f>
        <v>706</v>
      </c>
      <c r="D1515" t="s">
        <v>28</v>
      </c>
      <c r="E1515" t="s">
        <v>23</v>
      </c>
      <c r="F1515" t="s">
        <v>23</v>
      </c>
      <c r="G1515" t="s">
        <v>279</v>
      </c>
      <c r="H1515" t="str">
        <f>"93190"</f>
        <v>93190</v>
      </c>
      <c r="I1515" t="s">
        <v>59</v>
      </c>
    </row>
    <row r="1516" spans="1:21" x14ac:dyDescent="0.3">
      <c r="A1516" t="str">
        <f>"22865331"</f>
        <v>22865331</v>
      </c>
      <c r="B1516" t="s">
        <v>3276</v>
      </c>
      <c r="C1516" t="str">
        <f t="shared" si="109"/>
        <v>706</v>
      </c>
      <c r="D1516" t="s">
        <v>28</v>
      </c>
      <c r="E1516" t="s">
        <v>29</v>
      </c>
      <c r="F1516" t="s">
        <v>29</v>
      </c>
      <c r="G1516" t="s">
        <v>2440</v>
      </c>
      <c r="H1516" t="str">
        <f>"9499"</f>
        <v>9499</v>
      </c>
      <c r="I1516" t="s">
        <v>31</v>
      </c>
    </row>
    <row r="1517" spans="1:21" x14ac:dyDescent="0.3">
      <c r="A1517" t="str">
        <f>"04365445"</f>
        <v>04365445</v>
      </c>
      <c r="B1517" t="s">
        <v>3277</v>
      </c>
      <c r="C1517" t="str">
        <f t="shared" si="109"/>
        <v>706</v>
      </c>
      <c r="D1517" t="s">
        <v>28</v>
      </c>
      <c r="E1517" t="s">
        <v>23</v>
      </c>
      <c r="F1517" t="s">
        <v>23</v>
      </c>
      <c r="G1517" t="s">
        <v>3278</v>
      </c>
      <c r="H1517" t="str">
        <f>"9499"</f>
        <v>9499</v>
      </c>
      <c r="I1517" t="s">
        <v>31</v>
      </c>
    </row>
    <row r="1518" spans="1:21" x14ac:dyDescent="0.3">
      <c r="A1518" t="str">
        <f>"26554879"</f>
        <v>26554879</v>
      </c>
      <c r="B1518" t="s">
        <v>3279</v>
      </c>
      <c r="C1518" t="str">
        <f t="shared" si="109"/>
        <v>706</v>
      </c>
      <c r="D1518" t="s">
        <v>28</v>
      </c>
      <c r="E1518" t="s">
        <v>83</v>
      </c>
      <c r="F1518" t="s">
        <v>83</v>
      </c>
      <c r="G1518" t="s">
        <v>3280</v>
      </c>
      <c r="H1518" t="str">
        <f>"9499"</f>
        <v>9499</v>
      </c>
      <c r="I1518" t="s">
        <v>31</v>
      </c>
    </row>
    <row r="1519" spans="1:21" x14ac:dyDescent="0.3">
      <c r="A1519" t="str">
        <f>"06337422"</f>
        <v>06337422</v>
      </c>
      <c r="B1519" t="s">
        <v>3281</v>
      </c>
      <c r="C1519" t="str">
        <f t="shared" si="109"/>
        <v>706</v>
      </c>
      <c r="D1519" t="s">
        <v>28</v>
      </c>
      <c r="E1519" t="s">
        <v>83</v>
      </c>
      <c r="F1519" t="s">
        <v>83</v>
      </c>
      <c r="G1519" t="s">
        <v>3282</v>
      </c>
      <c r="H1519" t="str">
        <f>"9499"</f>
        <v>9499</v>
      </c>
      <c r="I1519" t="s">
        <v>31</v>
      </c>
    </row>
    <row r="1520" spans="1:21" x14ac:dyDescent="0.3">
      <c r="A1520" t="str">
        <f>"65823265"</f>
        <v>65823265</v>
      </c>
      <c r="B1520" t="s">
        <v>3283</v>
      </c>
      <c r="C1520" t="str">
        <f t="shared" si="109"/>
        <v>706</v>
      </c>
      <c r="D1520" t="s">
        <v>28</v>
      </c>
      <c r="E1520" t="s">
        <v>23</v>
      </c>
      <c r="F1520" t="s">
        <v>23</v>
      </c>
      <c r="G1520" t="s">
        <v>3284</v>
      </c>
      <c r="H1520" t="str">
        <f>"93110"</f>
        <v>93110</v>
      </c>
      <c r="I1520" t="s">
        <v>92</v>
      </c>
    </row>
    <row r="1521" spans="1:16" x14ac:dyDescent="0.3">
      <c r="A1521" t="str">
        <f>"70892806"</f>
        <v>70892806</v>
      </c>
      <c r="B1521" t="s">
        <v>3285</v>
      </c>
      <c r="C1521" t="str">
        <f t="shared" si="109"/>
        <v>706</v>
      </c>
      <c r="D1521" t="s">
        <v>28</v>
      </c>
      <c r="E1521" t="s">
        <v>52</v>
      </c>
      <c r="F1521" t="s">
        <v>52</v>
      </c>
      <c r="G1521" t="s">
        <v>3286</v>
      </c>
      <c r="H1521" t="str">
        <f>"93120"</f>
        <v>93120</v>
      </c>
      <c r="I1521" t="s">
        <v>54</v>
      </c>
    </row>
    <row r="1522" spans="1:16" x14ac:dyDescent="0.3">
      <c r="A1522" t="str">
        <f>"07998708"</f>
        <v>07998708</v>
      </c>
      <c r="B1522" t="s">
        <v>3287</v>
      </c>
      <c r="C1522" t="str">
        <f t="shared" si="109"/>
        <v>706</v>
      </c>
      <c r="D1522" t="s">
        <v>28</v>
      </c>
      <c r="E1522" t="s">
        <v>83</v>
      </c>
      <c r="F1522" t="s">
        <v>944</v>
      </c>
      <c r="G1522" t="s">
        <v>3288</v>
      </c>
      <c r="H1522" t="str">
        <f>"93190"</f>
        <v>93190</v>
      </c>
      <c r="I1522" t="s">
        <v>59</v>
      </c>
    </row>
    <row r="1523" spans="1:16" x14ac:dyDescent="0.3">
      <c r="A1523" t="str">
        <f>"07098413"</f>
        <v>07098413</v>
      </c>
      <c r="B1523" t="s">
        <v>3289</v>
      </c>
      <c r="C1523" t="str">
        <f t="shared" si="109"/>
        <v>706</v>
      </c>
      <c r="D1523" t="s">
        <v>28</v>
      </c>
      <c r="E1523" t="s">
        <v>83</v>
      </c>
      <c r="F1523" t="s">
        <v>183</v>
      </c>
      <c r="G1523" t="s">
        <v>512</v>
      </c>
      <c r="H1523" t="str">
        <f>"93190"</f>
        <v>93190</v>
      </c>
      <c r="I1523" t="s">
        <v>59</v>
      </c>
    </row>
    <row r="1524" spans="1:16" x14ac:dyDescent="0.3">
      <c r="A1524" t="str">
        <f>"22852905"</f>
        <v>22852905</v>
      </c>
      <c r="B1524" t="s">
        <v>3290</v>
      </c>
      <c r="C1524" t="str">
        <f t="shared" si="109"/>
        <v>706</v>
      </c>
      <c r="D1524" t="s">
        <v>28</v>
      </c>
      <c r="E1524" t="s">
        <v>23</v>
      </c>
      <c r="F1524" t="s">
        <v>141</v>
      </c>
      <c r="G1524" t="s">
        <v>3291</v>
      </c>
      <c r="H1524" t="str">
        <f>"9499"</f>
        <v>9499</v>
      </c>
      <c r="I1524" t="s">
        <v>31</v>
      </c>
    </row>
    <row r="1525" spans="1:16" x14ac:dyDescent="0.3">
      <c r="A1525" t="str">
        <f>"22674721"</f>
        <v>22674721</v>
      </c>
      <c r="B1525" t="s">
        <v>3292</v>
      </c>
      <c r="C1525" t="str">
        <f t="shared" si="109"/>
        <v>706</v>
      </c>
      <c r="D1525" t="s">
        <v>28</v>
      </c>
      <c r="E1525" t="s">
        <v>23</v>
      </c>
      <c r="F1525" t="s">
        <v>24</v>
      </c>
      <c r="G1525" t="s">
        <v>3293</v>
      </c>
      <c r="H1525" t="str">
        <f>"9499"</f>
        <v>9499</v>
      </c>
      <c r="I1525" t="s">
        <v>31</v>
      </c>
    </row>
    <row r="1526" spans="1:16" x14ac:dyDescent="0.3">
      <c r="A1526" t="str">
        <f>"22817603"</f>
        <v>22817603</v>
      </c>
      <c r="B1526" t="s">
        <v>3294</v>
      </c>
      <c r="C1526" t="str">
        <f t="shared" si="109"/>
        <v>706</v>
      </c>
      <c r="D1526" t="s">
        <v>28</v>
      </c>
      <c r="E1526" t="s">
        <v>52</v>
      </c>
      <c r="F1526" t="s">
        <v>52</v>
      </c>
      <c r="G1526" t="s">
        <v>3295</v>
      </c>
      <c r="H1526" t="str">
        <f>"94993"</f>
        <v>94993</v>
      </c>
      <c r="I1526" t="s">
        <v>50</v>
      </c>
    </row>
    <row r="1527" spans="1:16" x14ac:dyDescent="0.3">
      <c r="A1527" t="str">
        <f>"05054036"</f>
        <v>05054036</v>
      </c>
      <c r="B1527" t="s">
        <v>3296</v>
      </c>
      <c r="C1527" t="str">
        <f t="shared" si="109"/>
        <v>706</v>
      </c>
      <c r="D1527" t="s">
        <v>28</v>
      </c>
      <c r="E1527" t="s">
        <v>29</v>
      </c>
      <c r="F1527" t="s">
        <v>1473</v>
      </c>
      <c r="G1527" t="s">
        <v>3297</v>
      </c>
      <c r="H1527" t="str">
        <f>"93110"</f>
        <v>93110</v>
      </c>
      <c r="I1527" t="s">
        <v>92</v>
      </c>
    </row>
    <row r="1528" spans="1:16" x14ac:dyDescent="0.3">
      <c r="A1528" t="str">
        <f>"05324394"</f>
        <v>05324394</v>
      </c>
      <c r="B1528" t="s">
        <v>3298</v>
      </c>
      <c r="C1528" t="str">
        <f t="shared" si="109"/>
        <v>706</v>
      </c>
      <c r="D1528" t="s">
        <v>28</v>
      </c>
      <c r="E1528" t="s">
        <v>83</v>
      </c>
      <c r="F1528" t="s">
        <v>83</v>
      </c>
      <c r="G1528" t="s">
        <v>3299</v>
      </c>
      <c r="H1528" t="str">
        <f>"94999"</f>
        <v>94999</v>
      </c>
      <c r="I1528" t="s">
        <v>202</v>
      </c>
    </row>
    <row r="1529" spans="1:16" x14ac:dyDescent="0.3">
      <c r="A1529" t="str">
        <f>"05496632"</f>
        <v>05496632</v>
      </c>
      <c r="B1529" t="s">
        <v>3300</v>
      </c>
      <c r="C1529" t="str">
        <f t="shared" si="109"/>
        <v>706</v>
      </c>
      <c r="D1529" t="s">
        <v>28</v>
      </c>
      <c r="E1529" t="s">
        <v>52</v>
      </c>
      <c r="F1529" t="s">
        <v>52</v>
      </c>
      <c r="G1529" t="s">
        <v>3301</v>
      </c>
      <c r="H1529" t="str">
        <f>"93190"</f>
        <v>93190</v>
      </c>
      <c r="I1529" t="s">
        <v>59</v>
      </c>
    </row>
    <row r="1530" spans="1:16" x14ac:dyDescent="0.3">
      <c r="A1530" t="str">
        <f>"25553976"</f>
        <v>25553976</v>
      </c>
      <c r="B1530" t="s">
        <v>3302</v>
      </c>
      <c r="C1530" t="str">
        <f>"141"</f>
        <v>141</v>
      </c>
      <c r="D1530" t="s">
        <v>112</v>
      </c>
      <c r="E1530" t="s">
        <v>52</v>
      </c>
      <c r="F1530" t="s">
        <v>1894</v>
      </c>
      <c r="G1530" t="s">
        <v>3303</v>
      </c>
      <c r="H1530" t="str">
        <f>"9499"</f>
        <v>9499</v>
      </c>
      <c r="I1530" t="s">
        <v>31</v>
      </c>
      <c r="J1530" t="s">
        <v>423</v>
      </c>
      <c r="K1530" t="s">
        <v>595</v>
      </c>
      <c r="L1530" t="s">
        <v>1496</v>
      </c>
      <c r="M1530" t="s">
        <v>598</v>
      </c>
      <c r="N1530" t="s">
        <v>499</v>
      </c>
      <c r="O1530" t="s">
        <v>115</v>
      </c>
      <c r="P1530" t="s">
        <v>263</v>
      </c>
    </row>
    <row r="1531" spans="1:16" x14ac:dyDescent="0.3">
      <c r="A1531" t="str">
        <f>"75036177"</f>
        <v>75036177</v>
      </c>
      <c r="B1531" t="s">
        <v>3304</v>
      </c>
      <c r="C1531" t="str">
        <f t="shared" ref="C1531:C1536" si="110">"706"</f>
        <v>706</v>
      </c>
      <c r="D1531" t="s">
        <v>28</v>
      </c>
      <c r="E1531" t="s">
        <v>52</v>
      </c>
      <c r="F1531" t="s">
        <v>113</v>
      </c>
      <c r="G1531" t="s">
        <v>3305</v>
      </c>
      <c r="H1531" t="str">
        <f>"9499"</f>
        <v>9499</v>
      </c>
      <c r="I1531" t="s">
        <v>31</v>
      </c>
    </row>
    <row r="1532" spans="1:16" x14ac:dyDescent="0.3">
      <c r="A1532" t="str">
        <f>"14357941"</f>
        <v>14357941</v>
      </c>
      <c r="B1532" t="s">
        <v>3306</v>
      </c>
      <c r="C1532" t="str">
        <f t="shared" si="110"/>
        <v>706</v>
      </c>
      <c r="D1532" t="s">
        <v>28</v>
      </c>
      <c r="E1532" t="s">
        <v>23</v>
      </c>
      <c r="F1532" t="s">
        <v>23</v>
      </c>
      <c r="G1532" t="s">
        <v>3307</v>
      </c>
      <c r="H1532" t="str">
        <f>"9499"</f>
        <v>9499</v>
      </c>
      <c r="I1532" t="s">
        <v>31</v>
      </c>
    </row>
    <row r="1533" spans="1:16" x14ac:dyDescent="0.3">
      <c r="A1533" t="str">
        <f>"01546651"</f>
        <v>01546651</v>
      </c>
      <c r="B1533" t="s">
        <v>3308</v>
      </c>
      <c r="C1533" t="str">
        <f t="shared" si="110"/>
        <v>706</v>
      </c>
      <c r="D1533" t="s">
        <v>28</v>
      </c>
      <c r="E1533" t="s">
        <v>23</v>
      </c>
      <c r="F1533" t="s">
        <v>102</v>
      </c>
      <c r="G1533" t="s">
        <v>3309</v>
      </c>
      <c r="H1533" t="str">
        <f>"9499"</f>
        <v>9499</v>
      </c>
      <c r="I1533" t="s">
        <v>31</v>
      </c>
    </row>
    <row r="1534" spans="1:16" x14ac:dyDescent="0.3">
      <c r="A1534" t="str">
        <f>"26674599"</f>
        <v>26674599</v>
      </c>
      <c r="B1534" t="s">
        <v>3310</v>
      </c>
      <c r="C1534" t="str">
        <f t="shared" si="110"/>
        <v>706</v>
      </c>
      <c r="D1534" t="s">
        <v>28</v>
      </c>
      <c r="E1534" t="s">
        <v>52</v>
      </c>
      <c r="F1534" t="s">
        <v>113</v>
      </c>
      <c r="G1534" t="s">
        <v>998</v>
      </c>
      <c r="H1534" t="str">
        <f>"93110"</f>
        <v>93110</v>
      </c>
      <c r="I1534" t="s">
        <v>92</v>
      </c>
    </row>
    <row r="1535" spans="1:16" x14ac:dyDescent="0.3">
      <c r="A1535" t="str">
        <f>"08491771"</f>
        <v>08491771</v>
      </c>
      <c r="B1535" t="s">
        <v>3311</v>
      </c>
      <c r="C1535" t="str">
        <f t="shared" si="110"/>
        <v>706</v>
      </c>
      <c r="D1535" t="s">
        <v>28</v>
      </c>
      <c r="E1535" t="s">
        <v>23</v>
      </c>
      <c r="F1535" t="s">
        <v>23</v>
      </c>
      <c r="G1535" t="s">
        <v>3312</v>
      </c>
      <c r="H1535" t="str">
        <f>"93190"</f>
        <v>93190</v>
      </c>
      <c r="I1535" t="s">
        <v>59</v>
      </c>
    </row>
    <row r="1536" spans="1:16" x14ac:dyDescent="0.3">
      <c r="A1536" t="str">
        <f>"28556887"</f>
        <v>28556887</v>
      </c>
      <c r="B1536" t="s">
        <v>3313</v>
      </c>
      <c r="C1536" t="str">
        <f t="shared" si="110"/>
        <v>706</v>
      </c>
      <c r="D1536" t="s">
        <v>28</v>
      </c>
      <c r="E1536" t="s">
        <v>23</v>
      </c>
      <c r="F1536" t="s">
        <v>23</v>
      </c>
      <c r="G1536" t="s">
        <v>1462</v>
      </c>
      <c r="H1536" t="str">
        <f>"93110"</f>
        <v>93110</v>
      </c>
      <c r="I1536" t="s">
        <v>92</v>
      </c>
    </row>
    <row r="1537" spans="1:9" x14ac:dyDescent="0.3">
      <c r="A1537" t="str">
        <f>"28319842"</f>
        <v>28319842</v>
      </c>
      <c r="B1537" t="s">
        <v>3314</v>
      </c>
      <c r="C1537" t="str">
        <f>"141"</f>
        <v>141</v>
      </c>
      <c r="D1537" t="s">
        <v>112</v>
      </c>
      <c r="E1537" t="s">
        <v>23</v>
      </c>
      <c r="F1537" t="s">
        <v>23</v>
      </c>
      <c r="G1537" t="s">
        <v>3315</v>
      </c>
      <c r="H1537" t="str">
        <f>"93290"</f>
        <v>93290</v>
      </c>
      <c r="I1537" t="s">
        <v>126</v>
      </c>
    </row>
    <row r="1538" spans="1:9" x14ac:dyDescent="0.3">
      <c r="A1538" t="str">
        <f>"11659912"</f>
        <v>11659912</v>
      </c>
      <c r="B1538" t="s">
        <v>3316</v>
      </c>
      <c r="C1538" t="str">
        <f>"706"</f>
        <v>706</v>
      </c>
      <c r="D1538" t="s">
        <v>28</v>
      </c>
      <c r="E1538" t="s">
        <v>29</v>
      </c>
      <c r="F1538" t="s">
        <v>1569</v>
      </c>
      <c r="G1538" t="s">
        <v>3317</v>
      </c>
      <c r="H1538" t="str">
        <f>"9499"</f>
        <v>9499</v>
      </c>
      <c r="I1538" t="s">
        <v>31</v>
      </c>
    </row>
    <row r="1539" spans="1:9" x14ac:dyDescent="0.3">
      <c r="A1539" t="str">
        <f>"04535341"</f>
        <v>04535341</v>
      </c>
      <c r="B1539" t="s">
        <v>3318</v>
      </c>
      <c r="C1539" t="str">
        <f>"706"</f>
        <v>706</v>
      </c>
      <c r="D1539" t="s">
        <v>28</v>
      </c>
      <c r="E1539" t="s">
        <v>23</v>
      </c>
      <c r="F1539" t="s">
        <v>23</v>
      </c>
      <c r="G1539" t="s">
        <v>3319</v>
      </c>
      <c r="H1539" t="str">
        <f>"9499"</f>
        <v>9499</v>
      </c>
      <c r="I1539" t="s">
        <v>31</v>
      </c>
    </row>
    <row r="1540" spans="1:9" x14ac:dyDescent="0.3">
      <c r="A1540" t="str">
        <f>"01674951"</f>
        <v>01674951</v>
      </c>
      <c r="B1540" t="s">
        <v>3320</v>
      </c>
      <c r="C1540" t="str">
        <f>"706"</f>
        <v>706</v>
      </c>
      <c r="D1540" t="s">
        <v>28</v>
      </c>
      <c r="E1540" t="s">
        <v>83</v>
      </c>
      <c r="F1540" t="s">
        <v>83</v>
      </c>
      <c r="G1540" t="s">
        <v>3321</v>
      </c>
      <c r="H1540" t="str">
        <f>"9499"</f>
        <v>9499</v>
      </c>
      <c r="I1540" t="s">
        <v>31</v>
      </c>
    </row>
    <row r="1541" spans="1:9" x14ac:dyDescent="0.3">
      <c r="A1541" t="str">
        <f>"26996936"</f>
        <v>26996936</v>
      </c>
      <c r="B1541" t="s">
        <v>3322</v>
      </c>
      <c r="C1541" t="str">
        <f>"706"</f>
        <v>706</v>
      </c>
      <c r="D1541" t="s">
        <v>28</v>
      </c>
      <c r="E1541" t="s">
        <v>23</v>
      </c>
      <c r="F1541" t="s">
        <v>24</v>
      </c>
      <c r="G1541" t="s">
        <v>432</v>
      </c>
      <c r="H1541" t="str">
        <f>"9499"</f>
        <v>9499</v>
      </c>
      <c r="I1541" t="s">
        <v>31</v>
      </c>
    </row>
    <row r="1542" spans="1:9" x14ac:dyDescent="0.3">
      <c r="A1542" t="str">
        <f>"05100470"</f>
        <v>05100470</v>
      </c>
      <c r="B1542" t="s">
        <v>3323</v>
      </c>
      <c r="C1542" t="str">
        <f>"161"</f>
        <v>161</v>
      </c>
      <c r="D1542" t="s">
        <v>152</v>
      </c>
      <c r="E1542" t="s">
        <v>23</v>
      </c>
      <c r="F1542" t="s">
        <v>23</v>
      </c>
      <c r="G1542" t="s">
        <v>1145</v>
      </c>
      <c r="H1542" t="str">
        <f>"9411"</f>
        <v>9411</v>
      </c>
      <c r="I1542" t="s">
        <v>3324</v>
      </c>
    </row>
    <row r="1543" spans="1:9" x14ac:dyDescent="0.3">
      <c r="A1543" t="str">
        <f>"09324194"</f>
        <v>09324194</v>
      </c>
      <c r="B1543" t="s">
        <v>3325</v>
      </c>
      <c r="C1543" t="str">
        <f>"161"</f>
        <v>161</v>
      </c>
      <c r="D1543" t="s">
        <v>152</v>
      </c>
      <c r="E1543" t="s">
        <v>29</v>
      </c>
      <c r="F1543" t="s">
        <v>852</v>
      </c>
      <c r="G1543" t="s">
        <v>3326</v>
      </c>
      <c r="H1543" t="str">
        <f>"9499"</f>
        <v>9499</v>
      </c>
      <c r="I1543" t="s">
        <v>31</v>
      </c>
    </row>
    <row r="1544" spans="1:9" x14ac:dyDescent="0.3">
      <c r="A1544" t="str">
        <f>"05383111"</f>
        <v>05383111</v>
      </c>
      <c r="B1544" t="s">
        <v>3327</v>
      </c>
      <c r="C1544" t="str">
        <f>"706"</f>
        <v>706</v>
      </c>
      <c r="D1544" t="s">
        <v>28</v>
      </c>
      <c r="E1544" t="s">
        <v>23</v>
      </c>
      <c r="F1544" t="s">
        <v>1254</v>
      </c>
      <c r="G1544" t="s">
        <v>3328</v>
      </c>
      <c r="H1544" t="str">
        <f>"9499"</f>
        <v>9499</v>
      </c>
      <c r="I1544" t="s">
        <v>31</v>
      </c>
    </row>
    <row r="1545" spans="1:9" x14ac:dyDescent="0.3">
      <c r="A1545" t="str">
        <f>"08577650"</f>
        <v>08577650</v>
      </c>
      <c r="B1545" t="s">
        <v>3329</v>
      </c>
      <c r="C1545" t="str">
        <f>"706"</f>
        <v>706</v>
      </c>
      <c r="D1545" t="s">
        <v>28</v>
      </c>
      <c r="E1545" t="s">
        <v>29</v>
      </c>
      <c r="F1545" t="s">
        <v>38</v>
      </c>
      <c r="G1545" t="s">
        <v>3330</v>
      </c>
      <c r="H1545" t="str">
        <f>"9499"</f>
        <v>9499</v>
      </c>
      <c r="I1545" t="s">
        <v>31</v>
      </c>
    </row>
    <row r="1546" spans="1:9" x14ac:dyDescent="0.3">
      <c r="A1546" t="str">
        <f>"27031616"</f>
        <v>27031616</v>
      </c>
      <c r="B1546" t="s">
        <v>3331</v>
      </c>
      <c r="C1546" t="str">
        <f>"706"</f>
        <v>706</v>
      </c>
      <c r="D1546" t="s">
        <v>28</v>
      </c>
      <c r="E1546" t="s">
        <v>23</v>
      </c>
      <c r="F1546" t="s">
        <v>3332</v>
      </c>
      <c r="G1546" t="s">
        <v>3333</v>
      </c>
      <c r="H1546" t="str">
        <f>"9499"</f>
        <v>9499</v>
      </c>
      <c r="I1546" t="s">
        <v>31</v>
      </c>
    </row>
    <row r="1547" spans="1:9" x14ac:dyDescent="0.3">
      <c r="A1547" t="str">
        <f>"26991551"</f>
        <v>26991551</v>
      </c>
      <c r="B1547" t="s">
        <v>3334</v>
      </c>
      <c r="C1547" t="str">
        <f>"706"</f>
        <v>706</v>
      </c>
      <c r="D1547" t="s">
        <v>28</v>
      </c>
      <c r="E1547" t="s">
        <v>52</v>
      </c>
      <c r="F1547" t="s">
        <v>52</v>
      </c>
      <c r="G1547" t="s">
        <v>3085</v>
      </c>
      <c r="H1547" t="str">
        <f>"93110"</f>
        <v>93110</v>
      </c>
      <c r="I1547" t="s">
        <v>92</v>
      </c>
    </row>
    <row r="1548" spans="1:9" x14ac:dyDescent="0.3">
      <c r="A1548" t="str">
        <f>"06932576"</f>
        <v>06932576</v>
      </c>
      <c r="B1548" t="s">
        <v>3335</v>
      </c>
      <c r="C1548" t="str">
        <f>"706"</f>
        <v>706</v>
      </c>
      <c r="D1548" t="s">
        <v>28</v>
      </c>
      <c r="E1548" t="s">
        <v>83</v>
      </c>
      <c r="F1548" t="s">
        <v>83</v>
      </c>
      <c r="G1548" t="s">
        <v>3336</v>
      </c>
      <c r="H1548" t="str">
        <f>"9499"</f>
        <v>9499</v>
      </c>
      <c r="I1548" t="s">
        <v>31</v>
      </c>
    </row>
    <row r="1549" spans="1:9" x14ac:dyDescent="0.3">
      <c r="A1549" t="str">
        <f>"69749817"</f>
        <v>69749817</v>
      </c>
      <c r="B1549" t="s">
        <v>3337</v>
      </c>
      <c r="C1549" t="str">
        <f>"736"</f>
        <v>736</v>
      </c>
      <c r="D1549" t="s">
        <v>22</v>
      </c>
      <c r="E1549" t="s">
        <v>52</v>
      </c>
      <c r="F1549" t="s">
        <v>52</v>
      </c>
      <c r="G1549" t="s">
        <v>3338</v>
      </c>
      <c r="H1549" t="str">
        <f>"9499"</f>
        <v>9499</v>
      </c>
      <c r="I1549" t="s">
        <v>31</v>
      </c>
    </row>
    <row r="1550" spans="1:9" x14ac:dyDescent="0.3">
      <c r="A1550" t="str">
        <f>"70920338"</f>
        <v>70920338</v>
      </c>
      <c r="B1550" t="s">
        <v>3339</v>
      </c>
      <c r="C1550" t="str">
        <f>"736"</f>
        <v>736</v>
      </c>
      <c r="D1550" t="s">
        <v>22</v>
      </c>
      <c r="E1550" t="s">
        <v>23</v>
      </c>
      <c r="F1550" t="s">
        <v>23</v>
      </c>
      <c r="G1550" t="s">
        <v>3340</v>
      </c>
      <c r="H1550" t="str">
        <f>"9499"</f>
        <v>9499</v>
      </c>
      <c r="I1550" t="s">
        <v>31</v>
      </c>
    </row>
    <row r="1551" spans="1:9" x14ac:dyDescent="0.3">
      <c r="A1551" t="str">
        <f>"22752731"</f>
        <v>22752731</v>
      </c>
      <c r="B1551" t="s">
        <v>3341</v>
      </c>
      <c r="C1551" t="str">
        <f>"736"</f>
        <v>736</v>
      </c>
      <c r="D1551" t="s">
        <v>22</v>
      </c>
      <c r="E1551" t="s">
        <v>29</v>
      </c>
      <c r="F1551" t="s">
        <v>38</v>
      </c>
      <c r="G1551" t="s">
        <v>3342</v>
      </c>
      <c r="H1551" t="str">
        <f>"9499"</f>
        <v>9499</v>
      </c>
      <c r="I1551" t="s">
        <v>31</v>
      </c>
    </row>
    <row r="1552" spans="1:9" x14ac:dyDescent="0.3">
      <c r="A1552" t="str">
        <f>"22609393"</f>
        <v>22609393</v>
      </c>
      <c r="B1552" t="s">
        <v>3343</v>
      </c>
      <c r="C1552" t="str">
        <f>"706"</f>
        <v>706</v>
      </c>
      <c r="D1552" t="s">
        <v>28</v>
      </c>
      <c r="E1552" t="s">
        <v>23</v>
      </c>
      <c r="F1552" t="s">
        <v>23</v>
      </c>
      <c r="G1552" t="s">
        <v>3344</v>
      </c>
      <c r="H1552" t="str">
        <f>"94120"</f>
        <v>94120</v>
      </c>
      <c r="I1552" t="s">
        <v>43</v>
      </c>
    </row>
    <row r="1553" spans="1:11" x14ac:dyDescent="0.3">
      <c r="A1553" t="str">
        <f>"27033244"</f>
        <v>27033244</v>
      </c>
      <c r="B1553" t="s">
        <v>3345</v>
      </c>
      <c r="C1553" t="str">
        <f>"706"</f>
        <v>706</v>
      </c>
      <c r="D1553" t="s">
        <v>28</v>
      </c>
      <c r="E1553" t="s">
        <v>23</v>
      </c>
      <c r="F1553" t="s">
        <v>23</v>
      </c>
      <c r="G1553" t="s">
        <v>3346</v>
      </c>
      <c r="H1553" t="str">
        <f>"9499"</f>
        <v>9499</v>
      </c>
      <c r="I1553" t="s">
        <v>31</v>
      </c>
    </row>
    <row r="1554" spans="1:11" x14ac:dyDescent="0.3">
      <c r="A1554" t="str">
        <f>"04894031"</f>
        <v>04894031</v>
      </c>
      <c r="B1554" t="s">
        <v>3347</v>
      </c>
      <c r="C1554" t="str">
        <f>"706"</f>
        <v>706</v>
      </c>
      <c r="D1554" t="s">
        <v>28</v>
      </c>
      <c r="E1554" t="s">
        <v>83</v>
      </c>
      <c r="F1554" t="s">
        <v>1532</v>
      </c>
      <c r="G1554" t="s">
        <v>3348</v>
      </c>
      <c r="H1554" t="str">
        <f>"9499"</f>
        <v>9499</v>
      </c>
      <c r="I1554" t="s">
        <v>31</v>
      </c>
    </row>
    <row r="1555" spans="1:11" x14ac:dyDescent="0.3">
      <c r="A1555" t="str">
        <f>"05440530"</f>
        <v>05440530</v>
      </c>
      <c r="B1555" t="s">
        <v>3349</v>
      </c>
      <c r="C1555" t="str">
        <f>"706"</f>
        <v>706</v>
      </c>
      <c r="D1555" t="s">
        <v>28</v>
      </c>
      <c r="E1555" t="s">
        <v>23</v>
      </c>
      <c r="F1555" t="s">
        <v>23</v>
      </c>
      <c r="G1555" t="s">
        <v>3350</v>
      </c>
      <c r="H1555" t="str">
        <f>"93190"</f>
        <v>93190</v>
      </c>
      <c r="I1555" t="s">
        <v>59</v>
      </c>
    </row>
    <row r="1556" spans="1:11" x14ac:dyDescent="0.3">
      <c r="A1556" t="str">
        <f>"22743685"</f>
        <v>22743685</v>
      </c>
      <c r="B1556" t="s">
        <v>3351</v>
      </c>
      <c r="C1556" t="str">
        <f>"706"</f>
        <v>706</v>
      </c>
      <c r="D1556" t="s">
        <v>28</v>
      </c>
      <c r="E1556" t="s">
        <v>23</v>
      </c>
      <c r="F1556" t="s">
        <v>23</v>
      </c>
      <c r="G1556" t="s">
        <v>3352</v>
      </c>
      <c r="H1556" t="str">
        <f>"94991"</f>
        <v>94991</v>
      </c>
      <c r="I1556" t="s">
        <v>433</v>
      </c>
    </row>
    <row r="1557" spans="1:11" x14ac:dyDescent="0.3">
      <c r="A1557" t="str">
        <f>"28647912"</f>
        <v>28647912</v>
      </c>
      <c r="B1557" t="s">
        <v>3353</v>
      </c>
      <c r="C1557" t="str">
        <f>"141"</f>
        <v>141</v>
      </c>
      <c r="D1557" t="s">
        <v>112</v>
      </c>
      <c r="E1557" t="s">
        <v>29</v>
      </c>
      <c r="F1557" t="s">
        <v>38</v>
      </c>
      <c r="G1557" t="s">
        <v>3354</v>
      </c>
      <c r="H1557" t="str">
        <f>"88"</f>
        <v>88</v>
      </c>
      <c r="I1557" t="s">
        <v>154</v>
      </c>
      <c r="J1557" t="s">
        <v>258</v>
      </c>
      <c r="K1557" t="s">
        <v>3355</v>
      </c>
    </row>
    <row r="1558" spans="1:11" x14ac:dyDescent="0.3">
      <c r="A1558" t="str">
        <f>"22766901"</f>
        <v>22766901</v>
      </c>
      <c r="B1558" t="s">
        <v>3356</v>
      </c>
      <c r="C1558" t="str">
        <f>"706"</f>
        <v>706</v>
      </c>
      <c r="D1558" t="s">
        <v>28</v>
      </c>
      <c r="E1558" t="s">
        <v>23</v>
      </c>
      <c r="F1558" t="s">
        <v>23</v>
      </c>
      <c r="G1558" t="s">
        <v>3357</v>
      </c>
      <c r="H1558" t="str">
        <f t="shared" ref="H1558:H1563" si="111">"9499"</f>
        <v>9499</v>
      </c>
      <c r="I1558" t="s">
        <v>31</v>
      </c>
    </row>
    <row r="1559" spans="1:11" x14ac:dyDescent="0.3">
      <c r="A1559" t="str">
        <f>"48472042"</f>
        <v>48472042</v>
      </c>
      <c r="B1559" t="s">
        <v>3358</v>
      </c>
      <c r="C1559" t="str">
        <f>"161"</f>
        <v>161</v>
      </c>
      <c r="D1559" t="s">
        <v>152</v>
      </c>
      <c r="E1559" t="s">
        <v>23</v>
      </c>
      <c r="F1559" t="s">
        <v>23</v>
      </c>
      <c r="G1559" t="s">
        <v>3359</v>
      </c>
      <c r="H1559" t="str">
        <f t="shared" si="111"/>
        <v>9499</v>
      </c>
      <c r="I1559" t="s">
        <v>31</v>
      </c>
      <c r="J1559" t="s">
        <v>209</v>
      </c>
      <c r="K1559" t="s">
        <v>161</v>
      </c>
    </row>
    <row r="1560" spans="1:11" x14ac:dyDescent="0.3">
      <c r="A1560" t="str">
        <f>"01609076"</f>
        <v>01609076</v>
      </c>
      <c r="B1560" t="s">
        <v>3360</v>
      </c>
      <c r="C1560" t="str">
        <f t="shared" ref="C1560:C1578" si="112">"706"</f>
        <v>706</v>
      </c>
      <c r="D1560" t="s">
        <v>28</v>
      </c>
      <c r="E1560" t="s">
        <v>83</v>
      </c>
      <c r="F1560" t="s">
        <v>3361</v>
      </c>
      <c r="G1560" t="s">
        <v>3362</v>
      </c>
      <c r="H1560" t="str">
        <f t="shared" si="111"/>
        <v>9499</v>
      </c>
      <c r="I1560" t="s">
        <v>31</v>
      </c>
    </row>
    <row r="1561" spans="1:11" x14ac:dyDescent="0.3">
      <c r="A1561" t="str">
        <f>"08579300"</f>
        <v>08579300</v>
      </c>
      <c r="B1561" t="s">
        <v>3363</v>
      </c>
      <c r="C1561" t="str">
        <f t="shared" si="112"/>
        <v>706</v>
      </c>
      <c r="D1561" t="s">
        <v>28</v>
      </c>
      <c r="E1561" t="s">
        <v>29</v>
      </c>
      <c r="F1561" t="s">
        <v>250</v>
      </c>
      <c r="G1561" t="s">
        <v>3364</v>
      </c>
      <c r="H1561" t="str">
        <f t="shared" si="111"/>
        <v>9499</v>
      </c>
      <c r="I1561" t="s">
        <v>31</v>
      </c>
    </row>
    <row r="1562" spans="1:11" x14ac:dyDescent="0.3">
      <c r="A1562" t="str">
        <f>"04193555"</f>
        <v>04193555</v>
      </c>
      <c r="B1562" t="s">
        <v>3365</v>
      </c>
      <c r="C1562" t="str">
        <f t="shared" si="112"/>
        <v>706</v>
      </c>
      <c r="D1562" t="s">
        <v>28</v>
      </c>
      <c r="E1562" t="s">
        <v>29</v>
      </c>
      <c r="F1562" t="s">
        <v>250</v>
      </c>
      <c r="G1562" t="s">
        <v>3366</v>
      </c>
      <c r="H1562" t="str">
        <f t="shared" si="111"/>
        <v>9499</v>
      </c>
      <c r="I1562" t="s">
        <v>31</v>
      </c>
    </row>
    <row r="1563" spans="1:11" x14ac:dyDescent="0.3">
      <c r="A1563" t="str">
        <f>"09341293"</f>
        <v>09341293</v>
      </c>
      <c r="B1563" t="s">
        <v>3367</v>
      </c>
      <c r="C1563" t="str">
        <f t="shared" si="112"/>
        <v>706</v>
      </c>
      <c r="D1563" t="s">
        <v>28</v>
      </c>
      <c r="E1563" t="s">
        <v>23</v>
      </c>
      <c r="F1563" t="s">
        <v>793</v>
      </c>
      <c r="G1563" t="s">
        <v>3368</v>
      </c>
      <c r="H1563" t="str">
        <f t="shared" si="111"/>
        <v>9499</v>
      </c>
      <c r="I1563" t="s">
        <v>31</v>
      </c>
    </row>
    <row r="1564" spans="1:11" x14ac:dyDescent="0.3">
      <c r="A1564" t="str">
        <f>"21818614"</f>
        <v>21818614</v>
      </c>
      <c r="B1564" t="s">
        <v>3369</v>
      </c>
      <c r="C1564" t="str">
        <f t="shared" si="112"/>
        <v>706</v>
      </c>
      <c r="D1564" t="s">
        <v>28</v>
      </c>
      <c r="E1564" t="s">
        <v>52</v>
      </c>
      <c r="F1564" t="s">
        <v>920</v>
      </c>
      <c r="G1564" t="s">
        <v>3370</v>
      </c>
      <c r="H1564" t="str">
        <f>"94996"</f>
        <v>94996</v>
      </c>
      <c r="I1564" t="s">
        <v>47</v>
      </c>
    </row>
    <row r="1565" spans="1:11" x14ac:dyDescent="0.3">
      <c r="A1565" t="str">
        <f>"27010945"</f>
        <v>27010945</v>
      </c>
      <c r="B1565" t="s">
        <v>3371</v>
      </c>
      <c r="C1565" t="str">
        <f t="shared" si="112"/>
        <v>706</v>
      </c>
      <c r="D1565" t="s">
        <v>28</v>
      </c>
      <c r="E1565" t="s">
        <v>23</v>
      </c>
      <c r="F1565" t="s">
        <v>141</v>
      </c>
      <c r="G1565" t="s">
        <v>3372</v>
      </c>
      <c r="H1565" t="str">
        <f>"9499"</f>
        <v>9499</v>
      </c>
      <c r="I1565" t="s">
        <v>31</v>
      </c>
    </row>
    <row r="1566" spans="1:11" x14ac:dyDescent="0.3">
      <c r="A1566" t="str">
        <f>"22827234"</f>
        <v>22827234</v>
      </c>
      <c r="B1566" t="s">
        <v>3373</v>
      </c>
      <c r="C1566" t="str">
        <f t="shared" si="112"/>
        <v>706</v>
      </c>
      <c r="D1566" t="s">
        <v>28</v>
      </c>
      <c r="E1566" t="s">
        <v>52</v>
      </c>
      <c r="F1566" t="s">
        <v>52</v>
      </c>
      <c r="G1566" t="s">
        <v>3374</v>
      </c>
      <c r="H1566" t="str">
        <f>"9499"</f>
        <v>9499</v>
      </c>
      <c r="I1566" t="s">
        <v>31</v>
      </c>
    </row>
    <row r="1567" spans="1:11" x14ac:dyDescent="0.3">
      <c r="A1567" t="str">
        <f>"21080291"</f>
        <v>21080291</v>
      </c>
      <c r="B1567" t="s">
        <v>3375</v>
      </c>
      <c r="C1567" t="str">
        <f t="shared" si="112"/>
        <v>706</v>
      </c>
      <c r="D1567" t="s">
        <v>28</v>
      </c>
      <c r="E1567" t="s">
        <v>52</v>
      </c>
      <c r="F1567" t="s">
        <v>113</v>
      </c>
      <c r="G1567" t="s">
        <v>3376</v>
      </c>
      <c r="H1567" t="str">
        <f>"93110"</f>
        <v>93110</v>
      </c>
      <c r="I1567" t="s">
        <v>92</v>
      </c>
    </row>
    <row r="1568" spans="1:11" x14ac:dyDescent="0.3">
      <c r="A1568" t="str">
        <f>"22745424"</f>
        <v>22745424</v>
      </c>
      <c r="B1568" t="s">
        <v>3377</v>
      </c>
      <c r="C1568" t="str">
        <f t="shared" si="112"/>
        <v>706</v>
      </c>
      <c r="D1568" t="s">
        <v>28</v>
      </c>
      <c r="E1568" t="s">
        <v>23</v>
      </c>
      <c r="F1568" t="s">
        <v>24</v>
      </c>
      <c r="G1568" t="s">
        <v>3378</v>
      </c>
      <c r="H1568" t="str">
        <f>"94996"</f>
        <v>94996</v>
      </c>
      <c r="I1568" t="s">
        <v>47</v>
      </c>
    </row>
    <row r="1569" spans="1:10" x14ac:dyDescent="0.3">
      <c r="A1569" t="str">
        <f>"22848762"</f>
        <v>22848762</v>
      </c>
      <c r="B1569" t="s">
        <v>3379</v>
      </c>
      <c r="C1569" t="str">
        <f t="shared" si="112"/>
        <v>706</v>
      </c>
      <c r="D1569" t="s">
        <v>28</v>
      </c>
      <c r="E1569" t="s">
        <v>23</v>
      </c>
      <c r="F1569" t="s">
        <v>99</v>
      </c>
      <c r="G1569" t="s">
        <v>3380</v>
      </c>
      <c r="H1569" t="str">
        <f>"9499"</f>
        <v>9499</v>
      </c>
      <c r="I1569" t="s">
        <v>31</v>
      </c>
    </row>
    <row r="1570" spans="1:10" x14ac:dyDescent="0.3">
      <c r="A1570" t="str">
        <f>"26516080"</f>
        <v>26516080</v>
      </c>
      <c r="B1570" t="s">
        <v>3381</v>
      </c>
      <c r="C1570" t="str">
        <f t="shared" si="112"/>
        <v>706</v>
      </c>
      <c r="D1570" t="s">
        <v>28</v>
      </c>
      <c r="E1570" t="s">
        <v>52</v>
      </c>
      <c r="F1570" t="s">
        <v>631</v>
      </c>
      <c r="G1570" t="s">
        <v>3382</v>
      </c>
      <c r="H1570" t="str">
        <f>"9499"</f>
        <v>9499</v>
      </c>
      <c r="I1570" t="s">
        <v>31</v>
      </c>
    </row>
    <row r="1571" spans="1:10" x14ac:dyDescent="0.3">
      <c r="A1571" t="str">
        <f>"22823433"</f>
        <v>22823433</v>
      </c>
      <c r="B1571" t="s">
        <v>3383</v>
      </c>
      <c r="C1571" t="str">
        <f t="shared" si="112"/>
        <v>706</v>
      </c>
      <c r="D1571" t="s">
        <v>28</v>
      </c>
      <c r="E1571" t="s">
        <v>23</v>
      </c>
      <c r="F1571" t="s">
        <v>68</v>
      </c>
      <c r="G1571" t="s">
        <v>3384</v>
      </c>
      <c r="H1571" t="str">
        <f>"94995"</f>
        <v>94995</v>
      </c>
      <c r="I1571" t="s">
        <v>232</v>
      </c>
    </row>
    <row r="1572" spans="1:10" x14ac:dyDescent="0.3">
      <c r="A1572" t="str">
        <f>"10876766"</f>
        <v>10876766</v>
      </c>
      <c r="B1572" t="s">
        <v>3385</v>
      </c>
      <c r="C1572" t="str">
        <f t="shared" si="112"/>
        <v>706</v>
      </c>
      <c r="D1572" t="s">
        <v>28</v>
      </c>
      <c r="E1572" t="s">
        <v>52</v>
      </c>
      <c r="F1572" t="s">
        <v>2626</v>
      </c>
      <c r="G1572" t="s">
        <v>3386</v>
      </c>
      <c r="H1572" t="str">
        <f>"9499"</f>
        <v>9499</v>
      </c>
      <c r="I1572" t="s">
        <v>31</v>
      </c>
    </row>
    <row r="1573" spans="1:10" x14ac:dyDescent="0.3">
      <c r="A1573" t="str">
        <f>"04478754"</f>
        <v>04478754</v>
      </c>
      <c r="B1573" t="s">
        <v>3387</v>
      </c>
      <c r="C1573" t="str">
        <f t="shared" si="112"/>
        <v>706</v>
      </c>
      <c r="D1573" t="s">
        <v>28</v>
      </c>
      <c r="E1573" t="s">
        <v>83</v>
      </c>
      <c r="F1573" t="s">
        <v>3388</v>
      </c>
      <c r="G1573" t="s">
        <v>3389</v>
      </c>
      <c r="H1573" t="str">
        <f>"94993"</f>
        <v>94993</v>
      </c>
      <c r="I1573" t="s">
        <v>50</v>
      </c>
    </row>
    <row r="1574" spans="1:10" x14ac:dyDescent="0.3">
      <c r="A1574" t="str">
        <f>"08279632"</f>
        <v>08279632</v>
      </c>
      <c r="B1574" t="s">
        <v>3390</v>
      </c>
      <c r="C1574" t="str">
        <f t="shared" si="112"/>
        <v>706</v>
      </c>
      <c r="D1574" t="s">
        <v>28</v>
      </c>
      <c r="E1574" t="s">
        <v>23</v>
      </c>
      <c r="F1574" t="s">
        <v>23</v>
      </c>
      <c r="G1574" t="s">
        <v>3391</v>
      </c>
      <c r="H1574" t="str">
        <f>"9499"</f>
        <v>9499</v>
      </c>
      <c r="I1574" t="s">
        <v>31</v>
      </c>
    </row>
    <row r="1575" spans="1:10" x14ac:dyDescent="0.3">
      <c r="A1575" t="str">
        <f>"28554001"</f>
        <v>28554001</v>
      </c>
      <c r="B1575" t="s">
        <v>3392</v>
      </c>
      <c r="C1575" t="str">
        <f t="shared" si="112"/>
        <v>706</v>
      </c>
      <c r="D1575" t="s">
        <v>28</v>
      </c>
      <c r="E1575" t="s">
        <v>52</v>
      </c>
      <c r="F1575" t="s">
        <v>52</v>
      </c>
      <c r="G1575" t="s">
        <v>3393</v>
      </c>
      <c r="H1575" t="str">
        <f>"9499"</f>
        <v>9499</v>
      </c>
      <c r="I1575" t="s">
        <v>31</v>
      </c>
    </row>
    <row r="1576" spans="1:10" x14ac:dyDescent="0.3">
      <c r="A1576" t="str">
        <f>"26623625"</f>
        <v>26623625</v>
      </c>
      <c r="B1576" t="s">
        <v>3394</v>
      </c>
      <c r="C1576" t="str">
        <f t="shared" si="112"/>
        <v>706</v>
      </c>
      <c r="D1576" t="s">
        <v>28</v>
      </c>
      <c r="E1576" t="s">
        <v>52</v>
      </c>
      <c r="F1576" t="s">
        <v>1829</v>
      </c>
      <c r="G1576" t="s">
        <v>3395</v>
      </c>
      <c r="H1576" t="str">
        <f>"9499"</f>
        <v>9499</v>
      </c>
      <c r="I1576" t="s">
        <v>31</v>
      </c>
    </row>
    <row r="1577" spans="1:10" x14ac:dyDescent="0.3">
      <c r="A1577" t="str">
        <f>"21275971"</f>
        <v>21275971</v>
      </c>
      <c r="B1577" t="s">
        <v>3396</v>
      </c>
      <c r="C1577" t="str">
        <f t="shared" si="112"/>
        <v>706</v>
      </c>
      <c r="D1577" t="s">
        <v>28</v>
      </c>
      <c r="E1577" t="s">
        <v>52</v>
      </c>
      <c r="F1577" t="s">
        <v>52</v>
      </c>
      <c r="G1577" t="s">
        <v>3397</v>
      </c>
      <c r="H1577" t="str">
        <f>"94991"</f>
        <v>94991</v>
      </c>
      <c r="I1577" t="s">
        <v>433</v>
      </c>
    </row>
    <row r="1578" spans="1:10" x14ac:dyDescent="0.3">
      <c r="A1578" t="str">
        <f>"70283958"</f>
        <v>70283958</v>
      </c>
      <c r="B1578" t="s">
        <v>3398</v>
      </c>
      <c r="C1578" t="str">
        <f t="shared" si="112"/>
        <v>706</v>
      </c>
      <c r="D1578" t="s">
        <v>28</v>
      </c>
      <c r="E1578" t="s">
        <v>83</v>
      </c>
      <c r="F1578" t="s">
        <v>83</v>
      </c>
      <c r="G1578" t="s">
        <v>3399</v>
      </c>
      <c r="H1578" t="str">
        <f>"9499"</f>
        <v>9499</v>
      </c>
      <c r="I1578" t="s">
        <v>31</v>
      </c>
    </row>
    <row r="1579" spans="1:10" x14ac:dyDescent="0.3">
      <c r="A1579" t="str">
        <f>"05193834"</f>
        <v>05193834</v>
      </c>
      <c r="B1579" t="s">
        <v>3400</v>
      </c>
      <c r="C1579" t="str">
        <f>"736"</f>
        <v>736</v>
      </c>
      <c r="D1579" t="s">
        <v>22</v>
      </c>
      <c r="E1579" t="s">
        <v>23</v>
      </c>
      <c r="F1579" t="s">
        <v>23</v>
      </c>
      <c r="G1579" t="s">
        <v>3401</v>
      </c>
      <c r="H1579" t="str">
        <f>"9499"</f>
        <v>9499</v>
      </c>
      <c r="I1579" t="s">
        <v>31</v>
      </c>
    </row>
    <row r="1580" spans="1:10" x14ac:dyDescent="0.3">
      <c r="A1580" t="str">
        <f>"06328814"</f>
        <v>06328814</v>
      </c>
      <c r="B1580" t="s">
        <v>3402</v>
      </c>
      <c r="C1580" t="str">
        <f t="shared" ref="C1580:C1637" si="113">"706"</f>
        <v>706</v>
      </c>
      <c r="D1580" t="s">
        <v>28</v>
      </c>
      <c r="E1580" t="s">
        <v>23</v>
      </c>
      <c r="F1580" t="s">
        <v>350</v>
      </c>
      <c r="G1580" t="s">
        <v>3403</v>
      </c>
      <c r="H1580" t="str">
        <f>"9499"</f>
        <v>9499</v>
      </c>
      <c r="I1580" t="s">
        <v>31</v>
      </c>
    </row>
    <row r="1581" spans="1:10" x14ac:dyDescent="0.3">
      <c r="A1581" t="str">
        <f>"09341722"</f>
        <v>09341722</v>
      </c>
      <c r="B1581" t="s">
        <v>3404</v>
      </c>
      <c r="C1581" t="str">
        <f t="shared" si="113"/>
        <v>706</v>
      </c>
      <c r="D1581" t="s">
        <v>28</v>
      </c>
      <c r="E1581" t="s">
        <v>29</v>
      </c>
      <c r="F1581" t="s">
        <v>195</v>
      </c>
      <c r="G1581" t="s">
        <v>3405</v>
      </c>
      <c r="H1581" t="str">
        <f>"9499"</f>
        <v>9499</v>
      </c>
      <c r="I1581" t="s">
        <v>31</v>
      </c>
    </row>
    <row r="1582" spans="1:10" x14ac:dyDescent="0.3">
      <c r="A1582" t="str">
        <f>"21729557"</f>
        <v>21729557</v>
      </c>
      <c r="B1582" t="s">
        <v>3406</v>
      </c>
      <c r="C1582" t="str">
        <f t="shared" si="113"/>
        <v>706</v>
      </c>
      <c r="D1582" t="s">
        <v>28</v>
      </c>
      <c r="E1582" t="s">
        <v>23</v>
      </c>
      <c r="F1582" t="s">
        <v>2318</v>
      </c>
      <c r="G1582" t="s">
        <v>3407</v>
      </c>
      <c r="H1582" t="str">
        <f>"94991"</f>
        <v>94991</v>
      </c>
      <c r="I1582" t="s">
        <v>433</v>
      </c>
    </row>
    <row r="1583" spans="1:10" x14ac:dyDescent="0.3">
      <c r="A1583" t="str">
        <f>"05066051"</f>
        <v>05066051</v>
      </c>
      <c r="B1583" t="s">
        <v>3408</v>
      </c>
      <c r="C1583" t="str">
        <f t="shared" si="113"/>
        <v>706</v>
      </c>
      <c r="D1583" t="s">
        <v>28</v>
      </c>
      <c r="E1583" t="s">
        <v>83</v>
      </c>
      <c r="F1583" t="s">
        <v>83</v>
      </c>
      <c r="G1583" t="s">
        <v>3409</v>
      </c>
      <c r="H1583" t="str">
        <f>"8899"</f>
        <v>8899</v>
      </c>
      <c r="I1583" t="s">
        <v>40</v>
      </c>
      <c r="J1583" t="s">
        <v>221</v>
      </c>
    </row>
    <row r="1584" spans="1:10" x14ac:dyDescent="0.3">
      <c r="A1584" t="str">
        <f>"03752585"</f>
        <v>03752585</v>
      </c>
      <c r="B1584" t="s">
        <v>3410</v>
      </c>
      <c r="C1584" t="str">
        <f t="shared" si="113"/>
        <v>706</v>
      </c>
      <c r="D1584" t="s">
        <v>28</v>
      </c>
      <c r="E1584" t="s">
        <v>29</v>
      </c>
      <c r="F1584" t="s">
        <v>852</v>
      </c>
      <c r="G1584" t="s">
        <v>3411</v>
      </c>
      <c r="H1584" t="str">
        <f>"9319"</f>
        <v>9319</v>
      </c>
      <c r="I1584" t="s">
        <v>59</v>
      </c>
    </row>
    <row r="1585" spans="1:12" x14ac:dyDescent="0.3">
      <c r="A1585" t="str">
        <f>"26987333"</f>
        <v>26987333</v>
      </c>
      <c r="B1585" t="s">
        <v>3412</v>
      </c>
      <c r="C1585" t="str">
        <f t="shared" si="113"/>
        <v>706</v>
      </c>
      <c r="D1585" t="s">
        <v>28</v>
      </c>
      <c r="E1585" t="s">
        <v>83</v>
      </c>
      <c r="F1585" t="s">
        <v>944</v>
      </c>
      <c r="G1585" t="s">
        <v>3413</v>
      </c>
      <c r="H1585" t="str">
        <f>"93120"</f>
        <v>93120</v>
      </c>
      <c r="I1585" t="s">
        <v>54</v>
      </c>
    </row>
    <row r="1586" spans="1:12" x14ac:dyDescent="0.3">
      <c r="A1586" t="str">
        <f>"06832733"</f>
        <v>06832733</v>
      </c>
      <c r="B1586" t="s">
        <v>3414</v>
      </c>
      <c r="C1586" t="str">
        <f t="shared" si="113"/>
        <v>706</v>
      </c>
      <c r="D1586" t="s">
        <v>28</v>
      </c>
      <c r="E1586" t="s">
        <v>52</v>
      </c>
      <c r="F1586" t="s">
        <v>1773</v>
      </c>
      <c r="G1586" t="s">
        <v>3415</v>
      </c>
      <c r="H1586" t="str">
        <f>"93190"</f>
        <v>93190</v>
      </c>
      <c r="I1586" t="s">
        <v>59</v>
      </c>
    </row>
    <row r="1587" spans="1:12" x14ac:dyDescent="0.3">
      <c r="A1587" t="str">
        <f>"26568781"</f>
        <v>26568781</v>
      </c>
      <c r="B1587" t="s">
        <v>3416</v>
      </c>
      <c r="C1587" t="str">
        <f t="shared" si="113"/>
        <v>706</v>
      </c>
      <c r="D1587" t="s">
        <v>28</v>
      </c>
      <c r="E1587" t="s">
        <v>29</v>
      </c>
      <c r="F1587" t="s">
        <v>685</v>
      </c>
      <c r="G1587" t="s">
        <v>3417</v>
      </c>
      <c r="H1587" t="str">
        <f>"93190"</f>
        <v>93190</v>
      </c>
      <c r="I1587" t="s">
        <v>59</v>
      </c>
    </row>
    <row r="1588" spans="1:12" x14ac:dyDescent="0.3">
      <c r="A1588" t="str">
        <f>"22860681"</f>
        <v>22860681</v>
      </c>
      <c r="B1588" t="s">
        <v>3418</v>
      </c>
      <c r="C1588" t="str">
        <f t="shared" si="113"/>
        <v>706</v>
      </c>
      <c r="D1588" t="s">
        <v>28</v>
      </c>
      <c r="E1588" t="s">
        <v>23</v>
      </c>
      <c r="F1588" t="s">
        <v>99</v>
      </c>
      <c r="G1588" t="s">
        <v>3419</v>
      </c>
      <c r="H1588" t="str">
        <f>"93120"</f>
        <v>93120</v>
      </c>
      <c r="I1588" t="s">
        <v>54</v>
      </c>
    </row>
    <row r="1589" spans="1:12" x14ac:dyDescent="0.3">
      <c r="A1589" t="str">
        <f>"27060071"</f>
        <v>27060071</v>
      </c>
      <c r="B1589" t="s">
        <v>3420</v>
      </c>
      <c r="C1589" t="str">
        <f t="shared" si="113"/>
        <v>706</v>
      </c>
      <c r="D1589" t="s">
        <v>28</v>
      </c>
      <c r="E1589" t="s">
        <v>83</v>
      </c>
      <c r="F1589" t="s">
        <v>83</v>
      </c>
      <c r="G1589" t="s">
        <v>3421</v>
      </c>
      <c r="H1589" t="str">
        <f>"93190"</f>
        <v>93190</v>
      </c>
      <c r="I1589" t="s">
        <v>59</v>
      </c>
    </row>
    <row r="1590" spans="1:12" x14ac:dyDescent="0.3">
      <c r="A1590" t="str">
        <f>"27024385"</f>
        <v>27024385</v>
      </c>
      <c r="B1590" t="s">
        <v>3422</v>
      </c>
      <c r="C1590" t="str">
        <f t="shared" si="113"/>
        <v>706</v>
      </c>
      <c r="D1590" t="s">
        <v>28</v>
      </c>
      <c r="E1590" t="s">
        <v>52</v>
      </c>
      <c r="F1590" t="s">
        <v>3423</v>
      </c>
      <c r="G1590" t="s">
        <v>3424</v>
      </c>
      <c r="H1590" t="str">
        <f>"93120"</f>
        <v>93120</v>
      </c>
      <c r="I1590" t="s">
        <v>54</v>
      </c>
    </row>
    <row r="1591" spans="1:12" x14ac:dyDescent="0.3">
      <c r="A1591" t="str">
        <f>"17786801"</f>
        <v>17786801</v>
      </c>
      <c r="B1591" t="s">
        <v>3425</v>
      </c>
      <c r="C1591" t="str">
        <f t="shared" si="113"/>
        <v>706</v>
      </c>
      <c r="D1591" t="s">
        <v>28</v>
      </c>
      <c r="E1591" t="s">
        <v>83</v>
      </c>
      <c r="F1591" t="s">
        <v>1425</v>
      </c>
      <c r="G1591" t="s">
        <v>3426</v>
      </c>
      <c r="H1591" t="str">
        <f>"9499"</f>
        <v>9499</v>
      </c>
      <c r="I1591" t="s">
        <v>31</v>
      </c>
      <c r="J1591" t="s">
        <v>146</v>
      </c>
    </row>
    <row r="1592" spans="1:12" x14ac:dyDescent="0.3">
      <c r="A1592" t="str">
        <f>"65822757"</f>
        <v>65822757</v>
      </c>
      <c r="B1592" t="s">
        <v>3427</v>
      </c>
      <c r="C1592" t="str">
        <f t="shared" si="113"/>
        <v>706</v>
      </c>
      <c r="D1592" t="s">
        <v>28</v>
      </c>
      <c r="E1592" t="s">
        <v>23</v>
      </c>
      <c r="F1592" t="s">
        <v>1877</v>
      </c>
      <c r="G1592" t="s">
        <v>3428</v>
      </c>
      <c r="H1592" t="str">
        <f>"93120"</f>
        <v>93120</v>
      </c>
      <c r="I1592" t="s">
        <v>54</v>
      </c>
    </row>
    <row r="1593" spans="1:12" x14ac:dyDescent="0.3">
      <c r="A1593" t="str">
        <f>"04846273"</f>
        <v>04846273</v>
      </c>
      <c r="B1593" t="s">
        <v>3429</v>
      </c>
      <c r="C1593" t="str">
        <f t="shared" si="113"/>
        <v>706</v>
      </c>
      <c r="D1593" t="s">
        <v>28</v>
      </c>
      <c r="E1593" t="s">
        <v>23</v>
      </c>
      <c r="F1593" t="s">
        <v>1773</v>
      </c>
      <c r="G1593" t="s">
        <v>3430</v>
      </c>
      <c r="H1593" t="str">
        <f>"93190"</f>
        <v>93190</v>
      </c>
      <c r="I1593" t="s">
        <v>59</v>
      </c>
    </row>
    <row r="1594" spans="1:12" x14ac:dyDescent="0.3">
      <c r="A1594" t="str">
        <f>"01730487"</f>
        <v>01730487</v>
      </c>
      <c r="B1594" t="s">
        <v>3431</v>
      </c>
      <c r="C1594" t="str">
        <f t="shared" si="113"/>
        <v>706</v>
      </c>
      <c r="D1594" t="s">
        <v>28</v>
      </c>
      <c r="E1594" t="s">
        <v>83</v>
      </c>
      <c r="F1594" t="s">
        <v>175</v>
      </c>
      <c r="G1594" t="s">
        <v>175</v>
      </c>
      <c r="H1594" t="str">
        <f>"93190"</f>
        <v>93190</v>
      </c>
      <c r="I1594" t="s">
        <v>59</v>
      </c>
    </row>
    <row r="1595" spans="1:12" x14ac:dyDescent="0.3">
      <c r="A1595" t="str">
        <f>"26583577"</f>
        <v>26583577</v>
      </c>
      <c r="B1595" t="s">
        <v>3432</v>
      </c>
      <c r="C1595" t="str">
        <f t="shared" si="113"/>
        <v>706</v>
      </c>
      <c r="D1595" t="s">
        <v>28</v>
      </c>
      <c r="E1595" t="s">
        <v>29</v>
      </c>
      <c r="F1595" t="s">
        <v>38</v>
      </c>
      <c r="G1595" t="s">
        <v>3433</v>
      </c>
      <c r="H1595" t="str">
        <f>"93110"</f>
        <v>93110</v>
      </c>
      <c r="I1595" t="s">
        <v>92</v>
      </c>
    </row>
    <row r="1596" spans="1:12" x14ac:dyDescent="0.3">
      <c r="A1596" t="str">
        <f>"22745301"</f>
        <v>22745301</v>
      </c>
      <c r="B1596" t="s">
        <v>3434</v>
      </c>
      <c r="C1596" t="str">
        <f t="shared" si="113"/>
        <v>706</v>
      </c>
      <c r="D1596" t="s">
        <v>28</v>
      </c>
      <c r="E1596" t="s">
        <v>52</v>
      </c>
      <c r="F1596" t="s">
        <v>94</v>
      </c>
      <c r="G1596" t="s">
        <v>3435</v>
      </c>
      <c r="H1596" t="str">
        <f>"93120"</f>
        <v>93120</v>
      </c>
      <c r="I1596" t="s">
        <v>54</v>
      </c>
    </row>
    <row r="1597" spans="1:12" x14ac:dyDescent="0.3">
      <c r="A1597" t="str">
        <f>"26545535"</f>
        <v>26545535</v>
      </c>
      <c r="B1597" t="s">
        <v>3436</v>
      </c>
      <c r="C1597" t="str">
        <f t="shared" si="113"/>
        <v>706</v>
      </c>
      <c r="D1597" t="s">
        <v>28</v>
      </c>
      <c r="E1597" t="s">
        <v>83</v>
      </c>
      <c r="F1597" t="s">
        <v>1425</v>
      </c>
      <c r="G1597" t="s">
        <v>3437</v>
      </c>
      <c r="H1597" t="str">
        <f>"93110"</f>
        <v>93110</v>
      </c>
      <c r="I1597" t="s">
        <v>92</v>
      </c>
    </row>
    <row r="1598" spans="1:12" x14ac:dyDescent="0.3">
      <c r="A1598" t="str">
        <f>"67007589"</f>
        <v>67007589</v>
      </c>
      <c r="B1598" t="s">
        <v>3438</v>
      </c>
      <c r="C1598" t="str">
        <f t="shared" si="113"/>
        <v>706</v>
      </c>
      <c r="D1598" t="s">
        <v>28</v>
      </c>
      <c r="E1598" t="s">
        <v>83</v>
      </c>
      <c r="F1598" t="s">
        <v>83</v>
      </c>
      <c r="G1598" t="s">
        <v>3439</v>
      </c>
      <c r="H1598" t="str">
        <f>"93120"</f>
        <v>93120</v>
      </c>
      <c r="I1598" t="s">
        <v>54</v>
      </c>
    </row>
    <row r="1599" spans="1:12" x14ac:dyDescent="0.3">
      <c r="A1599" t="str">
        <f>"70936595"</f>
        <v>70936595</v>
      </c>
      <c r="B1599" t="s">
        <v>3440</v>
      </c>
      <c r="C1599" t="str">
        <f t="shared" si="113"/>
        <v>706</v>
      </c>
      <c r="D1599" t="s">
        <v>28</v>
      </c>
      <c r="E1599" t="s">
        <v>29</v>
      </c>
      <c r="F1599" t="s">
        <v>38</v>
      </c>
      <c r="G1599" t="s">
        <v>3441</v>
      </c>
      <c r="H1599" t="str">
        <f>"93120"</f>
        <v>93120</v>
      </c>
      <c r="I1599" t="s">
        <v>54</v>
      </c>
      <c r="J1599" t="s">
        <v>3442</v>
      </c>
      <c r="K1599" t="s">
        <v>3443</v>
      </c>
      <c r="L1599" t="s">
        <v>2350</v>
      </c>
    </row>
    <row r="1600" spans="1:12" x14ac:dyDescent="0.3">
      <c r="A1600" t="str">
        <f>"07406576"</f>
        <v>07406576</v>
      </c>
      <c r="B1600" t="s">
        <v>3444</v>
      </c>
      <c r="C1600" t="str">
        <f t="shared" si="113"/>
        <v>706</v>
      </c>
      <c r="D1600" t="s">
        <v>28</v>
      </c>
      <c r="E1600" t="s">
        <v>29</v>
      </c>
      <c r="F1600" t="s">
        <v>195</v>
      </c>
      <c r="G1600" t="s">
        <v>3445</v>
      </c>
      <c r="H1600" t="str">
        <f>"94993"</f>
        <v>94993</v>
      </c>
      <c r="I1600" t="s">
        <v>50</v>
      </c>
    </row>
    <row r="1601" spans="1:9" x14ac:dyDescent="0.3">
      <c r="A1601" t="str">
        <f>"08873534"</f>
        <v>08873534</v>
      </c>
      <c r="B1601" t="s">
        <v>3446</v>
      </c>
      <c r="C1601" t="str">
        <f t="shared" si="113"/>
        <v>706</v>
      </c>
      <c r="D1601" t="s">
        <v>28</v>
      </c>
      <c r="E1601" t="s">
        <v>23</v>
      </c>
      <c r="F1601" t="s">
        <v>296</v>
      </c>
      <c r="G1601" t="s">
        <v>3447</v>
      </c>
      <c r="H1601" t="str">
        <f>"93190"</f>
        <v>93190</v>
      </c>
      <c r="I1601" t="s">
        <v>59</v>
      </c>
    </row>
    <row r="1602" spans="1:9" x14ac:dyDescent="0.3">
      <c r="A1602" t="str">
        <f>"26658186"</f>
        <v>26658186</v>
      </c>
      <c r="B1602" t="s">
        <v>3448</v>
      </c>
      <c r="C1602" t="str">
        <f t="shared" si="113"/>
        <v>706</v>
      </c>
      <c r="D1602" t="s">
        <v>28</v>
      </c>
      <c r="E1602" t="s">
        <v>23</v>
      </c>
      <c r="F1602" t="s">
        <v>3449</v>
      </c>
      <c r="G1602" t="s">
        <v>3450</v>
      </c>
      <c r="H1602" t="str">
        <f>"93110"</f>
        <v>93110</v>
      </c>
      <c r="I1602" t="s">
        <v>92</v>
      </c>
    </row>
    <row r="1603" spans="1:9" x14ac:dyDescent="0.3">
      <c r="A1603" t="str">
        <f>"68727054"</f>
        <v>68727054</v>
      </c>
      <c r="B1603" t="s">
        <v>3451</v>
      </c>
      <c r="C1603" t="str">
        <f t="shared" si="113"/>
        <v>706</v>
      </c>
      <c r="D1603" t="s">
        <v>28</v>
      </c>
      <c r="E1603" t="s">
        <v>23</v>
      </c>
      <c r="F1603" t="s">
        <v>99</v>
      </c>
      <c r="G1603" t="s">
        <v>3452</v>
      </c>
      <c r="H1603" t="str">
        <f>"93120"</f>
        <v>93120</v>
      </c>
      <c r="I1603" t="s">
        <v>54</v>
      </c>
    </row>
    <row r="1604" spans="1:9" x14ac:dyDescent="0.3">
      <c r="A1604" t="str">
        <f>"22763007"</f>
        <v>22763007</v>
      </c>
      <c r="B1604" t="s">
        <v>3453</v>
      </c>
      <c r="C1604" t="str">
        <f t="shared" si="113"/>
        <v>706</v>
      </c>
      <c r="D1604" t="s">
        <v>28</v>
      </c>
      <c r="E1604" t="s">
        <v>83</v>
      </c>
      <c r="F1604" t="s">
        <v>83</v>
      </c>
      <c r="G1604" t="s">
        <v>3454</v>
      </c>
      <c r="H1604" t="str">
        <f>"94993"</f>
        <v>94993</v>
      </c>
      <c r="I1604" t="s">
        <v>50</v>
      </c>
    </row>
    <row r="1605" spans="1:9" x14ac:dyDescent="0.3">
      <c r="A1605" t="str">
        <f>"65828089"</f>
        <v>65828089</v>
      </c>
      <c r="B1605" t="s">
        <v>3455</v>
      </c>
      <c r="C1605" t="str">
        <f t="shared" si="113"/>
        <v>706</v>
      </c>
      <c r="D1605" t="s">
        <v>28</v>
      </c>
      <c r="E1605" t="s">
        <v>83</v>
      </c>
      <c r="F1605" t="s">
        <v>3456</v>
      </c>
      <c r="G1605" t="s">
        <v>3457</v>
      </c>
      <c r="H1605" t="str">
        <f>"93110"</f>
        <v>93110</v>
      </c>
      <c r="I1605" t="s">
        <v>92</v>
      </c>
    </row>
    <row r="1606" spans="1:9" x14ac:dyDescent="0.3">
      <c r="A1606" t="str">
        <f>"66599296"</f>
        <v>66599296</v>
      </c>
      <c r="B1606" t="s">
        <v>3458</v>
      </c>
      <c r="C1606" t="str">
        <f t="shared" si="113"/>
        <v>706</v>
      </c>
      <c r="D1606" t="s">
        <v>28</v>
      </c>
      <c r="E1606" t="s">
        <v>23</v>
      </c>
      <c r="F1606" t="s">
        <v>1877</v>
      </c>
      <c r="G1606" t="s">
        <v>3459</v>
      </c>
      <c r="H1606" t="str">
        <f>"93120"</f>
        <v>93120</v>
      </c>
      <c r="I1606" t="s">
        <v>54</v>
      </c>
    </row>
    <row r="1607" spans="1:9" x14ac:dyDescent="0.3">
      <c r="A1607" t="str">
        <f>"22836900"</f>
        <v>22836900</v>
      </c>
      <c r="B1607" t="s">
        <v>3460</v>
      </c>
      <c r="C1607" t="str">
        <f t="shared" si="113"/>
        <v>706</v>
      </c>
      <c r="D1607" t="s">
        <v>28</v>
      </c>
      <c r="E1607" t="s">
        <v>23</v>
      </c>
      <c r="F1607" t="s">
        <v>1418</v>
      </c>
      <c r="G1607" t="s">
        <v>3461</v>
      </c>
      <c r="H1607" t="str">
        <f>"93120"</f>
        <v>93120</v>
      </c>
      <c r="I1607" t="s">
        <v>54</v>
      </c>
    </row>
    <row r="1608" spans="1:9" x14ac:dyDescent="0.3">
      <c r="A1608" t="str">
        <f>"26517060"</f>
        <v>26517060</v>
      </c>
      <c r="B1608" t="s">
        <v>3462</v>
      </c>
      <c r="C1608" t="str">
        <f t="shared" si="113"/>
        <v>706</v>
      </c>
      <c r="D1608" t="s">
        <v>28</v>
      </c>
      <c r="E1608" t="s">
        <v>23</v>
      </c>
      <c r="F1608" t="s">
        <v>99</v>
      </c>
      <c r="G1608" t="s">
        <v>2216</v>
      </c>
      <c r="H1608" t="str">
        <f>"93110"</f>
        <v>93110</v>
      </c>
      <c r="I1608" t="s">
        <v>92</v>
      </c>
    </row>
    <row r="1609" spans="1:9" x14ac:dyDescent="0.3">
      <c r="A1609" t="str">
        <f>"27053385"</f>
        <v>27053385</v>
      </c>
      <c r="B1609" t="s">
        <v>3463</v>
      </c>
      <c r="C1609" t="str">
        <f t="shared" si="113"/>
        <v>706</v>
      </c>
      <c r="D1609" t="s">
        <v>28</v>
      </c>
      <c r="E1609" t="s">
        <v>83</v>
      </c>
      <c r="F1609" t="s">
        <v>2674</v>
      </c>
      <c r="G1609" t="s">
        <v>3464</v>
      </c>
      <c r="H1609" t="str">
        <f>"93110"</f>
        <v>93110</v>
      </c>
      <c r="I1609" t="s">
        <v>92</v>
      </c>
    </row>
    <row r="1610" spans="1:9" x14ac:dyDescent="0.3">
      <c r="A1610" t="str">
        <f>"26527324"</f>
        <v>26527324</v>
      </c>
      <c r="B1610" t="s">
        <v>3466</v>
      </c>
      <c r="C1610" t="str">
        <f t="shared" si="113"/>
        <v>706</v>
      </c>
      <c r="D1610" t="s">
        <v>28</v>
      </c>
      <c r="E1610" t="s">
        <v>83</v>
      </c>
      <c r="F1610" t="s">
        <v>1055</v>
      </c>
      <c r="G1610" t="s">
        <v>3467</v>
      </c>
      <c r="H1610" t="str">
        <f>"9499"</f>
        <v>9499</v>
      </c>
      <c r="I1610" t="s">
        <v>31</v>
      </c>
    </row>
    <row r="1611" spans="1:9" x14ac:dyDescent="0.3">
      <c r="A1611" t="str">
        <f>"26566567"</f>
        <v>26566567</v>
      </c>
      <c r="B1611" t="s">
        <v>3468</v>
      </c>
      <c r="C1611" t="str">
        <f t="shared" si="113"/>
        <v>706</v>
      </c>
      <c r="D1611" t="s">
        <v>28</v>
      </c>
      <c r="E1611" t="s">
        <v>83</v>
      </c>
      <c r="F1611" t="s">
        <v>227</v>
      </c>
      <c r="G1611" t="s">
        <v>3469</v>
      </c>
      <c r="H1611" t="str">
        <f>"93120"</f>
        <v>93120</v>
      </c>
      <c r="I1611" t="s">
        <v>54</v>
      </c>
    </row>
    <row r="1612" spans="1:9" x14ac:dyDescent="0.3">
      <c r="A1612" t="str">
        <f>"66934656"</f>
        <v>66934656</v>
      </c>
      <c r="B1612" t="s">
        <v>3470</v>
      </c>
      <c r="C1612" t="str">
        <f t="shared" si="113"/>
        <v>706</v>
      </c>
      <c r="D1612" t="s">
        <v>28</v>
      </c>
      <c r="E1612" t="s">
        <v>29</v>
      </c>
      <c r="F1612" t="s">
        <v>195</v>
      </c>
      <c r="G1612" t="s">
        <v>3471</v>
      </c>
      <c r="H1612" t="str">
        <f>"93120"</f>
        <v>93120</v>
      </c>
      <c r="I1612" t="s">
        <v>54</v>
      </c>
    </row>
    <row r="1613" spans="1:9" x14ac:dyDescent="0.3">
      <c r="A1613" t="str">
        <f>"27052222"</f>
        <v>27052222</v>
      </c>
      <c r="B1613" t="s">
        <v>3472</v>
      </c>
      <c r="C1613" t="str">
        <f t="shared" si="113"/>
        <v>706</v>
      </c>
      <c r="D1613" t="s">
        <v>28</v>
      </c>
      <c r="E1613" t="s">
        <v>83</v>
      </c>
      <c r="F1613" t="s">
        <v>3456</v>
      </c>
      <c r="G1613" t="s">
        <v>3473</v>
      </c>
      <c r="H1613" t="str">
        <f>"93110"</f>
        <v>93110</v>
      </c>
      <c r="I1613" t="s">
        <v>92</v>
      </c>
    </row>
    <row r="1614" spans="1:9" x14ac:dyDescent="0.3">
      <c r="A1614" t="str">
        <f>"26601508"</f>
        <v>26601508</v>
      </c>
      <c r="B1614" t="s">
        <v>3474</v>
      </c>
      <c r="C1614" t="str">
        <f t="shared" si="113"/>
        <v>706</v>
      </c>
      <c r="D1614" t="s">
        <v>28</v>
      </c>
      <c r="E1614" t="s">
        <v>23</v>
      </c>
      <c r="F1614" t="s">
        <v>3475</v>
      </c>
      <c r="G1614" t="s">
        <v>3476</v>
      </c>
      <c r="H1614" t="str">
        <f>"93110"</f>
        <v>93110</v>
      </c>
      <c r="I1614" t="s">
        <v>92</v>
      </c>
    </row>
    <row r="1615" spans="1:9" x14ac:dyDescent="0.3">
      <c r="A1615" t="str">
        <f>"69744068"</f>
        <v>69744068</v>
      </c>
      <c r="B1615" t="s">
        <v>3477</v>
      </c>
      <c r="C1615" t="str">
        <f t="shared" si="113"/>
        <v>706</v>
      </c>
      <c r="D1615" t="s">
        <v>28</v>
      </c>
      <c r="E1615" t="s">
        <v>83</v>
      </c>
      <c r="F1615" t="s">
        <v>130</v>
      </c>
      <c r="G1615" t="s">
        <v>3478</v>
      </c>
      <c r="H1615" t="str">
        <f>"9499"</f>
        <v>9499</v>
      </c>
      <c r="I1615" t="s">
        <v>31</v>
      </c>
    </row>
    <row r="1616" spans="1:9" x14ac:dyDescent="0.3">
      <c r="A1616" t="str">
        <f>"01363573"</f>
        <v>01363573</v>
      </c>
      <c r="B1616" t="s">
        <v>3479</v>
      </c>
      <c r="C1616" t="str">
        <f t="shared" si="113"/>
        <v>706</v>
      </c>
      <c r="D1616" t="s">
        <v>28</v>
      </c>
      <c r="E1616" t="s">
        <v>29</v>
      </c>
      <c r="F1616" t="s">
        <v>3480</v>
      </c>
      <c r="G1616" t="s">
        <v>3481</v>
      </c>
      <c r="H1616" t="str">
        <f>"94993"</f>
        <v>94993</v>
      </c>
      <c r="I1616" t="s">
        <v>50</v>
      </c>
    </row>
    <row r="1617" spans="1:9" x14ac:dyDescent="0.3">
      <c r="A1617" t="str">
        <f>"02498481"</f>
        <v>02498481</v>
      </c>
      <c r="B1617" t="s">
        <v>3482</v>
      </c>
      <c r="C1617" t="str">
        <f t="shared" si="113"/>
        <v>706</v>
      </c>
      <c r="D1617" t="s">
        <v>28</v>
      </c>
      <c r="E1617" t="s">
        <v>52</v>
      </c>
      <c r="F1617" t="s">
        <v>612</v>
      </c>
      <c r="G1617" t="s">
        <v>612</v>
      </c>
      <c r="H1617" t="str">
        <f>"93190"</f>
        <v>93190</v>
      </c>
      <c r="I1617" t="s">
        <v>59</v>
      </c>
    </row>
    <row r="1618" spans="1:9" x14ac:dyDescent="0.3">
      <c r="A1618" t="str">
        <f>"63459094"</f>
        <v>63459094</v>
      </c>
      <c r="B1618" t="s">
        <v>3483</v>
      </c>
      <c r="C1618" t="str">
        <f t="shared" si="113"/>
        <v>706</v>
      </c>
      <c r="D1618" t="s">
        <v>28</v>
      </c>
      <c r="E1618" t="s">
        <v>83</v>
      </c>
      <c r="F1618" t="s">
        <v>1055</v>
      </c>
      <c r="G1618" t="s">
        <v>1055</v>
      </c>
      <c r="H1618" t="str">
        <f>"9499"</f>
        <v>9499</v>
      </c>
      <c r="I1618" t="s">
        <v>31</v>
      </c>
    </row>
    <row r="1619" spans="1:9" x14ac:dyDescent="0.3">
      <c r="A1619" t="str">
        <f>"47934859"</f>
        <v>47934859</v>
      </c>
      <c r="B1619" t="s">
        <v>3484</v>
      </c>
      <c r="C1619" t="str">
        <f t="shared" si="113"/>
        <v>706</v>
      </c>
      <c r="D1619" t="s">
        <v>28</v>
      </c>
      <c r="E1619" t="s">
        <v>83</v>
      </c>
      <c r="F1619" t="s">
        <v>3456</v>
      </c>
      <c r="G1619" t="s">
        <v>3485</v>
      </c>
      <c r="H1619" t="str">
        <f>"93110"</f>
        <v>93110</v>
      </c>
      <c r="I1619" t="s">
        <v>92</v>
      </c>
    </row>
    <row r="1620" spans="1:9" x14ac:dyDescent="0.3">
      <c r="A1620" t="str">
        <f>"22738347"</f>
        <v>22738347</v>
      </c>
      <c r="B1620" t="s">
        <v>3486</v>
      </c>
      <c r="C1620" t="str">
        <f t="shared" si="113"/>
        <v>706</v>
      </c>
      <c r="D1620" t="s">
        <v>28</v>
      </c>
      <c r="E1620" t="s">
        <v>23</v>
      </c>
      <c r="F1620" t="s">
        <v>282</v>
      </c>
      <c r="G1620" t="s">
        <v>3487</v>
      </c>
      <c r="H1620" t="str">
        <f>"93110"</f>
        <v>93110</v>
      </c>
      <c r="I1620" t="s">
        <v>92</v>
      </c>
    </row>
    <row r="1621" spans="1:9" x14ac:dyDescent="0.3">
      <c r="A1621" t="str">
        <f>"22384910"</f>
        <v>22384910</v>
      </c>
      <c r="B1621" t="s">
        <v>3488</v>
      </c>
      <c r="C1621" t="str">
        <f t="shared" si="113"/>
        <v>706</v>
      </c>
      <c r="D1621" t="s">
        <v>28</v>
      </c>
      <c r="E1621" t="s">
        <v>83</v>
      </c>
      <c r="F1621" t="s">
        <v>983</v>
      </c>
      <c r="G1621" t="s">
        <v>984</v>
      </c>
      <c r="H1621" t="str">
        <f>"93120"</f>
        <v>93120</v>
      </c>
      <c r="I1621" t="s">
        <v>54</v>
      </c>
    </row>
    <row r="1622" spans="1:9" x14ac:dyDescent="0.3">
      <c r="A1622" t="str">
        <f>"70418217"</f>
        <v>70418217</v>
      </c>
      <c r="B1622" t="s">
        <v>3489</v>
      </c>
      <c r="C1622" t="str">
        <f t="shared" si="113"/>
        <v>706</v>
      </c>
      <c r="D1622" t="s">
        <v>28</v>
      </c>
      <c r="E1622" t="s">
        <v>23</v>
      </c>
      <c r="F1622" t="s">
        <v>695</v>
      </c>
      <c r="G1622" t="s">
        <v>3490</v>
      </c>
      <c r="H1622" t="str">
        <f>"93120"</f>
        <v>93120</v>
      </c>
      <c r="I1622" t="s">
        <v>54</v>
      </c>
    </row>
    <row r="1623" spans="1:9" x14ac:dyDescent="0.3">
      <c r="A1623" t="str">
        <f>"27034402"</f>
        <v>27034402</v>
      </c>
      <c r="B1623" t="s">
        <v>3491</v>
      </c>
      <c r="C1623" t="str">
        <f t="shared" si="113"/>
        <v>706</v>
      </c>
      <c r="D1623" t="s">
        <v>28</v>
      </c>
      <c r="E1623" t="s">
        <v>29</v>
      </c>
      <c r="F1623" t="s">
        <v>778</v>
      </c>
      <c r="G1623" t="s">
        <v>3492</v>
      </c>
      <c r="H1623" t="str">
        <f>"93110"</f>
        <v>93110</v>
      </c>
      <c r="I1623" t="s">
        <v>92</v>
      </c>
    </row>
    <row r="1624" spans="1:9" x14ac:dyDescent="0.3">
      <c r="A1624" t="str">
        <f>"26589192"</f>
        <v>26589192</v>
      </c>
      <c r="B1624" t="s">
        <v>3493</v>
      </c>
      <c r="C1624" t="str">
        <f t="shared" si="113"/>
        <v>706</v>
      </c>
      <c r="D1624" t="s">
        <v>28</v>
      </c>
      <c r="E1624" t="s">
        <v>23</v>
      </c>
      <c r="F1624" t="s">
        <v>68</v>
      </c>
      <c r="G1624" t="s">
        <v>3494</v>
      </c>
      <c r="H1624" t="str">
        <f>"93110"</f>
        <v>93110</v>
      </c>
      <c r="I1624" t="s">
        <v>92</v>
      </c>
    </row>
    <row r="1625" spans="1:9" x14ac:dyDescent="0.3">
      <c r="A1625" t="str">
        <f>"02251787"</f>
        <v>02251787</v>
      </c>
      <c r="B1625" t="s">
        <v>3495</v>
      </c>
      <c r="C1625" t="str">
        <f t="shared" si="113"/>
        <v>706</v>
      </c>
      <c r="D1625" t="s">
        <v>28</v>
      </c>
      <c r="E1625" t="s">
        <v>23</v>
      </c>
      <c r="F1625" t="s">
        <v>1877</v>
      </c>
      <c r="G1625" t="s">
        <v>3428</v>
      </c>
      <c r="H1625" t="str">
        <f>"93190"</f>
        <v>93190</v>
      </c>
      <c r="I1625" t="s">
        <v>59</v>
      </c>
    </row>
    <row r="1626" spans="1:9" x14ac:dyDescent="0.3">
      <c r="A1626" t="str">
        <f>"18559883"</f>
        <v>18559883</v>
      </c>
      <c r="B1626" t="s">
        <v>3496</v>
      </c>
      <c r="C1626" t="str">
        <f t="shared" si="113"/>
        <v>706</v>
      </c>
      <c r="D1626" t="s">
        <v>28</v>
      </c>
      <c r="E1626" t="s">
        <v>23</v>
      </c>
      <c r="F1626" t="s">
        <v>24</v>
      </c>
      <c r="G1626" t="s">
        <v>3497</v>
      </c>
      <c r="H1626" t="str">
        <f>"93120"</f>
        <v>93120</v>
      </c>
      <c r="I1626" t="s">
        <v>54</v>
      </c>
    </row>
    <row r="1627" spans="1:9" x14ac:dyDescent="0.3">
      <c r="A1627" t="str">
        <f>"26551837"</f>
        <v>26551837</v>
      </c>
      <c r="B1627" t="s">
        <v>3498</v>
      </c>
      <c r="C1627" t="str">
        <f t="shared" si="113"/>
        <v>706</v>
      </c>
      <c r="D1627" t="s">
        <v>28</v>
      </c>
      <c r="E1627" t="s">
        <v>29</v>
      </c>
      <c r="F1627" t="s">
        <v>45</v>
      </c>
      <c r="G1627" t="s">
        <v>3499</v>
      </c>
      <c r="H1627" t="str">
        <f>"93110"</f>
        <v>93110</v>
      </c>
      <c r="I1627" t="s">
        <v>92</v>
      </c>
    </row>
    <row r="1628" spans="1:9" x14ac:dyDescent="0.3">
      <c r="A1628" t="str">
        <f>"01363972"</f>
        <v>01363972</v>
      </c>
      <c r="B1628" t="s">
        <v>3500</v>
      </c>
      <c r="C1628" t="str">
        <f t="shared" si="113"/>
        <v>706</v>
      </c>
      <c r="D1628" t="s">
        <v>28</v>
      </c>
      <c r="E1628" t="s">
        <v>23</v>
      </c>
      <c r="F1628" t="s">
        <v>793</v>
      </c>
      <c r="G1628" t="s">
        <v>3501</v>
      </c>
      <c r="H1628" t="str">
        <f>"94993"</f>
        <v>94993</v>
      </c>
      <c r="I1628" t="s">
        <v>50</v>
      </c>
    </row>
    <row r="1629" spans="1:9" x14ac:dyDescent="0.3">
      <c r="A1629" t="str">
        <f>"28551320"</f>
        <v>28551320</v>
      </c>
      <c r="B1629" t="s">
        <v>3502</v>
      </c>
      <c r="C1629" t="str">
        <f t="shared" si="113"/>
        <v>706</v>
      </c>
      <c r="D1629" t="s">
        <v>28</v>
      </c>
      <c r="E1629" t="s">
        <v>23</v>
      </c>
      <c r="F1629" t="s">
        <v>23</v>
      </c>
      <c r="G1629" t="s">
        <v>2905</v>
      </c>
      <c r="H1629" t="str">
        <f>"93110"</f>
        <v>93110</v>
      </c>
      <c r="I1629" t="s">
        <v>92</v>
      </c>
    </row>
    <row r="1630" spans="1:9" x14ac:dyDescent="0.3">
      <c r="A1630" t="str">
        <f>"09271031"</f>
        <v>09271031</v>
      </c>
      <c r="B1630" t="s">
        <v>3503</v>
      </c>
      <c r="C1630" t="str">
        <f t="shared" si="113"/>
        <v>706</v>
      </c>
      <c r="D1630" t="s">
        <v>28</v>
      </c>
      <c r="E1630" t="s">
        <v>52</v>
      </c>
      <c r="F1630" t="s">
        <v>379</v>
      </c>
      <c r="G1630" t="s">
        <v>3504</v>
      </c>
      <c r="H1630" t="str">
        <f>"93190"</f>
        <v>93190</v>
      </c>
      <c r="I1630" t="s">
        <v>59</v>
      </c>
    </row>
    <row r="1631" spans="1:9" x14ac:dyDescent="0.3">
      <c r="A1631" t="str">
        <f>"75075717"</f>
        <v>75075717</v>
      </c>
      <c r="B1631" t="s">
        <v>3505</v>
      </c>
      <c r="C1631" t="str">
        <f t="shared" si="113"/>
        <v>706</v>
      </c>
      <c r="D1631" t="s">
        <v>28</v>
      </c>
      <c r="E1631" t="s">
        <v>29</v>
      </c>
      <c r="F1631" t="s">
        <v>2532</v>
      </c>
      <c r="G1631" t="s">
        <v>3506</v>
      </c>
      <c r="H1631" t="str">
        <f>"9499"</f>
        <v>9499</v>
      </c>
      <c r="I1631" t="s">
        <v>31</v>
      </c>
    </row>
    <row r="1632" spans="1:9" x14ac:dyDescent="0.3">
      <c r="A1632" t="str">
        <f>"44004460"</f>
        <v>44004460</v>
      </c>
      <c r="B1632" t="s">
        <v>3507</v>
      </c>
      <c r="C1632" t="str">
        <f t="shared" si="113"/>
        <v>706</v>
      </c>
      <c r="D1632" t="s">
        <v>28</v>
      </c>
      <c r="E1632" t="s">
        <v>23</v>
      </c>
      <c r="F1632" t="s">
        <v>23</v>
      </c>
      <c r="G1632" t="s">
        <v>3508</v>
      </c>
      <c r="H1632" t="str">
        <f>"93110"</f>
        <v>93110</v>
      </c>
      <c r="I1632" t="s">
        <v>92</v>
      </c>
    </row>
    <row r="1633" spans="1:9" x14ac:dyDescent="0.3">
      <c r="A1633" t="str">
        <f>"26621525"</f>
        <v>26621525</v>
      </c>
      <c r="B1633" t="s">
        <v>3509</v>
      </c>
      <c r="C1633" t="str">
        <f t="shared" si="113"/>
        <v>706</v>
      </c>
      <c r="D1633" t="s">
        <v>28</v>
      </c>
      <c r="E1633" t="s">
        <v>83</v>
      </c>
      <c r="F1633" t="s">
        <v>3510</v>
      </c>
      <c r="G1633" t="s">
        <v>3511</v>
      </c>
      <c r="H1633" t="str">
        <f>"931"</f>
        <v>931</v>
      </c>
      <c r="I1633" t="s">
        <v>26</v>
      </c>
    </row>
    <row r="1634" spans="1:9" x14ac:dyDescent="0.3">
      <c r="A1634" t="str">
        <f>"06862764"</f>
        <v>06862764</v>
      </c>
      <c r="B1634" t="s">
        <v>3512</v>
      </c>
      <c r="C1634" t="str">
        <f t="shared" si="113"/>
        <v>706</v>
      </c>
      <c r="D1634" t="s">
        <v>28</v>
      </c>
      <c r="E1634" t="s">
        <v>83</v>
      </c>
      <c r="F1634" t="s">
        <v>3513</v>
      </c>
      <c r="G1634" t="s">
        <v>3514</v>
      </c>
      <c r="H1634" t="str">
        <f>"93190"</f>
        <v>93190</v>
      </c>
      <c r="I1634" t="s">
        <v>59</v>
      </c>
    </row>
    <row r="1635" spans="1:9" x14ac:dyDescent="0.3">
      <c r="A1635" t="str">
        <f>"26624711"</f>
        <v>26624711</v>
      </c>
      <c r="B1635" t="s">
        <v>3515</v>
      </c>
      <c r="C1635" t="str">
        <f t="shared" si="113"/>
        <v>706</v>
      </c>
      <c r="D1635" t="s">
        <v>28</v>
      </c>
      <c r="E1635" t="s">
        <v>52</v>
      </c>
      <c r="F1635" t="s">
        <v>612</v>
      </c>
      <c r="G1635" t="s">
        <v>3516</v>
      </c>
      <c r="H1635" t="str">
        <f>"93110"</f>
        <v>93110</v>
      </c>
      <c r="I1635" t="s">
        <v>92</v>
      </c>
    </row>
    <row r="1636" spans="1:9" x14ac:dyDescent="0.3">
      <c r="A1636" t="str">
        <f>"27046451"</f>
        <v>27046451</v>
      </c>
      <c r="B1636" t="s">
        <v>3517</v>
      </c>
      <c r="C1636" t="str">
        <f t="shared" si="113"/>
        <v>706</v>
      </c>
      <c r="D1636" t="s">
        <v>28</v>
      </c>
      <c r="E1636" t="s">
        <v>23</v>
      </c>
      <c r="F1636" t="s">
        <v>23</v>
      </c>
      <c r="G1636" t="s">
        <v>3518</v>
      </c>
      <c r="H1636" t="str">
        <f>"931"</f>
        <v>931</v>
      </c>
      <c r="I1636" t="s">
        <v>26</v>
      </c>
    </row>
    <row r="1637" spans="1:9" x14ac:dyDescent="0.3">
      <c r="A1637" t="str">
        <f>"22732730"</f>
        <v>22732730</v>
      </c>
      <c r="B1637" t="s">
        <v>3519</v>
      </c>
      <c r="C1637" t="str">
        <f t="shared" si="113"/>
        <v>706</v>
      </c>
      <c r="D1637" t="s">
        <v>28</v>
      </c>
      <c r="E1637" t="s">
        <v>83</v>
      </c>
      <c r="F1637" t="s">
        <v>83</v>
      </c>
      <c r="G1637" t="s">
        <v>3520</v>
      </c>
      <c r="H1637" t="str">
        <f>"9499"</f>
        <v>9499</v>
      </c>
      <c r="I1637" t="s">
        <v>31</v>
      </c>
    </row>
    <row r="1638" spans="1:9" x14ac:dyDescent="0.3">
      <c r="A1638" t="str">
        <f>"21421315"</f>
        <v>21421315</v>
      </c>
      <c r="B1638" t="s">
        <v>3521</v>
      </c>
      <c r="C1638" t="str">
        <f>"118"</f>
        <v>118</v>
      </c>
      <c r="D1638" t="s">
        <v>337</v>
      </c>
      <c r="E1638" t="s">
        <v>23</v>
      </c>
      <c r="F1638" t="s">
        <v>24</v>
      </c>
      <c r="G1638" t="s">
        <v>3522</v>
      </c>
      <c r="H1638" t="str">
        <f>"9499"</f>
        <v>9499</v>
      </c>
      <c r="I1638" t="s">
        <v>31</v>
      </c>
    </row>
    <row r="1639" spans="1:9" x14ac:dyDescent="0.3">
      <c r="A1639" t="str">
        <f>"22756230"</f>
        <v>22756230</v>
      </c>
      <c r="B1639" t="s">
        <v>3523</v>
      </c>
      <c r="C1639" t="str">
        <f t="shared" ref="C1639:C1648" si="114">"706"</f>
        <v>706</v>
      </c>
      <c r="D1639" t="s">
        <v>28</v>
      </c>
      <c r="E1639" t="s">
        <v>83</v>
      </c>
      <c r="F1639" t="s">
        <v>537</v>
      </c>
      <c r="G1639" t="s">
        <v>3524</v>
      </c>
      <c r="H1639" t="str">
        <f>"9499"</f>
        <v>9499</v>
      </c>
      <c r="I1639" t="s">
        <v>31</v>
      </c>
    </row>
    <row r="1640" spans="1:9" x14ac:dyDescent="0.3">
      <c r="A1640" t="str">
        <f>"22856935"</f>
        <v>22856935</v>
      </c>
      <c r="B1640" t="s">
        <v>3525</v>
      </c>
      <c r="C1640" t="str">
        <f t="shared" si="114"/>
        <v>706</v>
      </c>
      <c r="D1640" t="s">
        <v>28</v>
      </c>
      <c r="E1640" t="s">
        <v>23</v>
      </c>
      <c r="F1640" t="s">
        <v>3526</v>
      </c>
      <c r="G1640" t="s">
        <v>3527</v>
      </c>
      <c r="H1640" t="str">
        <f>"94995"</f>
        <v>94995</v>
      </c>
      <c r="I1640" t="s">
        <v>232</v>
      </c>
    </row>
    <row r="1641" spans="1:9" x14ac:dyDescent="0.3">
      <c r="A1641" t="str">
        <f>"02463814"</f>
        <v>02463814</v>
      </c>
      <c r="B1641" t="s">
        <v>3528</v>
      </c>
      <c r="C1641" t="str">
        <f t="shared" si="114"/>
        <v>706</v>
      </c>
      <c r="D1641" t="s">
        <v>28</v>
      </c>
      <c r="E1641" t="s">
        <v>52</v>
      </c>
      <c r="F1641" t="s">
        <v>379</v>
      </c>
      <c r="G1641" t="s">
        <v>3529</v>
      </c>
      <c r="H1641" t="str">
        <f>"9499"</f>
        <v>9499</v>
      </c>
      <c r="I1641" t="s">
        <v>31</v>
      </c>
    </row>
    <row r="1642" spans="1:9" x14ac:dyDescent="0.3">
      <c r="A1642" t="str">
        <f>"22838619"</f>
        <v>22838619</v>
      </c>
      <c r="B1642" t="s">
        <v>3530</v>
      </c>
      <c r="C1642" t="str">
        <f t="shared" si="114"/>
        <v>706</v>
      </c>
      <c r="D1642" t="s">
        <v>28</v>
      </c>
      <c r="E1642" t="s">
        <v>83</v>
      </c>
      <c r="F1642" t="s">
        <v>537</v>
      </c>
      <c r="G1642" t="s">
        <v>3531</v>
      </c>
      <c r="H1642" t="str">
        <f>"9499"</f>
        <v>9499</v>
      </c>
      <c r="I1642" t="s">
        <v>31</v>
      </c>
    </row>
    <row r="1643" spans="1:9" x14ac:dyDescent="0.3">
      <c r="A1643" t="str">
        <f>"05382572"</f>
        <v>05382572</v>
      </c>
      <c r="B1643" t="s">
        <v>3532</v>
      </c>
      <c r="C1643" t="str">
        <f t="shared" si="114"/>
        <v>706</v>
      </c>
      <c r="D1643" t="s">
        <v>28</v>
      </c>
      <c r="E1643" t="s">
        <v>83</v>
      </c>
      <c r="F1643" t="s">
        <v>480</v>
      </c>
      <c r="G1643" t="s">
        <v>3533</v>
      </c>
      <c r="H1643" t="str">
        <f>"93190"</f>
        <v>93190</v>
      </c>
      <c r="I1643" t="s">
        <v>59</v>
      </c>
    </row>
    <row r="1644" spans="1:9" x14ac:dyDescent="0.3">
      <c r="A1644" t="str">
        <f>"26634597"</f>
        <v>26634597</v>
      </c>
      <c r="B1644" t="s">
        <v>3534</v>
      </c>
      <c r="C1644" t="str">
        <f t="shared" si="114"/>
        <v>706</v>
      </c>
      <c r="D1644" t="s">
        <v>28</v>
      </c>
      <c r="E1644" t="s">
        <v>52</v>
      </c>
      <c r="F1644" t="s">
        <v>379</v>
      </c>
      <c r="G1644" t="s">
        <v>629</v>
      </c>
      <c r="H1644" t="str">
        <f>"9312"</f>
        <v>9312</v>
      </c>
      <c r="I1644" t="s">
        <v>54</v>
      </c>
    </row>
    <row r="1645" spans="1:9" x14ac:dyDescent="0.3">
      <c r="A1645" t="str">
        <f>"66545137"</f>
        <v>66545137</v>
      </c>
      <c r="B1645" t="s">
        <v>3535</v>
      </c>
      <c r="C1645" t="str">
        <f t="shared" si="114"/>
        <v>706</v>
      </c>
      <c r="D1645" t="s">
        <v>28</v>
      </c>
      <c r="E1645" t="s">
        <v>52</v>
      </c>
      <c r="F1645" t="s">
        <v>612</v>
      </c>
      <c r="G1645" t="s">
        <v>612</v>
      </c>
      <c r="H1645" t="str">
        <f>"9499"</f>
        <v>9499</v>
      </c>
      <c r="I1645" t="s">
        <v>31</v>
      </c>
    </row>
    <row r="1646" spans="1:9" x14ac:dyDescent="0.3">
      <c r="A1646" t="str">
        <f>"22822437"</f>
        <v>22822437</v>
      </c>
      <c r="B1646" t="s">
        <v>3536</v>
      </c>
      <c r="C1646" t="str">
        <f t="shared" si="114"/>
        <v>706</v>
      </c>
      <c r="D1646" t="s">
        <v>28</v>
      </c>
      <c r="E1646" t="s">
        <v>29</v>
      </c>
      <c r="F1646" t="s">
        <v>29</v>
      </c>
      <c r="G1646" t="s">
        <v>3537</v>
      </c>
      <c r="H1646" t="str">
        <f>"9499"</f>
        <v>9499</v>
      </c>
      <c r="I1646" t="s">
        <v>31</v>
      </c>
    </row>
    <row r="1647" spans="1:9" x14ac:dyDescent="0.3">
      <c r="A1647" t="str">
        <f>"22753630"</f>
        <v>22753630</v>
      </c>
      <c r="B1647" t="s">
        <v>3538</v>
      </c>
      <c r="C1647" t="str">
        <f t="shared" si="114"/>
        <v>706</v>
      </c>
      <c r="D1647" t="s">
        <v>28</v>
      </c>
      <c r="E1647" t="s">
        <v>52</v>
      </c>
      <c r="F1647" t="s">
        <v>234</v>
      </c>
      <c r="G1647" t="s">
        <v>1414</v>
      </c>
      <c r="H1647" t="str">
        <f>"9499"</f>
        <v>9499</v>
      </c>
      <c r="I1647" t="s">
        <v>31</v>
      </c>
    </row>
    <row r="1648" spans="1:9" x14ac:dyDescent="0.3">
      <c r="A1648" t="str">
        <f>"22720014"</f>
        <v>22720014</v>
      </c>
      <c r="B1648" t="s">
        <v>3539</v>
      </c>
      <c r="C1648" t="str">
        <f t="shared" si="114"/>
        <v>706</v>
      </c>
      <c r="D1648" t="s">
        <v>28</v>
      </c>
      <c r="E1648" t="s">
        <v>29</v>
      </c>
      <c r="F1648" t="s">
        <v>138</v>
      </c>
      <c r="G1648" t="s">
        <v>3540</v>
      </c>
      <c r="H1648" t="str">
        <f>"93120"</f>
        <v>93120</v>
      </c>
      <c r="I1648" t="s">
        <v>54</v>
      </c>
    </row>
    <row r="1649" spans="1:12" x14ac:dyDescent="0.3">
      <c r="A1649" t="str">
        <f>"29372232"</f>
        <v>29372232</v>
      </c>
      <c r="B1649" t="s">
        <v>3541</v>
      </c>
      <c r="C1649" t="str">
        <f>"141"</f>
        <v>141</v>
      </c>
      <c r="D1649" t="s">
        <v>112</v>
      </c>
      <c r="E1649" t="s">
        <v>83</v>
      </c>
      <c r="F1649" t="s">
        <v>537</v>
      </c>
      <c r="G1649" t="s">
        <v>3542</v>
      </c>
      <c r="H1649" t="str">
        <f>"7490"</f>
        <v>7490</v>
      </c>
      <c r="I1649" t="s">
        <v>160</v>
      </c>
      <c r="J1649" t="s">
        <v>3543</v>
      </c>
      <c r="K1649" t="s">
        <v>146</v>
      </c>
      <c r="L1649" t="s">
        <v>3544</v>
      </c>
    </row>
    <row r="1650" spans="1:12" x14ac:dyDescent="0.3">
      <c r="A1650" t="str">
        <f>"08457255"</f>
        <v>08457255</v>
      </c>
      <c r="B1650" t="s">
        <v>3545</v>
      </c>
      <c r="C1650" t="str">
        <f t="shared" ref="C1650:C1668" si="115">"706"</f>
        <v>706</v>
      </c>
      <c r="D1650" t="s">
        <v>28</v>
      </c>
      <c r="E1650" t="s">
        <v>52</v>
      </c>
      <c r="F1650" t="s">
        <v>1740</v>
      </c>
      <c r="G1650" t="s">
        <v>3546</v>
      </c>
      <c r="H1650" t="str">
        <f>"9499"</f>
        <v>9499</v>
      </c>
      <c r="I1650" t="s">
        <v>31</v>
      </c>
    </row>
    <row r="1651" spans="1:12" x14ac:dyDescent="0.3">
      <c r="A1651" t="str">
        <f>"27058972"</f>
        <v>27058972</v>
      </c>
      <c r="B1651" t="s">
        <v>3547</v>
      </c>
      <c r="C1651" t="str">
        <f t="shared" si="115"/>
        <v>706</v>
      </c>
      <c r="D1651" t="s">
        <v>28</v>
      </c>
      <c r="E1651" t="s">
        <v>52</v>
      </c>
      <c r="F1651" t="s">
        <v>178</v>
      </c>
      <c r="G1651" t="s">
        <v>3548</v>
      </c>
      <c r="H1651" t="str">
        <f>"93110"</f>
        <v>93110</v>
      </c>
      <c r="I1651" t="s">
        <v>92</v>
      </c>
    </row>
    <row r="1652" spans="1:12" x14ac:dyDescent="0.3">
      <c r="A1652" t="str">
        <f>"26595478"</f>
        <v>26595478</v>
      </c>
      <c r="B1652" t="s">
        <v>3549</v>
      </c>
      <c r="C1652" t="str">
        <f t="shared" si="115"/>
        <v>706</v>
      </c>
      <c r="D1652" t="s">
        <v>28</v>
      </c>
      <c r="E1652" t="s">
        <v>83</v>
      </c>
      <c r="F1652" t="s">
        <v>944</v>
      </c>
      <c r="G1652" t="s">
        <v>3550</v>
      </c>
      <c r="H1652" t="str">
        <f>"93110"</f>
        <v>93110</v>
      </c>
      <c r="I1652" t="s">
        <v>92</v>
      </c>
    </row>
    <row r="1653" spans="1:12" x14ac:dyDescent="0.3">
      <c r="A1653" t="str">
        <f>"67024866"</f>
        <v>67024866</v>
      </c>
      <c r="B1653" t="s">
        <v>3551</v>
      </c>
      <c r="C1653" t="str">
        <f t="shared" si="115"/>
        <v>706</v>
      </c>
      <c r="D1653" t="s">
        <v>28</v>
      </c>
      <c r="E1653" t="s">
        <v>83</v>
      </c>
      <c r="F1653" t="s">
        <v>537</v>
      </c>
      <c r="G1653" t="s">
        <v>3552</v>
      </c>
      <c r="H1653" t="str">
        <f>"93110"</f>
        <v>93110</v>
      </c>
      <c r="I1653" t="s">
        <v>92</v>
      </c>
    </row>
    <row r="1654" spans="1:12" x14ac:dyDescent="0.3">
      <c r="A1654" t="str">
        <f>"26579634"</f>
        <v>26579634</v>
      </c>
      <c r="B1654" t="s">
        <v>3553</v>
      </c>
      <c r="C1654" t="str">
        <f t="shared" si="115"/>
        <v>706</v>
      </c>
      <c r="D1654" t="s">
        <v>28</v>
      </c>
      <c r="E1654" t="s">
        <v>23</v>
      </c>
      <c r="F1654" t="s">
        <v>721</v>
      </c>
      <c r="G1654" t="s">
        <v>3554</v>
      </c>
      <c r="H1654" t="str">
        <f>"93120"</f>
        <v>93120</v>
      </c>
      <c r="I1654" t="s">
        <v>54</v>
      </c>
    </row>
    <row r="1655" spans="1:12" x14ac:dyDescent="0.3">
      <c r="A1655" t="str">
        <f>"22839399"</f>
        <v>22839399</v>
      </c>
      <c r="B1655" t="s">
        <v>3555</v>
      </c>
      <c r="C1655" t="str">
        <f t="shared" si="115"/>
        <v>706</v>
      </c>
      <c r="D1655" t="s">
        <v>28</v>
      </c>
      <c r="E1655" t="s">
        <v>23</v>
      </c>
      <c r="F1655" t="s">
        <v>975</v>
      </c>
      <c r="G1655" t="s">
        <v>3556</v>
      </c>
      <c r="H1655" t="str">
        <f>"93120"</f>
        <v>93120</v>
      </c>
      <c r="I1655" t="s">
        <v>54</v>
      </c>
    </row>
    <row r="1656" spans="1:12" x14ac:dyDescent="0.3">
      <c r="A1656" t="str">
        <f>"26595516"</f>
        <v>26595516</v>
      </c>
      <c r="B1656" t="s">
        <v>3557</v>
      </c>
      <c r="C1656" t="str">
        <f t="shared" si="115"/>
        <v>706</v>
      </c>
      <c r="D1656" t="s">
        <v>28</v>
      </c>
      <c r="E1656" t="s">
        <v>83</v>
      </c>
      <c r="F1656" t="s">
        <v>873</v>
      </c>
      <c r="G1656" t="s">
        <v>3558</v>
      </c>
      <c r="H1656" t="str">
        <f>"93110"</f>
        <v>93110</v>
      </c>
      <c r="I1656" t="s">
        <v>92</v>
      </c>
    </row>
    <row r="1657" spans="1:12" x14ac:dyDescent="0.3">
      <c r="A1657" t="str">
        <f>"22867091"</f>
        <v>22867091</v>
      </c>
      <c r="B1657" t="s">
        <v>3559</v>
      </c>
      <c r="C1657" t="str">
        <f t="shared" si="115"/>
        <v>706</v>
      </c>
      <c r="D1657" t="s">
        <v>28</v>
      </c>
      <c r="E1657" t="s">
        <v>83</v>
      </c>
      <c r="F1657" t="s">
        <v>200</v>
      </c>
      <c r="G1657" t="s">
        <v>3560</v>
      </c>
      <c r="H1657" t="str">
        <f>"93120"</f>
        <v>93120</v>
      </c>
      <c r="I1657" t="s">
        <v>54</v>
      </c>
    </row>
    <row r="1658" spans="1:12" x14ac:dyDescent="0.3">
      <c r="A1658" t="str">
        <f>"26989221"</f>
        <v>26989221</v>
      </c>
      <c r="B1658" t="s">
        <v>3561</v>
      </c>
      <c r="C1658" t="str">
        <f t="shared" si="115"/>
        <v>706</v>
      </c>
      <c r="D1658" t="s">
        <v>28</v>
      </c>
      <c r="E1658" t="s">
        <v>23</v>
      </c>
      <c r="F1658" t="s">
        <v>695</v>
      </c>
      <c r="G1658" t="s">
        <v>3562</v>
      </c>
      <c r="H1658" t="str">
        <f>"93110"</f>
        <v>93110</v>
      </c>
      <c r="I1658" t="s">
        <v>92</v>
      </c>
    </row>
    <row r="1659" spans="1:12" x14ac:dyDescent="0.3">
      <c r="A1659" t="str">
        <f>"08590656"</f>
        <v>08590656</v>
      </c>
      <c r="B1659" t="s">
        <v>3563</v>
      </c>
      <c r="C1659" t="str">
        <f t="shared" si="115"/>
        <v>706</v>
      </c>
      <c r="D1659" t="s">
        <v>28</v>
      </c>
      <c r="E1659" t="s">
        <v>29</v>
      </c>
      <c r="F1659" t="s">
        <v>135</v>
      </c>
      <c r="G1659" t="s">
        <v>2438</v>
      </c>
      <c r="H1659" t="str">
        <f>"9499"</f>
        <v>9499</v>
      </c>
      <c r="I1659" t="s">
        <v>31</v>
      </c>
    </row>
    <row r="1660" spans="1:12" x14ac:dyDescent="0.3">
      <c r="A1660" t="str">
        <f>"22857729"</f>
        <v>22857729</v>
      </c>
      <c r="B1660" t="s">
        <v>3564</v>
      </c>
      <c r="C1660" t="str">
        <f t="shared" si="115"/>
        <v>706</v>
      </c>
      <c r="D1660" t="s">
        <v>28</v>
      </c>
      <c r="E1660" t="s">
        <v>23</v>
      </c>
      <c r="F1660" t="s">
        <v>23</v>
      </c>
      <c r="G1660" t="s">
        <v>3565</v>
      </c>
      <c r="H1660" t="str">
        <f>"93120"</f>
        <v>93120</v>
      </c>
      <c r="I1660" t="s">
        <v>54</v>
      </c>
    </row>
    <row r="1661" spans="1:12" x14ac:dyDescent="0.3">
      <c r="A1661" t="str">
        <f>"01342649"</f>
        <v>01342649</v>
      </c>
      <c r="B1661" t="s">
        <v>3566</v>
      </c>
      <c r="C1661" t="str">
        <f t="shared" si="115"/>
        <v>706</v>
      </c>
      <c r="D1661" t="s">
        <v>28</v>
      </c>
      <c r="E1661" t="s">
        <v>23</v>
      </c>
      <c r="F1661" t="s">
        <v>1492</v>
      </c>
      <c r="G1661" t="s">
        <v>3567</v>
      </c>
      <c r="H1661" t="str">
        <f>"94993"</f>
        <v>94993</v>
      </c>
      <c r="I1661" t="s">
        <v>50</v>
      </c>
    </row>
    <row r="1662" spans="1:12" x14ac:dyDescent="0.3">
      <c r="A1662" t="str">
        <f>"26664089"</f>
        <v>26664089</v>
      </c>
      <c r="B1662" t="s">
        <v>3568</v>
      </c>
      <c r="C1662" t="str">
        <f t="shared" si="115"/>
        <v>706</v>
      </c>
      <c r="D1662" t="s">
        <v>28</v>
      </c>
      <c r="E1662" t="s">
        <v>23</v>
      </c>
      <c r="F1662" t="s">
        <v>793</v>
      </c>
      <c r="G1662" t="s">
        <v>3569</v>
      </c>
      <c r="H1662" t="str">
        <f>"93110"</f>
        <v>93110</v>
      </c>
      <c r="I1662" t="s">
        <v>92</v>
      </c>
      <c r="J1662" t="s">
        <v>3443</v>
      </c>
    </row>
    <row r="1663" spans="1:12" x14ac:dyDescent="0.3">
      <c r="A1663" t="str">
        <f>"05120756"</f>
        <v>05120756</v>
      </c>
      <c r="B1663" t="s">
        <v>3570</v>
      </c>
      <c r="C1663" t="str">
        <f t="shared" si="115"/>
        <v>706</v>
      </c>
      <c r="D1663" t="s">
        <v>28</v>
      </c>
      <c r="E1663" t="s">
        <v>83</v>
      </c>
      <c r="F1663" t="s">
        <v>183</v>
      </c>
      <c r="G1663" t="s">
        <v>3571</v>
      </c>
      <c r="H1663" t="str">
        <f>"93190"</f>
        <v>93190</v>
      </c>
      <c r="I1663" t="s">
        <v>59</v>
      </c>
    </row>
    <row r="1664" spans="1:12" x14ac:dyDescent="0.3">
      <c r="A1664" t="str">
        <f>"09664831"</f>
        <v>09664831</v>
      </c>
      <c r="B1664" t="s">
        <v>3572</v>
      </c>
      <c r="C1664" t="str">
        <f t="shared" si="115"/>
        <v>706</v>
      </c>
      <c r="D1664" t="s">
        <v>28</v>
      </c>
      <c r="E1664" t="s">
        <v>52</v>
      </c>
      <c r="F1664" t="s">
        <v>94</v>
      </c>
      <c r="G1664" t="s">
        <v>3573</v>
      </c>
      <c r="H1664" t="str">
        <f>"9499"</f>
        <v>9499</v>
      </c>
      <c r="I1664" t="s">
        <v>31</v>
      </c>
    </row>
    <row r="1665" spans="1:10" x14ac:dyDescent="0.3">
      <c r="A1665" t="str">
        <f>"62182412"</f>
        <v>62182412</v>
      </c>
      <c r="B1665" t="s">
        <v>3574</v>
      </c>
      <c r="C1665" t="str">
        <f t="shared" si="115"/>
        <v>706</v>
      </c>
      <c r="D1665" t="s">
        <v>28</v>
      </c>
      <c r="E1665" t="s">
        <v>23</v>
      </c>
      <c r="F1665" t="s">
        <v>23</v>
      </c>
      <c r="G1665" t="s">
        <v>3575</v>
      </c>
      <c r="H1665" t="str">
        <f>"94993"</f>
        <v>94993</v>
      </c>
      <c r="I1665" t="s">
        <v>50</v>
      </c>
    </row>
    <row r="1666" spans="1:10" x14ac:dyDescent="0.3">
      <c r="A1666" t="str">
        <f>"19190069"</f>
        <v>19190069</v>
      </c>
      <c r="B1666" t="s">
        <v>3576</v>
      </c>
      <c r="C1666" t="str">
        <f t="shared" si="115"/>
        <v>706</v>
      </c>
      <c r="D1666" t="s">
        <v>28</v>
      </c>
      <c r="E1666" t="s">
        <v>29</v>
      </c>
      <c r="F1666" t="s">
        <v>29</v>
      </c>
      <c r="G1666" t="s">
        <v>3577</v>
      </c>
      <c r="H1666" t="str">
        <f>"9499"</f>
        <v>9499</v>
      </c>
      <c r="I1666" t="s">
        <v>31</v>
      </c>
    </row>
    <row r="1667" spans="1:10" x14ac:dyDescent="0.3">
      <c r="A1667" t="str">
        <f>"08167508"</f>
        <v>08167508</v>
      </c>
      <c r="B1667" t="s">
        <v>3578</v>
      </c>
      <c r="C1667" t="str">
        <f t="shared" si="115"/>
        <v>706</v>
      </c>
      <c r="D1667" t="s">
        <v>28</v>
      </c>
      <c r="E1667" t="s">
        <v>23</v>
      </c>
      <c r="F1667" t="s">
        <v>350</v>
      </c>
      <c r="G1667" t="s">
        <v>3579</v>
      </c>
      <c r="H1667" t="str">
        <f>"94991"</f>
        <v>94991</v>
      </c>
      <c r="I1667" t="s">
        <v>433</v>
      </c>
    </row>
    <row r="1668" spans="1:10" x14ac:dyDescent="0.3">
      <c r="A1668" t="str">
        <f>"26587742"</f>
        <v>26587742</v>
      </c>
      <c r="B1668" t="s">
        <v>3580</v>
      </c>
      <c r="C1668" t="str">
        <f t="shared" si="115"/>
        <v>706</v>
      </c>
      <c r="D1668" t="s">
        <v>28</v>
      </c>
      <c r="E1668" t="s">
        <v>83</v>
      </c>
      <c r="F1668" t="s">
        <v>83</v>
      </c>
      <c r="G1668" t="s">
        <v>3581</v>
      </c>
      <c r="H1668" t="str">
        <f>"93110"</f>
        <v>93110</v>
      </c>
      <c r="I1668" t="s">
        <v>92</v>
      </c>
    </row>
    <row r="1669" spans="1:10" x14ac:dyDescent="0.3">
      <c r="A1669" t="str">
        <f>"07240180"</f>
        <v>07240180</v>
      </c>
      <c r="B1669" t="s">
        <v>3582</v>
      </c>
      <c r="C1669" t="str">
        <f>"161"</f>
        <v>161</v>
      </c>
      <c r="D1669" t="s">
        <v>152</v>
      </c>
      <c r="E1669" t="s">
        <v>23</v>
      </c>
      <c r="F1669" t="s">
        <v>23</v>
      </c>
      <c r="G1669" t="s">
        <v>3583</v>
      </c>
      <c r="H1669" t="str">
        <f>"9499"</f>
        <v>9499</v>
      </c>
      <c r="I1669" t="s">
        <v>31</v>
      </c>
      <c r="J1669" t="s">
        <v>163</v>
      </c>
    </row>
    <row r="1670" spans="1:10" x14ac:dyDescent="0.3">
      <c r="A1670" t="str">
        <f>"13992848"</f>
        <v>13992848</v>
      </c>
      <c r="B1670" t="s">
        <v>3584</v>
      </c>
      <c r="C1670" t="str">
        <f>"706"</f>
        <v>706</v>
      </c>
      <c r="D1670" t="s">
        <v>28</v>
      </c>
      <c r="E1670" t="s">
        <v>23</v>
      </c>
      <c r="F1670" t="s">
        <v>23</v>
      </c>
      <c r="G1670" t="s">
        <v>3585</v>
      </c>
      <c r="H1670" t="str">
        <f>"93190"</f>
        <v>93190</v>
      </c>
      <c r="I1670" t="s">
        <v>59</v>
      </c>
    </row>
    <row r="1671" spans="1:10" x14ac:dyDescent="0.3">
      <c r="A1671" t="str">
        <f>"17694761"</f>
        <v>17694761</v>
      </c>
      <c r="B1671" t="s">
        <v>3586</v>
      </c>
      <c r="C1671" t="str">
        <f>"706"</f>
        <v>706</v>
      </c>
      <c r="D1671" t="s">
        <v>28</v>
      </c>
      <c r="E1671" t="s">
        <v>83</v>
      </c>
      <c r="F1671" t="s">
        <v>83</v>
      </c>
      <c r="G1671" t="s">
        <v>3587</v>
      </c>
      <c r="H1671" t="str">
        <f>"93190"</f>
        <v>93190</v>
      </c>
      <c r="I1671" t="s">
        <v>59</v>
      </c>
    </row>
    <row r="1672" spans="1:10" x14ac:dyDescent="0.3">
      <c r="A1672" t="str">
        <f>"65325559"</f>
        <v>65325559</v>
      </c>
      <c r="B1672" t="s">
        <v>3588</v>
      </c>
      <c r="C1672" t="str">
        <f>"706"</f>
        <v>706</v>
      </c>
      <c r="D1672" t="s">
        <v>28</v>
      </c>
      <c r="E1672" t="s">
        <v>52</v>
      </c>
      <c r="F1672" t="s">
        <v>113</v>
      </c>
      <c r="G1672" t="s">
        <v>3589</v>
      </c>
      <c r="H1672" t="str">
        <f>"93110"</f>
        <v>93110</v>
      </c>
      <c r="I1672" t="s">
        <v>92</v>
      </c>
    </row>
    <row r="1673" spans="1:10" x14ac:dyDescent="0.3">
      <c r="A1673" t="str">
        <f>"26671671"</f>
        <v>26671671</v>
      </c>
      <c r="B1673" t="s">
        <v>3590</v>
      </c>
      <c r="C1673" t="str">
        <f>"706"</f>
        <v>706</v>
      </c>
      <c r="D1673" t="s">
        <v>28</v>
      </c>
      <c r="E1673" t="s">
        <v>29</v>
      </c>
      <c r="F1673" t="s">
        <v>29</v>
      </c>
      <c r="G1673" t="s">
        <v>3591</v>
      </c>
      <c r="H1673" t="str">
        <f>"93110"</f>
        <v>93110</v>
      </c>
      <c r="I1673" t="s">
        <v>92</v>
      </c>
    </row>
    <row r="1674" spans="1:10" x14ac:dyDescent="0.3">
      <c r="A1674" t="str">
        <f>"47935804"</f>
        <v>47935804</v>
      </c>
      <c r="B1674" t="s">
        <v>3592</v>
      </c>
      <c r="C1674" t="str">
        <f t="shared" ref="C1674:C1707" si="116">"736"</f>
        <v>736</v>
      </c>
      <c r="D1674" t="s">
        <v>22</v>
      </c>
      <c r="E1674" t="s">
        <v>83</v>
      </c>
      <c r="F1674" t="s">
        <v>83</v>
      </c>
      <c r="G1674" t="s">
        <v>3593</v>
      </c>
      <c r="H1674" t="str">
        <f t="shared" ref="H1674:H1707" si="117">"94991"</f>
        <v>94991</v>
      </c>
      <c r="I1674" t="s">
        <v>433</v>
      </c>
    </row>
    <row r="1675" spans="1:10" x14ac:dyDescent="0.3">
      <c r="A1675" t="str">
        <f>"60371871"</f>
        <v>60371871</v>
      </c>
      <c r="B1675" t="s">
        <v>3594</v>
      </c>
      <c r="C1675" t="str">
        <f t="shared" si="116"/>
        <v>736</v>
      </c>
      <c r="D1675" t="s">
        <v>22</v>
      </c>
      <c r="E1675" t="s">
        <v>52</v>
      </c>
      <c r="F1675" t="s">
        <v>52</v>
      </c>
      <c r="G1675" t="s">
        <v>3595</v>
      </c>
      <c r="H1675" t="str">
        <f t="shared" si="117"/>
        <v>94991</v>
      </c>
      <c r="I1675" t="s">
        <v>433</v>
      </c>
    </row>
    <row r="1676" spans="1:10" x14ac:dyDescent="0.3">
      <c r="A1676" t="str">
        <f>"62334841"</f>
        <v>62334841</v>
      </c>
      <c r="B1676" t="s">
        <v>3596</v>
      </c>
      <c r="C1676" t="str">
        <f t="shared" si="116"/>
        <v>736</v>
      </c>
      <c r="D1676" t="s">
        <v>22</v>
      </c>
      <c r="E1676" t="s">
        <v>29</v>
      </c>
      <c r="F1676" t="s">
        <v>29</v>
      </c>
      <c r="G1676" t="s">
        <v>3597</v>
      </c>
      <c r="H1676" t="str">
        <f t="shared" si="117"/>
        <v>94991</v>
      </c>
      <c r="I1676" t="s">
        <v>433</v>
      </c>
    </row>
    <row r="1677" spans="1:10" x14ac:dyDescent="0.3">
      <c r="A1677" t="str">
        <f>"61716804"</f>
        <v>61716804</v>
      </c>
      <c r="B1677" t="s">
        <v>3598</v>
      </c>
      <c r="C1677" t="str">
        <f t="shared" si="116"/>
        <v>736</v>
      </c>
      <c r="D1677" t="s">
        <v>22</v>
      </c>
      <c r="E1677" t="s">
        <v>23</v>
      </c>
      <c r="F1677" t="s">
        <v>23</v>
      </c>
      <c r="G1677" t="s">
        <v>267</v>
      </c>
      <c r="H1677" t="str">
        <f t="shared" si="117"/>
        <v>94991</v>
      </c>
      <c r="I1677" t="s">
        <v>433</v>
      </c>
    </row>
    <row r="1678" spans="1:10" x14ac:dyDescent="0.3">
      <c r="A1678" t="str">
        <f>"65822650"</f>
        <v>65822650</v>
      </c>
      <c r="B1678" t="s">
        <v>3599</v>
      </c>
      <c r="C1678" t="str">
        <f t="shared" si="116"/>
        <v>736</v>
      </c>
      <c r="D1678" t="s">
        <v>22</v>
      </c>
      <c r="E1678" t="s">
        <v>23</v>
      </c>
      <c r="F1678" t="s">
        <v>350</v>
      </c>
      <c r="G1678" t="s">
        <v>1190</v>
      </c>
      <c r="H1678" t="str">
        <f t="shared" si="117"/>
        <v>94991</v>
      </c>
      <c r="I1678" t="s">
        <v>433</v>
      </c>
    </row>
    <row r="1679" spans="1:10" x14ac:dyDescent="0.3">
      <c r="A1679" t="str">
        <f>"60371897"</f>
        <v>60371897</v>
      </c>
      <c r="B1679" t="s">
        <v>3600</v>
      </c>
      <c r="C1679" t="str">
        <f t="shared" si="116"/>
        <v>736</v>
      </c>
      <c r="D1679" t="s">
        <v>22</v>
      </c>
      <c r="E1679" t="s">
        <v>52</v>
      </c>
      <c r="F1679" t="s">
        <v>612</v>
      </c>
      <c r="G1679" t="s">
        <v>3601</v>
      </c>
      <c r="H1679" t="str">
        <f t="shared" si="117"/>
        <v>94991</v>
      </c>
      <c r="I1679" t="s">
        <v>433</v>
      </c>
    </row>
    <row r="1680" spans="1:10" x14ac:dyDescent="0.3">
      <c r="A1680" t="str">
        <f>"62180134"</f>
        <v>62180134</v>
      </c>
      <c r="B1680" t="s">
        <v>3602</v>
      </c>
      <c r="C1680" t="str">
        <f t="shared" si="116"/>
        <v>736</v>
      </c>
      <c r="D1680" t="s">
        <v>22</v>
      </c>
      <c r="E1680" t="s">
        <v>23</v>
      </c>
      <c r="F1680" t="s">
        <v>975</v>
      </c>
      <c r="G1680" t="s">
        <v>3603</v>
      </c>
      <c r="H1680" t="str">
        <f t="shared" si="117"/>
        <v>94991</v>
      </c>
      <c r="I1680" t="s">
        <v>433</v>
      </c>
    </row>
    <row r="1681" spans="1:9" x14ac:dyDescent="0.3">
      <c r="A1681" t="str">
        <f>"61703559"</f>
        <v>61703559</v>
      </c>
      <c r="B1681" t="s">
        <v>3604</v>
      </c>
      <c r="C1681" t="str">
        <f t="shared" si="116"/>
        <v>736</v>
      </c>
      <c r="D1681" t="s">
        <v>22</v>
      </c>
      <c r="E1681" t="s">
        <v>52</v>
      </c>
      <c r="F1681" t="s">
        <v>379</v>
      </c>
      <c r="G1681" t="s">
        <v>3605</v>
      </c>
      <c r="H1681" t="str">
        <f t="shared" si="117"/>
        <v>94991</v>
      </c>
      <c r="I1681" t="s">
        <v>433</v>
      </c>
    </row>
    <row r="1682" spans="1:9" x14ac:dyDescent="0.3">
      <c r="A1682" t="str">
        <f>"62180118"</f>
        <v>62180118</v>
      </c>
      <c r="B1682" t="s">
        <v>3606</v>
      </c>
      <c r="C1682" t="str">
        <f t="shared" si="116"/>
        <v>736</v>
      </c>
      <c r="D1682" t="s">
        <v>22</v>
      </c>
      <c r="E1682" t="s">
        <v>52</v>
      </c>
      <c r="F1682" t="s">
        <v>113</v>
      </c>
      <c r="G1682" t="s">
        <v>3607</v>
      </c>
      <c r="H1682" t="str">
        <f t="shared" si="117"/>
        <v>94991</v>
      </c>
      <c r="I1682" t="s">
        <v>433</v>
      </c>
    </row>
    <row r="1683" spans="1:9" x14ac:dyDescent="0.3">
      <c r="A1683" t="str">
        <f>"47935847"</f>
        <v>47935847</v>
      </c>
      <c r="B1683" t="s">
        <v>3608</v>
      </c>
      <c r="C1683" t="str">
        <f t="shared" si="116"/>
        <v>736</v>
      </c>
      <c r="D1683" t="s">
        <v>22</v>
      </c>
      <c r="E1683" t="s">
        <v>83</v>
      </c>
      <c r="F1683" t="s">
        <v>183</v>
      </c>
      <c r="G1683" t="s">
        <v>3609</v>
      </c>
      <c r="H1683" t="str">
        <f t="shared" si="117"/>
        <v>94991</v>
      </c>
      <c r="I1683" t="s">
        <v>433</v>
      </c>
    </row>
    <row r="1684" spans="1:9" x14ac:dyDescent="0.3">
      <c r="A1684" t="str">
        <f>"65822498"</f>
        <v>65822498</v>
      </c>
      <c r="B1684" t="s">
        <v>3610</v>
      </c>
      <c r="C1684" t="str">
        <f t="shared" si="116"/>
        <v>736</v>
      </c>
      <c r="D1684" t="s">
        <v>22</v>
      </c>
      <c r="E1684" t="s">
        <v>23</v>
      </c>
      <c r="F1684" t="s">
        <v>35</v>
      </c>
      <c r="G1684" t="s">
        <v>3611</v>
      </c>
      <c r="H1684" t="str">
        <f t="shared" si="117"/>
        <v>94991</v>
      </c>
      <c r="I1684" t="s">
        <v>433</v>
      </c>
    </row>
    <row r="1685" spans="1:9" x14ac:dyDescent="0.3">
      <c r="A1685" t="str">
        <f>"60371927"</f>
        <v>60371927</v>
      </c>
      <c r="B1685" t="s">
        <v>3612</v>
      </c>
      <c r="C1685" t="str">
        <f t="shared" si="116"/>
        <v>736</v>
      </c>
      <c r="D1685" t="s">
        <v>22</v>
      </c>
      <c r="E1685" t="s">
        <v>52</v>
      </c>
      <c r="F1685" t="s">
        <v>1679</v>
      </c>
      <c r="G1685" t="s">
        <v>3613</v>
      </c>
      <c r="H1685" t="str">
        <f t="shared" si="117"/>
        <v>94991</v>
      </c>
      <c r="I1685" t="s">
        <v>433</v>
      </c>
    </row>
    <row r="1686" spans="1:9" x14ac:dyDescent="0.3">
      <c r="A1686" t="str">
        <f>"46276165"</f>
        <v>46276165</v>
      </c>
      <c r="B1686" t="s">
        <v>3614</v>
      </c>
      <c r="C1686" t="str">
        <f t="shared" si="116"/>
        <v>736</v>
      </c>
      <c r="D1686" t="s">
        <v>22</v>
      </c>
      <c r="E1686" t="s">
        <v>23</v>
      </c>
      <c r="F1686" t="s">
        <v>141</v>
      </c>
      <c r="G1686" t="s">
        <v>3615</v>
      </c>
      <c r="H1686" t="str">
        <f t="shared" si="117"/>
        <v>94991</v>
      </c>
      <c r="I1686" t="s">
        <v>433</v>
      </c>
    </row>
    <row r="1687" spans="1:9" x14ac:dyDescent="0.3">
      <c r="A1687" t="str">
        <f>"62180088"</f>
        <v>62180088</v>
      </c>
      <c r="B1687" t="s">
        <v>3616</v>
      </c>
      <c r="C1687" t="str">
        <f t="shared" si="116"/>
        <v>736</v>
      </c>
      <c r="D1687" t="s">
        <v>22</v>
      </c>
      <c r="E1687" t="s">
        <v>23</v>
      </c>
      <c r="F1687" t="s">
        <v>24</v>
      </c>
      <c r="G1687" t="s">
        <v>3617</v>
      </c>
      <c r="H1687" t="str">
        <f t="shared" si="117"/>
        <v>94991</v>
      </c>
      <c r="I1687" t="s">
        <v>433</v>
      </c>
    </row>
    <row r="1688" spans="1:9" x14ac:dyDescent="0.3">
      <c r="A1688" t="str">
        <f>"62334875"</f>
        <v>62334875</v>
      </c>
      <c r="B1688" t="s">
        <v>3618</v>
      </c>
      <c r="C1688" t="str">
        <f t="shared" si="116"/>
        <v>736</v>
      </c>
      <c r="D1688" t="s">
        <v>22</v>
      </c>
      <c r="E1688" t="s">
        <v>29</v>
      </c>
      <c r="F1688" t="s">
        <v>271</v>
      </c>
      <c r="G1688" t="s">
        <v>3619</v>
      </c>
      <c r="H1688" t="str">
        <f t="shared" si="117"/>
        <v>94991</v>
      </c>
      <c r="I1688" t="s">
        <v>433</v>
      </c>
    </row>
    <row r="1689" spans="1:9" x14ac:dyDescent="0.3">
      <c r="A1689" t="str">
        <f>"47935855"</f>
        <v>47935855</v>
      </c>
      <c r="B1689" t="s">
        <v>3620</v>
      </c>
      <c r="C1689" t="str">
        <f t="shared" si="116"/>
        <v>736</v>
      </c>
      <c r="D1689" t="s">
        <v>22</v>
      </c>
      <c r="E1689" t="s">
        <v>83</v>
      </c>
      <c r="F1689" t="s">
        <v>480</v>
      </c>
      <c r="G1689" t="s">
        <v>3621</v>
      </c>
      <c r="H1689" t="str">
        <f t="shared" si="117"/>
        <v>94991</v>
      </c>
      <c r="I1689" t="s">
        <v>433</v>
      </c>
    </row>
    <row r="1690" spans="1:9" x14ac:dyDescent="0.3">
      <c r="A1690" t="str">
        <f>"60609575"</f>
        <v>60609575</v>
      </c>
      <c r="B1690" t="s">
        <v>3622</v>
      </c>
      <c r="C1690" t="str">
        <f t="shared" si="116"/>
        <v>736</v>
      </c>
      <c r="D1690" t="s">
        <v>22</v>
      </c>
      <c r="E1690" t="s">
        <v>29</v>
      </c>
      <c r="F1690" t="s">
        <v>702</v>
      </c>
      <c r="G1690" t="s">
        <v>1844</v>
      </c>
      <c r="H1690" t="str">
        <f t="shared" si="117"/>
        <v>94991</v>
      </c>
      <c r="I1690" t="s">
        <v>433</v>
      </c>
    </row>
    <row r="1691" spans="1:9" x14ac:dyDescent="0.3">
      <c r="A1691" t="str">
        <f>"61716871"</f>
        <v>61716871</v>
      </c>
      <c r="B1691" t="s">
        <v>3623</v>
      </c>
      <c r="C1691" t="str">
        <f t="shared" si="116"/>
        <v>736</v>
      </c>
      <c r="D1691" t="s">
        <v>22</v>
      </c>
      <c r="E1691" t="s">
        <v>23</v>
      </c>
      <c r="F1691" t="s">
        <v>23</v>
      </c>
      <c r="G1691" t="s">
        <v>3624</v>
      </c>
      <c r="H1691" t="str">
        <f t="shared" si="117"/>
        <v>94991</v>
      </c>
      <c r="I1691" t="s">
        <v>433</v>
      </c>
    </row>
    <row r="1692" spans="1:9" x14ac:dyDescent="0.3">
      <c r="A1692" t="str">
        <f>"47935812"</f>
        <v>47935812</v>
      </c>
      <c r="B1692" t="s">
        <v>3625</v>
      </c>
      <c r="C1692" t="str">
        <f t="shared" si="116"/>
        <v>736</v>
      </c>
      <c r="D1692" t="s">
        <v>22</v>
      </c>
      <c r="E1692" t="s">
        <v>83</v>
      </c>
      <c r="F1692" t="s">
        <v>83</v>
      </c>
      <c r="G1692" t="s">
        <v>3593</v>
      </c>
      <c r="H1692" t="str">
        <f t="shared" si="117"/>
        <v>94991</v>
      </c>
      <c r="I1692" t="s">
        <v>433</v>
      </c>
    </row>
    <row r="1693" spans="1:9" x14ac:dyDescent="0.3">
      <c r="A1693" t="str">
        <f>"60371889"</f>
        <v>60371889</v>
      </c>
      <c r="B1693" t="s">
        <v>3626</v>
      </c>
      <c r="C1693" t="str">
        <f t="shared" si="116"/>
        <v>736</v>
      </c>
      <c r="D1693" t="s">
        <v>22</v>
      </c>
      <c r="E1693" t="s">
        <v>52</v>
      </c>
      <c r="F1693" t="s">
        <v>144</v>
      </c>
      <c r="G1693" t="s">
        <v>3627</v>
      </c>
      <c r="H1693" t="str">
        <f t="shared" si="117"/>
        <v>94991</v>
      </c>
      <c r="I1693" t="s">
        <v>433</v>
      </c>
    </row>
    <row r="1694" spans="1:9" x14ac:dyDescent="0.3">
      <c r="A1694" t="str">
        <f>"75140021"</f>
        <v>75140021</v>
      </c>
      <c r="B1694" t="s">
        <v>3628</v>
      </c>
      <c r="C1694" t="str">
        <f t="shared" si="116"/>
        <v>736</v>
      </c>
      <c r="D1694" t="s">
        <v>22</v>
      </c>
      <c r="E1694" t="s">
        <v>23</v>
      </c>
      <c r="F1694" t="s">
        <v>99</v>
      </c>
      <c r="G1694" t="s">
        <v>3629</v>
      </c>
      <c r="H1694" t="str">
        <f t="shared" si="117"/>
        <v>94991</v>
      </c>
      <c r="I1694" t="s">
        <v>433</v>
      </c>
    </row>
    <row r="1695" spans="1:9" x14ac:dyDescent="0.3">
      <c r="A1695" t="str">
        <f>"18189849"</f>
        <v>18189849</v>
      </c>
      <c r="B1695" t="s">
        <v>3630</v>
      </c>
      <c r="C1695" t="str">
        <f t="shared" si="116"/>
        <v>736</v>
      </c>
      <c r="D1695" t="s">
        <v>22</v>
      </c>
      <c r="E1695" t="s">
        <v>83</v>
      </c>
      <c r="F1695" t="s">
        <v>83</v>
      </c>
      <c r="G1695" t="s">
        <v>3631</v>
      </c>
      <c r="H1695" t="str">
        <f t="shared" si="117"/>
        <v>94991</v>
      </c>
      <c r="I1695" t="s">
        <v>433</v>
      </c>
    </row>
    <row r="1696" spans="1:9" x14ac:dyDescent="0.3">
      <c r="A1696" t="str">
        <f>"16361130"</f>
        <v>16361130</v>
      </c>
      <c r="B1696" t="s">
        <v>3632</v>
      </c>
      <c r="C1696" t="str">
        <f t="shared" si="116"/>
        <v>736</v>
      </c>
      <c r="D1696" t="s">
        <v>22</v>
      </c>
      <c r="E1696" t="s">
        <v>52</v>
      </c>
      <c r="F1696" t="s">
        <v>52</v>
      </c>
      <c r="G1696" t="s">
        <v>3595</v>
      </c>
      <c r="H1696" t="str">
        <f t="shared" si="117"/>
        <v>94991</v>
      </c>
      <c r="I1696" t="s">
        <v>433</v>
      </c>
    </row>
    <row r="1697" spans="1:9" x14ac:dyDescent="0.3">
      <c r="A1697" t="str">
        <f>"49563033"</f>
        <v>49563033</v>
      </c>
      <c r="B1697" t="s">
        <v>3633</v>
      </c>
      <c r="C1697" t="str">
        <f t="shared" si="116"/>
        <v>736</v>
      </c>
      <c r="D1697" t="s">
        <v>22</v>
      </c>
      <c r="E1697" t="s">
        <v>29</v>
      </c>
      <c r="F1697" t="s">
        <v>38</v>
      </c>
      <c r="G1697" t="s">
        <v>3634</v>
      </c>
      <c r="H1697" t="str">
        <f t="shared" si="117"/>
        <v>94991</v>
      </c>
      <c r="I1697" t="s">
        <v>433</v>
      </c>
    </row>
    <row r="1698" spans="1:9" x14ac:dyDescent="0.3">
      <c r="A1698" t="str">
        <f>"62180142"</f>
        <v>62180142</v>
      </c>
      <c r="B1698" t="s">
        <v>3635</v>
      </c>
      <c r="C1698" t="str">
        <f t="shared" si="116"/>
        <v>736</v>
      </c>
      <c r="D1698" t="s">
        <v>22</v>
      </c>
      <c r="E1698" t="s">
        <v>23</v>
      </c>
      <c r="F1698" t="s">
        <v>459</v>
      </c>
      <c r="G1698" t="s">
        <v>3636</v>
      </c>
      <c r="H1698" t="str">
        <f t="shared" si="117"/>
        <v>94991</v>
      </c>
      <c r="I1698" t="s">
        <v>433</v>
      </c>
    </row>
    <row r="1699" spans="1:9" x14ac:dyDescent="0.3">
      <c r="A1699" t="str">
        <f>"70911703"</f>
        <v>70911703</v>
      </c>
      <c r="B1699" t="s">
        <v>3637</v>
      </c>
      <c r="C1699" t="str">
        <f t="shared" si="116"/>
        <v>736</v>
      </c>
      <c r="D1699" t="s">
        <v>22</v>
      </c>
      <c r="E1699" t="s">
        <v>52</v>
      </c>
      <c r="F1699" t="s">
        <v>1902</v>
      </c>
      <c r="G1699" t="s">
        <v>3638</v>
      </c>
      <c r="H1699" t="str">
        <f t="shared" si="117"/>
        <v>94991</v>
      </c>
      <c r="I1699" t="s">
        <v>433</v>
      </c>
    </row>
    <row r="1700" spans="1:9" x14ac:dyDescent="0.3">
      <c r="A1700" t="str">
        <f>"60371901"</f>
        <v>60371901</v>
      </c>
      <c r="B1700" t="s">
        <v>3639</v>
      </c>
      <c r="C1700" t="str">
        <f t="shared" si="116"/>
        <v>736</v>
      </c>
      <c r="D1700" t="s">
        <v>22</v>
      </c>
      <c r="E1700" t="s">
        <v>52</v>
      </c>
      <c r="F1700" t="s">
        <v>113</v>
      </c>
      <c r="G1700" t="s">
        <v>3640</v>
      </c>
      <c r="H1700" t="str">
        <f t="shared" si="117"/>
        <v>94991</v>
      </c>
      <c r="I1700" t="s">
        <v>433</v>
      </c>
    </row>
    <row r="1701" spans="1:9" x14ac:dyDescent="0.3">
      <c r="A1701" t="str">
        <f>"62334891"</f>
        <v>62334891</v>
      </c>
      <c r="B1701" t="s">
        <v>3641</v>
      </c>
      <c r="C1701" t="str">
        <f t="shared" si="116"/>
        <v>736</v>
      </c>
      <c r="D1701" t="s">
        <v>22</v>
      </c>
      <c r="E1701" t="s">
        <v>29</v>
      </c>
      <c r="F1701" t="s">
        <v>195</v>
      </c>
      <c r="G1701" t="s">
        <v>3642</v>
      </c>
      <c r="H1701" t="str">
        <f t="shared" si="117"/>
        <v>94991</v>
      </c>
      <c r="I1701" t="s">
        <v>433</v>
      </c>
    </row>
    <row r="1702" spans="1:9" x14ac:dyDescent="0.3">
      <c r="A1702" t="str">
        <f>"62180126"</f>
        <v>62180126</v>
      </c>
      <c r="B1702" t="s">
        <v>3643</v>
      </c>
      <c r="C1702" t="str">
        <f t="shared" si="116"/>
        <v>736</v>
      </c>
      <c r="D1702" t="s">
        <v>22</v>
      </c>
      <c r="E1702" t="s">
        <v>23</v>
      </c>
      <c r="F1702" t="s">
        <v>296</v>
      </c>
      <c r="G1702" t="s">
        <v>3644</v>
      </c>
      <c r="H1702" t="str">
        <f t="shared" si="117"/>
        <v>94991</v>
      </c>
      <c r="I1702" t="s">
        <v>433</v>
      </c>
    </row>
    <row r="1703" spans="1:9" x14ac:dyDescent="0.3">
      <c r="A1703" t="str">
        <f>"46277404"</f>
        <v>46277404</v>
      </c>
      <c r="B1703" t="s">
        <v>3645</v>
      </c>
      <c r="C1703" t="str">
        <f t="shared" si="116"/>
        <v>736</v>
      </c>
      <c r="D1703" t="s">
        <v>22</v>
      </c>
      <c r="E1703" t="s">
        <v>23</v>
      </c>
      <c r="F1703" t="s">
        <v>68</v>
      </c>
      <c r="G1703" t="s">
        <v>3646</v>
      </c>
      <c r="H1703" t="str">
        <f t="shared" si="117"/>
        <v>94991</v>
      </c>
      <c r="I1703" t="s">
        <v>433</v>
      </c>
    </row>
    <row r="1704" spans="1:9" x14ac:dyDescent="0.3">
      <c r="A1704" t="str">
        <f>"41084624"</f>
        <v>41084624</v>
      </c>
      <c r="B1704" t="s">
        <v>3647</v>
      </c>
      <c r="C1704" t="str">
        <f t="shared" si="116"/>
        <v>736</v>
      </c>
      <c r="D1704" t="s">
        <v>22</v>
      </c>
      <c r="E1704" t="s">
        <v>29</v>
      </c>
      <c r="F1704" t="s">
        <v>29</v>
      </c>
      <c r="G1704" t="s">
        <v>3597</v>
      </c>
      <c r="H1704" t="str">
        <f t="shared" si="117"/>
        <v>94991</v>
      </c>
      <c r="I1704" t="s">
        <v>433</v>
      </c>
    </row>
    <row r="1705" spans="1:9" x14ac:dyDescent="0.3">
      <c r="A1705" t="str">
        <f>"70893730"</f>
        <v>70893730</v>
      </c>
      <c r="B1705" t="s">
        <v>3648</v>
      </c>
      <c r="C1705" t="str">
        <f t="shared" si="116"/>
        <v>736</v>
      </c>
      <c r="D1705" t="s">
        <v>22</v>
      </c>
      <c r="E1705" t="s">
        <v>23</v>
      </c>
      <c r="F1705" t="s">
        <v>23</v>
      </c>
      <c r="G1705" t="s">
        <v>3352</v>
      </c>
      <c r="H1705" t="str">
        <f t="shared" si="117"/>
        <v>94991</v>
      </c>
      <c r="I1705" t="s">
        <v>433</v>
      </c>
    </row>
    <row r="1706" spans="1:9" x14ac:dyDescent="0.3">
      <c r="A1706" t="str">
        <f>"62182501"</f>
        <v>62182501</v>
      </c>
      <c r="B1706" t="s">
        <v>3649</v>
      </c>
      <c r="C1706" t="str">
        <f t="shared" si="116"/>
        <v>736</v>
      </c>
      <c r="D1706" t="s">
        <v>22</v>
      </c>
      <c r="E1706" t="s">
        <v>23</v>
      </c>
      <c r="F1706" t="s">
        <v>3332</v>
      </c>
      <c r="G1706" t="s">
        <v>3650</v>
      </c>
      <c r="H1706" t="str">
        <f t="shared" si="117"/>
        <v>94991</v>
      </c>
      <c r="I1706" t="s">
        <v>433</v>
      </c>
    </row>
    <row r="1707" spans="1:9" x14ac:dyDescent="0.3">
      <c r="A1707" t="str">
        <f>"49157663"</f>
        <v>49157663</v>
      </c>
      <c r="B1707" t="s">
        <v>3651</v>
      </c>
      <c r="C1707" t="str">
        <f t="shared" si="116"/>
        <v>736</v>
      </c>
      <c r="D1707" t="s">
        <v>22</v>
      </c>
      <c r="E1707" t="s">
        <v>23</v>
      </c>
      <c r="F1707" t="s">
        <v>23</v>
      </c>
      <c r="G1707" t="s">
        <v>3652</v>
      </c>
      <c r="H1707" t="str">
        <f t="shared" si="117"/>
        <v>94991</v>
      </c>
      <c r="I1707" t="s">
        <v>433</v>
      </c>
    </row>
    <row r="1708" spans="1:9" x14ac:dyDescent="0.3">
      <c r="A1708" t="str">
        <f>"26678063"</f>
        <v>26678063</v>
      </c>
      <c r="B1708" t="s">
        <v>3653</v>
      </c>
      <c r="C1708" t="str">
        <f>"706"</f>
        <v>706</v>
      </c>
      <c r="D1708" t="s">
        <v>28</v>
      </c>
      <c r="E1708" t="s">
        <v>23</v>
      </c>
      <c r="F1708" t="s">
        <v>23</v>
      </c>
      <c r="G1708" t="s">
        <v>3654</v>
      </c>
      <c r="H1708" t="str">
        <f>"93110"</f>
        <v>93110</v>
      </c>
      <c r="I1708" t="s">
        <v>92</v>
      </c>
    </row>
    <row r="1709" spans="1:9" x14ac:dyDescent="0.3">
      <c r="A1709" t="str">
        <f>"28554949"</f>
        <v>28554949</v>
      </c>
      <c r="B1709" t="s">
        <v>3655</v>
      </c>
      <c r="C1709" t="str">
        <f>"706"</f>
        <v>706</v>
      </c>
      <c r="D1709" t="s">
        <v>28</v>
      </c>
      <c r="E1709" t="s">
        <v>23</v>
      </c>
      <c r="F1709" t="s">
        <v>99</v>
      </c>
      <c r="G1709" t="s">
        <v>3656</v>
      </c>
      <c r="H1709" t="str">
        <f t="shared" ref="H1709:H1715" si="118">"9499"</f>
        <v>9499</v>
      </c>
      <c r="I1709" t="s">
        <v>31</v>
      </c>
    </row>
    <row r="1710" spans="1:9" x14ac:dyDescent="0.3">
      <c r="A1710" t="str">
        <f>"66597803"</f>
        <v>66597803</v>
      </c>
      <c r="B1710" t="s">
        <v>3657</v>
      </c>
      <c r="C1710" t="str">
        <f>"736"</f>
        <v>736</v>
      </c>
      <c r="D1710" t="s">
        <v>22</v>
      </c>
      <c r="E1710" t="s">
        <v>52</v>
      </c>
      <c r="F1710" t="s">
        <v>673</v>
      </c>
      <c r="G1710" t="s">
        <v>3658</v>
      </c>
      <c r="H1710" t="str">
        <f t="shared" si="118"/>
        <v>9499</v>
      </c>
      <c r="I1710" t="s">
        <v>31</v>
      </c>
    </row>
    <row r="1711" spans="1:9" x14ac:dyDescent="0.3">
      <c r="A1711" t="str">
        <f>"22852000"</f>
        <v>22852000</v>
      </c>
      <c r="B1711" t="s">
        <v>3659</v>
      </c>
      <c r="C1711" t="str">
        <f>"706"</f>
        <v>706</v>
      </c>
      <c r="D1711" t="s">
        <v>28</v>
      </c>
      <c r="E1711" t="s">
        <v>83</v>
      </c>
      <c r="F1711" t="s">
        <v>1545</v>
      </c>
      <c r="G1711" t="s">
        <v>3660</v>
      </c>
      <c r="H1711" t="str">
        <f t="shared" si="118"/>
        <v>9499</v>
      </c>
      <c r="I1711" t="s">
        <v>31</v>
      </c>
    </row>
    <row r="1712" spans="1:9" x14ac:dyDescent="0.3">
      <c r="A1712" t="str">
        <f>"26575353"</f>
        <v>26575353</v>
      </c>
      <c r="B1712" t="s">
        <v>3661</v>
      </c>
      <c r="C1712" t="str">
        <f>"706"</f>
        <v>706</v>
      </c>
      <c r="D1712" t="s">
        <v>28</v>
      </c>
      <c r="E1712" t="s">
        <v>29</v>
      </c>
      <c r="F1712" t="s">
        <v>29</v>
      </c>
      <c r="G1712" t="s">
        <v>3662</v>
      </c>
      <c r="H1712" t="str">
        <f t="shared" si="118"/>
        <v>9499</v>
      </c>
      <c r="I1712" t="s">
        <v>31</v>
      </c>
    </row>
    <row r="1713" spans="1:14" x14ac:dyDescent="0.3">
      <c r="A1713" t="str">
        <f>"26616572"</f>
        <v>26616572</v>
      </c>
      <c r="B1713" t="s">
        <v>3663</v>
      </c>
      <c r="C1713" t="str">
        <f>"706"</f>
        <v>706</v>
      </c>
      <c r="D1713" t="s">
        <v>28</v>
      </c>
      <c r="E1713" t="s">
        <v>23</v>
      </c>
      <c r="F1713" t="s">
        <v>107</v>
      </c>
      <c r="G1713" t="s">
        <v>3664</v>
      </c>
      <c r="H1713" t="str">
        <f t="shared" si="118"/>
        <v>9499</v>
      </c>
      <c r="I1713" t="s">
        <v>31</v>
      </c>
    </row>
    <row r="1714" spans="1:14" x14ac:dyDescent="0.3">
      <c r="A1714" t="str">
        <f>"26645653"</f>
        <v>26645653</v>
      </c>
      <c r="B1714" t="s">
        <v>3665</v>
      </c>
      <c r="C1714" t="str">
        <f>"706"</f>
        <v>706</v>
      </c>
      <c r="D1714" t="s">
        <v>28</v>
      </c>
      <c r="E1714" t="s">
        <v>23</v>
      </c>
      <c r="F1714" t="s">
        <v>24</v>
      </c>
      <c r="G1714" t="s">
        <v>3666</v>
      </c>
      <c r="H1714" t="str">
        <f t="shared" si="118"/>
        <v>9499</v>
      </c>
      <c r="I1714" t="s">
        <v>31</v>
      </c>
    </row>
    <row r="1715" spans="1:14" x14ac:dyDescent="0.3">
      <c r="A1715" t="str">
        <f>"22692398"</f>
        <v>22692398</v>
      </c>
      <c r="B1715" t="s">
        <v>3667</v>
      </c>
      <c r="C1715" t="str">
        <f>"706"</f>
        <v>706</v>
      </c>
      <c r="D1715" t="s">
        <v>28</v>
      </c>
      <c r="E1715" t="s">
        <v>23</v>
      </c>
      <c r="F1715" t="s">
        <v>23</v>
      </c>
      <c r="G1715" t="s">
        <v>280</v>
      </c>
      <c r="H1715" t="str">
        <f t="shared" si="118"/>
        <v>9499</v>
      </c>
      <c r="I1715" t="s">
        <v>31</v>
      </c>
      <c r="J1715" t="s">
        <v>146</v>
      </c>
      <c r="K1715" t="s">
        <v>1187</v>
      </c>
    </row>
    <row r="1716" spans="1:14" x14ac:dyDescent="0.3">
      <c r="A1716" t="str">
        <f>"64123031"</f>
        <v>64123031</v>
      </c>
      <c r="B1716" t="s">
        <v>3668</v>
      </c>
      <c r="C1716" t="str">
        <f>"141"</f>
        <v>141</v>
      </c>
      <c r="D1716" t="s">
        <v>112</v>
      </c>
      <c r="E1716" t="s">
        <v>29</v>
      </c>
      <c r="F1716" t="s">
        <v>38</v>
      </c>
      <c r="G1716" t="s">
        <v>3669</v>
      </c>
      <c r="H1716" t="str">
        <f>"8899"</f>
        <v>8899</v>
      </c>
      <c r="I1716" t="s">
        <v>40</v>
      </c>
      <c r="J1716" t="s">
        <v>156</v>
      </c>
      <c r="K1716" t="s">
        <v>147</v>
      </c>
      <c r="L1716" t="s">
        <v>146</v>
      </c>
      <c r="M1716" t="s">
        <v>3670</v>
      </c>
      <c r="N1716" t="s">
        <v>163</v>
      </c>
    </row>
    <row r="1717" spans="1:14" x14ac:dyDescent="0.3">
      <c r="A1717" t="str">
        <f>"22883878"</f>
        <v>22883878</v>
      </c>
      <c r="B1717" t="s">
        <v>3671</v>
      </c>
      <c r="C1717" t="str">
        <f t="shared" ref="C1717:C1734" si="119">"706"</f>
        <v>706</v>
      </c>
      <c r="D1717" t="s">
        <v>28</v>
      </c>
      <c r="E1717" t="s">
        <v>52</v>
      </c>
      <c r="F1717" t="s">
        <v>113</v>
      </c>
      <c r="G1717" t="s">
        <v>3672</v>
      </c>
      <c r="H1717" t="str">
        <f>"9499"</f>
        <v>9499</v>
      </c>
      <c r="I1717" t="s">
        <v>31</v>
      </c>
    </row>
    <row r="1718" spans="1:14" x14ac:dyDescent="0.3">
      <c r="A1718" t="str">
        <f>"03757994"</f>
        <v>03757994</v>
      </c>
      <c r="B1718" t="s">
        <v>3673</v>
      </c>
      <c r="C1718" t="str">
        <f t="shared" si="119"/>
        <v>706</v>
      </c>
      <c r="D1718" t="s">
        <v>28</v>
      </c>
      <c r="E1718" t="s">
        <v>23</v>
      </c>
      <c r="F1718" t="s">
        <v>459</v>
      </c>
      <c r="G1718" t="s">
        <v>3674</v>
      </c>
      <c r="H1718" t="str">
        <f>"94993"</f>
        <v>94993</v>
      </c>
      <c r="I1718" t="s">
        <v>50</v>
      </c>
    </row>
    <row r="1719" spans="1:14" x14ac:dyDescent="0.3">
      <c r="A1719" t="str">
        <f>"14011859"</f>
        <v>14011859</v>
      </c>
      <c r="B1719" t="s">
        <v>3675</v>
      </c>
      <c r="C1719" t="str">
        <f t="shared" si="119"/>
        <v>706</v>
      </c>
      <c r="D1719" t="s">
        <v>28</v>
      </c>
      <c r="E1719" t="s">
        <v>83</v>
      </c>
      <c r="F1719" t="s">
        <v>473</v>
      </c>
      <c r="G1719" t="s">
        <v>3676</v>
      </c>
      <c r="H1719" t="str">
        <f>"9499"</f>
        <v>9499</v>
      </c>
      <c r="I1719" t="s">
        <v>31</v>
      </c>
    </row>
    <row r="1720" spans="1:14" x14ac:dyDescent="0.3">
      <c r="A1720" t="str">
        <f>"07401060"</f>
        <v>07401060</v>
      </c>
      <c r="B1720" t="s">
        <v>3677</v>
      </c>
      <c r="C1720" t="str">
        <f t="shared" si="119"/>
        <v>706</v>
      </c>
      <c r="D1720" t="s">
        <v>28</v>
      </c>
      <c r="E1720" t="s">
        <v>29</v>
      </c>
      <c r="F1720" t="s">
        <v>29</v>
      </c>
      <c r="G1720" t="s">
        <v>3678</v>
      </c>
      <c r="H1720" t="str">
        <f>"9499"</f>
        <v>9499</v>
      </c>
      <c r="I1720" t="s">
        <v>31</v>
      </c>
    </row>
    <row r="1721" spans="1:14" x14ac:dyDescent="0.3">
      <c r="A1721" t="str">
        <f>"26536161"</f>
        <v>26536161</v>
      </c>
      <c r="B1721" t="s">
        <v>3679</v>
      </c>
      <c r="C1721" t="str">
        <f t="shared" si="119"/>
        <v>706</v>
      </c>
      <c r="D1721" t="s">
        <v>28</v>
      </c>
      <c r="E1721" t="s">
        <v>52</v>
      </c>
      <c r="F1721" t="s">
        <v>673</v>
      </c>
      <c r="G1721" t="s">
        <v>3680</v>
      </c>
      <c r="H1721" t="str">
        <f>"9499"</f>
        <v>9499</v>
      </c>
      <c r="I1721" t="s">
        <v>31</v>
      </c>
    </row>
    <row r="1722" spans="1:14" x14ac:dyDescent="0.3">
      <c r="A1722" t="str">
        <f>"26660105"</f>
        <v>26660105</v>
      </c>
      <c r="B1722" t="s">
        <v>3681</v>
      </c>
      <c r="C1722" t="str">
        <f t="shared" si="119"/>
        <v>706</v>
      </c>
      <c r="D1722" t="s">
        <v>28</v>
      </c>
      <c r="E1722" t="s">
        <v>23</v>
      </c>
      <c r="F1722" t="s">
        <v>23</v>
      </c>
      <c r="G1722" t="s">
        <v>3682</v>
      </c>
      <c r="H1722" t="str">
        <f>"9499"</f>
        <v>9499</v>
      </c>
      <c r="I1722" t="s">
        <v>31</v>
      </c>
    </row>
    <row r="1723" spans="1:14" x14ac:dyDescent="0.3">
      <c r="A1723" t="str">
        <f>"62831593"</f>
        <v>62831593</v>
      </c>
      <c r="B1723" t="s">
        <v>3683</v>
      </c>
      <c r="C1723" t="str">
        <f t="shared" si="119"/>
        <v>706</v>
      </c>
      <c r="D1723" t="s">
        <v>28</v>
      </c>
      <c r="E1723" t="s">
        <v>52</v>
      </c>
      <c r="F1723" t="s">
        <v>52</v>
      </c>
      <c r="G1723" t="s">
        <v>3684</v>
      </c>
      <c r="H1723" t="str">
        <f>"93110"</f>
        <v>93110</v>
      </c>
      <c r="I1723" t="s">
        <v>92</v>
      </c>
    </row>
    <row r="1724" spans="1:14" x14ac:dyDescent="0.3">
      <c r="A1724" t="str">
        <f>"70870837"</f>
        <v>70870837</v>
      </c>
      <c r="B1724" t="s">
        <v>3685</v>
      </c>
      <c r="C1724" t="str">
        <f t="shared" si="119"/>
        <v>706</v>
      </c>
      <c r="D1724" t="s">
        <v>28</v>
      </c>
      <c r="E1724" t="s">
        <v>83</v>
      </c>
      <c r="F1724" t="s">
        <v>881</v>
      </c>
      <c r="G1724" t="s">
        <v>3686</v>
      </c>
      <c r="H1724" t="str">
        <f>"931"</f>
        <v>931</v>
      </c>
      <c r="I1724" t="s">
        <v>26</v>
      </c>
    </row>
    <row r="1725" spans="1:14" x14ac:dyDescent="0.3">
      <c r="A1725" t="str">
        <f>"47934042"</f>
        <v>47934042</v>
      </c>
      <c r="B1725" t="s">
        <v>3687</v>
      </c>
      <c r="C1725" t="str">
        <f t="shared" si="119"/>
        <v>706</v>
      </c>
      <c r="D1725" t="s">
        <v>28</v>
      </c>
      <c r="E1725" t="s">
        <v>83</v>
      </c>
      <c r="F1725" t="s">
        <v>83</v>
      </c>
      <c r="G1725" t="s">
        <v>83</v>
      </c>
      <c r="H1725" t="str">
        <f>"93110"</f>
        <v>93110</v>
      </c>
      <c r="I1725" t="s">
        <v>92</v>
      </c>
    </row>
    <row r="1726" spans="1:14" x14ac:dyDescent="0.3">
      <c r="A1726" t="str">
        <f>"27020444"</f>
        <v>27020444</v>
      </c>
      <c r="B1726" t="s">
        <v>3688</v>
      </c>
      <c r="C1726" t="str">
        <f t="shared" si="119"/>
        <v>706</v>
      </c>
      <c r="D1726" t="s">
        <v>28</v>
      </c>
      <c r="E1726" t="s">
        <v>23</v>
      </c>
      <c r="F1726" t="s">
        <v>23</v>
      </c>
      <c r="G1726" t="s">
        <v>3689</v>
      </c>
      <c r="H1726" t="str">
        <f>"93110"</f>
        <v>93110</v>
      </c>
      <c r="I1726" t="s">
        <v>92</v>
      </c>
    </row>
    <row r="1727" spans="1:14" x14ac:dyDescent="0.3">
      <c r="A1727" t="str">
        <f>"22815864"</f>
        <v>22815864</v>
      </c>
      <c r="B1727" t="s">
        <v>3690</v>
      </c>
      <c r="C1727" t="str">
        <f t="shared" si="119"/>
        <v>706</v>
      </c>
      <c r="D1727" t="s">
        <v>28</v>
      </c>
      <c r="E1727" t="s">
        <v>52</v>
      </c>
      <c r="F1727" t="s">
        <v>52</v>
      </c>
      <c r="G1727" t="s">
        <v>3691</v>
      </c>
      <c r="H1727" t="str">
        <f t="shared" ref="H1727:H1734" si="120">"9499"</f>
        <v>9499</v>
      </c>
      <c r="I1727" t="s">
        <v>31</v>
      </c>
    </row>
    <row r="1728" spans="1:14" x14ac:dyDescent="0.3">
      <c r="A1728" t="str">
        <f>"03545563"</f>
        <v>03545563</v>
      </c>
      <c r="B1728" t="s">
        <v>3692</v>
      </c>
      <c r="C1728" t="str">
        <f t="shared" si="119"/>
        <v>706</v>
      </c>
      <c r="D1728" t="s">
        <v>28</v>
      </c>
      <c r="E1728" t="s">
        <v>29</v>
      </c>
      <c r="F1728" t="s">
        <v>1266</v>
      </c>
      <c r="G1728" t="s">
        <v>3693</v>
      </c>
      <c r="H1728" t="str">
        <f t="shared" si="120"/>
        <v>9499</v>
      </c>
      <c r="I1728" t="s">
        <v>31</v>
      </c>
    </row>
    <row r="1729" spans="1:11" x14ac:dyDescent="0.3">
      <c r="A1729" t="str">
        <f>"70873798"</f>
        <v>70873798</v>
      </c>
      <c r="B1729" t="s">
        <v>3694</v>
      </c>
      <c r="C1729" t="str">
        <f t="shared" si="119"/>
        <v>706</v>
      </c>
      <c r="D1729" t="s">
        <v>28</v>
      </c>
      <c r="E1729" t="s">
        <v>23</v>
      </c>
      <c r="F1729" t="s">
        <v>87</v>
      </c>
      <c r="G1729" t="s">
        <v>3695</v>
      </c>
      <c r="H1729" t="str">
        <f t="shared" si="120"/>
        <v>9499</v>
      </c>
      <c r="I1729" t="s">
        <v>31</v>
      </c>
    </row>
    <row r="1730" spans="1:11" x14ac:dyDescent="0.3">
      <c r="A1730" t="str">
        <f>"09641521"</f>
        <v>09641521</v>
      </c>
      <c r="B1730" t="s">
        <v>3696</v>
      </c>
      <c r="C1730" t="str">
        <f t="shared" si="119"/>
        <v>706</v>
      </c>
      <c r="D1730" t="s">
        <v>28</v>
      </c>
      <c r="E1730" t="s">
        <v>52</v>
      </c>
      <c r="F1730" t="s">
        <v>234</v>
      </c>
      <c r="G1730" t="s">
        <v>3697</v>
      </c>
      <c r="H1730" t="str">
        <f t="shared" si="120"/>
        <v>9499</v>
      </c>
      <c r="I1730" t="s">
        <v>31</v>
      </c>
    </row>
    <row r="1731" spans="1:11" x14ac:dyDescent="0.3">
      <c r="A1731" t="str">
        <f>"02672219"</f>
        <v>02672219</v>
      </c>
      <c r="B1731" t="s">
        <v>3698</v>
      </c>
      <c r="C1731" t="str">
        <f t="shared" si="119"/>
        <v>706</v>
      </c>
      <c r="D1731" t="s">
        <v>28</v>
      </c>
      <c r="E1731" t="s">
        <v>52</v>
      </c>
      <c r="F1731" t="s">
        <v>113</v>
      </c>
      <c r="G1731" t="s">
        <v>3699</v>
      </c>
      <c r="H1731" t="str">
        <f t="shared" si="120"/>
        <v>9499</v>
      </c>
      <c r="I1731" t="s">
        <v>31</v>
      </c>
    </row>
    <row r="1732" spans="1:11" x14ac:dyDescent="0.3">
      <c r="A1732" t="str">
        <f>"19465033"</f>
        <v>19465033</v>
      </c>
      <c r="B1732" t="s">
        <v>3700</v>
      </c>
      <c r="C1732" t="str">
        <f t="shared" si="119"/>
        <v>706</v>
      </c>
      <c r="D1732" t="s">
        <v>28</v>
      </c>
      <c r="E1732" t="s">
        <v>83</v>
      </c>
      <c r="F1732" t="s">
        <v>84</v>
      </c>
      <c r="G1732" t="s">
        <v>3701</v>
      </c>
      <c r="H1732" t="str">
        <f t="shared" si="120"/>
        <v>9499</v>
      </c>
      <c r="I1732" t="s">
        <v>31</v>
      </c>
      <c r="J1732" t="s">
        <v>146</v>
      </c>
      <c r="K1732" t="s">
        <v>54</v>
      </c>
    </row>
    <row r="1733" spans="1:11" x14ac:dyDescent="0.3">
      <c r="A1733" t="str">
        <f>"04797230"</f>
        <v>04797230</v>
      </c>
      <c r="B1733" t="s">
        <v>3702</v>
      </c>
      <c r="C1733" t="str">
        <f t="shared" si="119"/>
        <v>706</v>
      </c>
      <c r="D1733" t="s">
        <v>28</v>
      </c>
      <c r="E1733" t="s">
        <v>29</v>
      </c>
      <c r="F1733" t="s">
        <v>271</v>
      </c>
      <c r="G1733" t="s">
        <v>3703</v>
      </c>
      <c r="H1733" t="str">
        <f t="shared" si="120"/>
        <v>9499</v>
      </c>
      <c r="I1733" t="s">
        <v>31</v>
      </c>
    </row>
    <row r="1734" spans="1:11" x14ac:dyDescent="0.3">
      <c r="A1734" t="str">
        <f>"26665867"</f>
        <v>26665867</v>
      </c>
      <c r="B1734" t="s">
        <v>3704</v>
      </c>
      <c r="C1734" t="str">
        <f t="shared" si="119"/>
        <v>706</v>
      </c>
      <c r="D1734" t="s">
        <v>28</v>
      </c>
      <c r="E1734" t="s">
        <v>52</v>
      </c>
      <c r="F1734" t="s">
        <v>52</v>
      </c>
      <c r="G1734" t="s">
        <v>3705</v>
      </c>
      <c r="H1734" t="str">
        <f t="shared" si="120"/>
        <v>9499</v>
      </c>
      <c r="I1734" t="s">
        <v>31</v>
      </c>
    </row>
    <row r="1735" spans="1:11" x14ac:dyDescent="0.3">
      <c r="A1735" t="str">
        <f>"42340098"</f>
        <v>42340098</v>
      </c>
      <c r="B1735" t="s">
        <v>3706</v>
      </c>
      <c r="C1735" t="str">
        <f>"736"</f>
        <v>736</v>
      </c>
      <c r="D1735" t="s">
        <v>22</v>
      </c>
      <c r="E1735" t="s">
        <v>23</v>
      </c>
      <c r="F1735" t="s">
        <v>23</v>
      </c>
      <c r="G1735" t="s">
        <v>3707</v>
      </c>
      <c r="H1735" t="str">
        <f>"931"</f>
        <v>931</v>
      </c>
      <c r="I1735" t="s">
        <v>26</v>
      </c>
    </row>
    <row r="1736" spans="1:11" x14ac:dyDescent="0.3">
      <c r="A1736" t="str">
        <f>"22873511"</f>
        <v>22873511</v>
      </c>
      <c r="B1736" t="s">
        <v>3708</v>
      </c>
      <c r="C1736" t="str">
        <f>"706"</f>
        <v>706</v>
      </c>
      <c r="D1736" t="s">
        <v>28</v>
      </c>
      <c r="E1736" t="s">
        <v>52</v>
      </c>
      <c r="F1736" t="s">
        <v>113</v>
      </c>
      <c r="G1736" t="s">
        <v>3709</v>
      </c>
      <c r="H1736" t="str">
        <f>"9499"</f>
        <v>9499</v>
      </c>
      <c r="I1736" t="s">
        <v>31</v>
      </c>
    </row>
    <row r="1737" spans="1:11" x14ac:dyDescent="0.3">
      <c r="A1737" t="str">
        <f>"26670542"</f>
        <v>26670542</v>
      </c>
      <c r="B1737" t="s">
        <v>3710</v>
      </c>
      <c r="C1737" t="str">
        <f>"706"</f>
        <v>706</v>
      </c>
      <c r="D1737" t="s">
        <v>28</v>
      </c>
      <c r="E1737" t="s">
        <v>23</v>
      </c>
      <c r="F1737" t="s">
        <v>245</v>
      </c>
      <c r="G1737" t="s">
        <v>3711</v>
      </c>
      <c r="H1737" t="str">
        <f>"93110"</f>
        <v>93110</v>
      </c>
      <c r="I1737" t="s">
        <v>92</v>
      </c>
    </row>
    <row r="1738" spans="1:11" x14ac:dyDescent="0.3">
      <c r="A1738" t="str">
        <f>"22607048"</f>
        <v>22607048</v>
      </c>
      <c r="B1738" t="s">
        <v>3712</v>
      </c>
      <c r="C1738" t="str">
        <f>"706"</f>
        <v>706</v>
      </c>
      <c r="D1738" t="s">
        <v>28</v>
      </c>
      <c r="E1738" t="s">
        <v>83</v>
      </c>
      <c r="F1738" t="s">
        <v>183</v>
      </c>
      <c r="G1738" t="s">
        <v>2214</v>
      </c>
      <c r="H1738" t="str">
        <f>"9499"</f>
        <v>9499</v>
      </c>
      <c r="I1738" t="s">
        <v>31</v>
      </c>
    </row>
    <row r="1739" spans="1:11" x14ac:dyDescent="0.3">
      <c r="A1739" t="str">
        <f>"22853227"</f>
        <v>22853227</v>
      </c>
      <c r="B1739" t="s">
        <v>3713</v>
      </c>
      <c r="C1739" t="str">
        <f>"706"</f>
        <v>706</v>
      </c>
      <c r="D1739" t="s">
        <v>28</v>
      </c>
      <c r="E1739" t="s">
        <v>29</v>
      </c>
      <c r="F1739" t="s">
        <v>195</v>
      </c>
      <c r="G1739" t="s">
        <v>3714</v>
      </c>
      <c r="H1739" t="str">
        <f>"94999"</f>
        <v>94999</v>
      </c>
      <c r="I1739" t="s">
        <v>202</v>
      </c>
    </row>
    <row r="1740" spans="1:11" x14ac:dyDescent="0.3">
      <c r="A1740" t="str">
        <f>"69725641"</f>
        <v>69725641</v>
      </c>
      <c r="B1740" t="s">
        <v>3715</v>
      </c>
      <c r="C1740" t="str">
        <f>"706"</f>
        <v>706</v>
      </c>
      <c r="D1740" t="s">
        <v>28</v>
      </c>
      <c r="E1740" t="s">
        <v>23</v>
      </c>
      <c r="F1740" t="s">
        <v>975</v>
      </c>
      <c r="G1740" t="s">
        <v>3716</v>
      </c>
      <c r="H1740" t="str">
        <f>"93120"</f>
        <v>93120</v>
      </c>
      <c r="I1740" t="s">
        <v>54</v>
      </c>
    </row>
    <row r="1741" spans="1:11" x14ac:dyDescent="0.3">
      <c r="A1741" t="str">
        <f>"70902003"</f>
        <v>70902003</v>
      </c>
      <c r="B1741" t="s">
        <v>3717</v>
      </c>
      <c r="C1741" t="str">
        <f t="shared" ref="C1741:C1754" si="121">"736"</f>
        <v>736</v>
      </c>
      <c r="D1741" t="s">
        <v>22</v>
      </c>
      <c r="E1741" t="s">
        <v>29</v>
      </c>
      <c r="F1741" t="s">
        <v>29</v>
      </c>
      <c r="G1741" t="s">
        <v>510</v>
      </c>
      <c r="H1741" t="str">
        <f>"9499"</f>
        <v>9499</v>
      </c>
      <c r="I1741" t="s">
        <v>31</v>
      </c>
    </row>
    <row r="1742" spans="1:11" x14ac:dyDescent="0.3">
      <c r="A1742" t="str">
        <f>"72071761"</f>
        <v>72071761</v>
      </c>
      <c r="B1742" t="s">
        <v>3718</v>
      </c>
      <c r="C1742" t="str">
        <f t="shared" si="121"/>
        <v>736</v>
      </c>
      <c r="D1742" t="s">
        <v>22</v>
      </c>
      <c r="E1742" t="s">
        <v>83</v>
      </c>
      <c r="F1742" t="s">
        <v>480</v>
      </c>
      <c r="G1742" t="s">
        <v>3719</v>
      </c>
      <c r="H1742" t="str">
        <f>"94993"</f>
        <v>94993</v>
      </c>
      <c r="I1742" t="s">
        <v>50</v>
      </c>
    </row>
    <row r="1743" spans="1:11" x14ac:dyDescent="0.3">
      <c r="A1743" t="str">
        <f>"44018908"</f>
        <v>44018908</v>
      </c>
      <c r="B1743" t="s">
        <v>3720</v>
      </c>
      <c r="C1743" t="str">
        <f t="shared" si="121"/>
        <v>736</v>
      </c>
      <c r="D1743" t="s">
        <v>22</v>
      </c>
      <c r="E1743" t="s">
        <v>52</v>
      </c>
      <c r="F1743" t="s">
        <v>631</v>
      </c>
      <c r="G1743" t="s">
        <v>1007</v>
      </c>
      <c r="H1743" t="str">
        <f>"94993"</f>
        <v>94993</v>
      </c>
      <c r="I1743" t="s">
        <v>50</v>
      </c>
    </row>
    <row r="1744" spans="1:11" x14ac:dyDescent="0.3">
      <c r="A1744" t="str">
        <f>"72073632"</f>
        <v>72073632</v>
      </c>
      <c r="B1744" t="s">
        <v>3721</v>
      </c>
      <c r="C1744" t="str">
        <f t="shared" si="121"/>
        <v>736</v>
      </c>
      <c r="D1744" t="s">
        <v>22</v>
      </c>
      <c r="E1744" t="s">
        <v>29</v>
      </c>
      <c r="F1744" t="s">
        <v>503</v>
      </c>
      <c r="G1744" t="s">
        <v>504</v>
      </c>
      <c r="H1744" t="str">
        <f>"94993"</f>
        <v>94993</v>
      </c>
      <c r="I1744" t="s">
        <v>50</v>
      </c>
    </row>
    <row r="1745" spans="1:9" x14ac:dyDescent="0.3">
      <c r="A1745" t="str">
        <f>"67728031"</f>
        <v>67728031</v>
      </c>
      <c r="B1745" t="s">
        <v>3722</v>
      </c>
      <c r="C1745" t="str">
        <f t="shared" si="121"/>
        <v>736</v>
      </c>
      <c r="D1745" t="s">
        <v>22</v>
      </c>
      <c r="E1745" t="s">
        <v>29</v>
      </c>
      <c r="F1745" t="s">
        <v>1796</v>
      </c>
      <c r="G1745" t="s">
        <v>3723</v>
      </c>
      <c r="H1745" t="str">
        <f>"9499"</f>
        <v>9499</v>
      </c>
      <c r="I1745" t="s">
        <v>31</v>
      </c>
    </row>
    <row r="1746" spans="1:9" x14ac:dyDescent="0.3">
      <c r="A1746" t="str">
        <f>"75080249"</f>
        <v>75080249</v>
      </c>
      <c r="B1746" t="s">
        <v>3724</v>
      </c>
      <c r="C1746" t="str">
        <f t="shared" si="121"/>
        <v>736</v>
      </c>
      <c r="D1746" t="s">
        <v>22</v>
      </c>
      <c r="E1746" t="s">
        <v>23</v>
      </c>
      <c r="F1746" t="s">
        <v>141</v>
      </c>
      <c r="G1746" t="s">
        <v>3725</v>
      </c>
      <c r="H1746" t="str">
        <f>"9499"</f>
        <v>9499</v>
      </c>
      <c r="I1746" t="s">
        <v>31</v>
      </c>
    </row>
    <row r="1747" spans="1:9" x14ac:dyDescent="0.3">
      <c r="A1747" t="str">
        <f>"63459141"</f>
        <v>63459141</v>
      </c>
      <c r="B1747" t="s">
        <v>3726</v>
      </c>
      <c r="C1747" t="str">
        <f t="shared" si="121"/>
        <v>736</v>
      </c>
      <c r="D1747" t="s">
        <v>22</v>
      </c>
      <c r="E1747" t="s">
        <v>83</v>
      </c>
      <c r="F1747" t="s">
        <v>1627</v>
      </c>
      <c r="G1747" t="s">
        <v>3727</v>
      </c>
      <c r="H1747" t="str">
        <f>"9499"</f>
        <v>9499</v>
      </c>
      <c r="I1747" t="s">
        <v>31</v>
      </c>
    </row>
    <row r="1748" spans="1:9" x14ac:dyDescent="0.3">
      <c r="A1748" t="str">
        <f>"72072822"</f>
        <v>72072822</v>
      </c>
      <c r="B1748" t="s">
        <v>3728</v>
      </c>
      <c r="C1748" t="str">
        <f t="shared" si="121"/>
        <v>736</v>
      </c>
      <c r="D1748" t="s">
        <v>22</v>
      </c>
      <c r="E1748" t="s">
        <v>23</v>
      </c>
      <c r="F1748" t="s">
        <v>141</v>
      </c>
      <c r="G1748" t="s">
        <v>468</v>
      </c>
      <c r="H1748" t="str">
        <f>"94993"</f>
        <v>94993</v>
      </c>
      <c r="I1748" t="s">
        <v>50</v>
      </c>
    </row>
    <row r="1749" spans="1:9" x14ac:dyDescent="0.3">
      <c r="A1749" t="str">
        <f>"72077107"</f>
        <v>72077107</v>
      </c>
      <c r="B1749" t="s">
        <v>3729</v>
      </c>
      <c r="C1749" t="str">
        <f t="shared" si="121"/>
        <v>736</v>
      </c>
      <c r="D1749" t="s">
        <v>22</v>
      </c>
      <c r="E1749" t="s">
        <v>83</v>
      </c>
      <c r="F1749" t="s">
        <v>83</v>
      </c>
      <c r="G1749" t="s">
        <v>3730</v>
      </c>
      <c r="H1749" t="str">
        <f>"9499"</f>
        <v>9499</v>
      </c>
      <c r="I1749" t="s">
        <v>31</v>
      </c>
    </row>
    <row r="1750" spans="1:9" x14ac:dyDescent="0.3">
      <c r="A1750" t="str">
        <f>"21150532"</f>
        <v>21150532</v>
      </c>
      <c r="B1750" t="s">
        <v>3731</v>
      </c>
      <c r="C1750" t="str">
        <f t="shared" si="121"/>
        <v>736</v>
      </c>
      <c r="D1750" t="s">
        <v>22</v>
      </c>
      <c r="E1750" t="s">
        <v>52</v>
      </c>
      <c r="F1750" t="s">
        <v>113</v>
      </c>
      <c r="G1750" t="s">
        <v>3732</v>
      </c>
      <c r="H1750" t="str">
        <f>"9499"</f>
        <v>9499</v>
      </c>
      <c r="I1750" t="s">
        <v>31</v>
      </c>
    </row>
    <row r="1751" spans="1:9" x14ac:dyDescent="0.3">
      <c r="A1751" t="str">
        <f>"15527891"</f>
        <v>15527891</v>
      </c>
      <c r="B1751" t="s">
        <v>3733</v>
      </c>
      <c r="C1751" t="str">
        <f t="shared" si="121"/>
        <v>736</v>
      </c>
      <c r="D1751" t="s">
        <v>22</v>
      </c>
      <c r="E1751" t="s">
        <v>52</v>
      </c>
      <c r="F1751" t="s">
        <v>94</v>
      </c>
      <c r="G1751" t="s">
        <v>484</v>
      </c>
      <c r="H1751" t="str">
        <f>"9499"</f>
        <v>9499</v>
      </c>
      <c r="I1751" t="s">
        <v>31</v>
      </c>
    </row>
    <row r="1752" spans="1:9" x14ac:dyDescent="0.3">
      <c r="A1752" t="str">
        <f>"72074001"</f>
        <v>72074001</v>
      </c>
      <c r="B1752" t="s">
        <v>3734</v>
      </c>
      <c r="C1752" t="str">
        <f t="shared" si="121"/>
        <v>736</v>
      </c>
      <c r="D1752" t="s">
        <v>22</v>
      </c>
      <c r="E1752" t="s">
        <v>23</v>
      </c>
      <c r="F1752" t="s">
        <v>107</v>
      </c>
      <c r="G1752" t="s">
        <v>206</v>
      </c>
      <c r="H1752" t="str">
        <f>"94993"</f>
        <v>94993</v>
      </c>
      <c r="I1752" t="s">
        <v>50</v>
      </c>
    </row>
    <row r="1753" spans="1:9" x14ac:dyDescent="0.3">
      <c r="A1753" t="str">
        <f>"72067934"</f>
        <v>72067934</v>
      </c>
      <c r="B1753" t="s">
        <v>3735</v>
      </c>
      <c r="C1753" t="str">
        <f t="shared" si="121"/>
        <v>736</v>
      </c>
      <c r="D1753" t="s">
        <v>22</v>
      </c>
      <c r="E1753" t="s">
        <v>29</v>
      </c>
      <c r="F1753" t="s">
        <v>195</v>
      </c>
      <c r="G1753" t="s">
        <v>3736</v>
      </c>
      <c r="H1753" t="str">
        <f>"9499"</f>
        <v>9499</v>
      </c>
      <c r="I1753" t="s">
        <v>31</v>
      </c>
    </row>
    <row r="1754" spans="1:9" x14ac:dyDescent="0.3">
      <c r="A1754" t="str">
        <f>"65891180"</f>
        <v>65891180</v>
      </c>
      <c r="B1754" t="s">
        <v>3737</v>
      </c>
      <c r="C1754" t="str">
        <f t="shared" si="121"/>
        <v>736</v>
      </c>
      <c r="D1754" t="s">
        <v>22</v>
      </c>
      <c r="E1754" t="s">
        <v>29</v>
      </c>
      <c r="F1754" t="s">
        <v>29</v>
      </c>
      <c r="G1754" t="s">
        <v>3738</v>
      </c>
      <c r="H1754" t="str">
        <f>"94993"</f>
        <v>94993</v>
      </c>
      <c r="I1754" t="s">
        <v>50</v>
      </c>
    </row>
    <row r="1755" spans="1:9" x14ac:dyDescent="0.3">
      <c r="A1755" t="str">
        <f>"48773395"</f>
        <v>48773395</v>
      </c>
      <c r="B1755" t="s">
        <v>3739</v>
      </c>
      <c r="C1755" t="str">
        <f>"706"</f>
        <v>706</v>
      </c>
      <c r="D1755" t="s">
        <v>28</v>
      </c>
      <c r="E1755" t="s">
        <v>29</v>
      </c>
      <c r="F1755" t="s">
        <v>29</v>
      </c>
      <c r="G1755" t="s">
        <v>506</v>
      </c>
      <c r="H1755" t="str">
        <f>"93110"</f>
        <v>93110</v>
      </c>
      <c r="I1755" t="s">
        <v>92</v>
      </c>
    </row>
    <row r="1756" spans="1:9" x14ac:dyDescent="0.3">
      <c r="A1756" t="str">
        <f>"72066679"</f>
        <v>72066679</v>
      </c>
      <c r="B1756" t="s">
        <v>3740</v>
      </c>
      <c r="C1756" t="str">
        <f>"736"</f>
        <v>736</v>
      </c>
      <c r="D1756" t="s">
        <v>22</v>
      </c>
      <c r="E1756" t="s">
        <v>23</v>
      </c>
      <c r="F1756" t="s">
        <v>68</v>
      </c>
      <c r="G1756" t="s">
        <v>3741</v>
      </c>
      <c r="H1756" t="str">
        <f>"94993"</f>
        <v>94993</v>
      </c>
      <c r="I1756" t="s">
        <v>50</v>
      </c>
    </row>
    <row r="1757" spans="1:9" x14ac:dyDescent="0.3">
      <c r="A1757" t="str">
        <f>"72062401"</f>
        <v>72062401</v>
      </c>
      <c r="B1757" t="s">
        <v>3742</v>
      </c>
      <c r="C1757" t="str">
        <f>"736"</f>
        <v>736</v>
      </c>
      <c r="D1757" t="s">
        <v>22</v>
      </c>
      <c r="E1757" t="s">
        <v>83</v>
      </c>
      <c r="F1757" t="s">
        <v>1635</v>
      </c>
      <c r="G1757" t="s">
        <v>3743</v>
      </c>
      <c r="H1757" t="str">
        <f>"9499"</f>
        <v>9499</v>
      </c>
      <c r="I1757" t="s">
        <v>31</v>
      </c>
    </row>
    <row r="1758" spans="1:9" x14ac:dyDescent="0.3">
      <c r="A1758" t="str">
        <f>"47863587"</f>
        <v>47863587</v>
      </c>
      <c r="B1758" t="s">
        <v>3744</v>
      </c>
      <c r="C1758" t="str">
        <f>"706"</f>
        <v>706</v>
      </c>
      <c r="D1758" t="s">
        <v>28</v>
      </c>
      <c r="E1758" t="s">
        <v>29</v>
      </c>
      <c r="F1758" t="s">
        <v>29</v>
      </c>
      <c r="G1758" t="s">
        <v>510</v>
      </c>
      <c r="H1758" t="str">
        <f>"93120"</f>
        <v>93120</v>
      </c>
      <c r="I1758" t="s">
        <v>54</v>
      </c>
    </row>
    <row r="1759" spans="1:9" x14ac:dyDescent="0.3">
      <c r="A1759" t="str">
        <f>"75116952"</f>
        <v>75116952</v>
      </c>
      <c r="B1759" t="s">
        <v>3745</v>
      </c>
      <c r="C1759" t="str">
        <f>"736"</f>
        <v>736</v>
      </c>
      <c r="D1759" t="s">
        <v>22</v>
      </c>
      <c r="E1759" t="s">
        <v>23</v>
      </c>
      <c r="F1759" t="s">
        <v>1254</v>
      </c>
      <c r="G1759" t="s">
        <v>3746</v>
      </c>
      <c r="H1759" t="str">
        <f>"9499"</f>
        <v>9499</v>
      </c>
      <c r="I1759" t="s">
        <v>31</v>
      </c>
    </row>
    <row r="1760" spans="1:9" x14ac:dyDescent="0.3">
      <c r="A1760" t="str">
        <f>"05211697"</f>
        <v>05211697</v>
      </c>
      <c r="B1760" t="s">
        <v>3747</v>
      </c>
      <c r="C1760" t="str">
        <f>"706"</f>
        <v>706</v>
      </c>
      <c r="D1760" t="s">
        <v>28</v>
      </c>
      <c r="E1760" t="s">
        <v>23</v>
      </c>
      <c r="F1760" t="s">
        <v>1880</v>
      </c>
      <c r="G1760" t="s">
        <v>3748</v>
      </c>
      <c r="H1760" t="str">
        <f>"9499"</f>
        <v>9499</v>
      </c>
      <c r="I1760" t="s">
        <v>31</v>
      </c>
    </row>
    <row r="1761" spans="1:9" x14ac:dyDescent="0.3">
      <c r="A1761" t="str">
        <f>"70800201"</f>
        <v>70800201</v>
      </c>
      <c r="B1761" t="s">
        <v>3749</v>
      </c>
      <c r="C1761" t="str">
        <f>"706"</f>
        <v>706</v>
      </c>
      <c r="D1761" t="s">
        <v>28</v>
      </c>
      <c r="E1761" t="s">
        <v>23</v>
      </c>
      <c r="F1761" t="s">
        <v>23</v>
      </c>
      <c r="G1761" t="s">
        <v>3750</v>
      </c>
      <c r="H1761" t="str">
        <f>"9499"</f>
        <v>9499</v>
      </c>
      <c r="I1761" t="s">
        <v>31</v>
      </c>
    </row>
    <row r="1762" spans="1:9" x14ac:dyDescent="0.3">
      <c r="A1762" t="str">
        <f>"22869760"</f>
        <v>22869760</v>
      </c>
      <c r="B1762" t="s">
        <v>3751</v>
      </c>
      <c r="C1762" t="str">
        <f>"706"</f>
        <v>706</v>
      </c>
      <c r="D1762" t="s">
        <v>28</v>
      </c>
      <c r="E1762" t="s">
        <v>52</v>
      </c>
      <c r="F1762" t="s">
        <v>514</v>
      </c>
      <c r="G1762" t="s">
        <v>3752</v>
      </c>
      <c r="H1762" t="str">
        <f>"90030"</f>
        <v>90030</v>
      </c>
      <c r="I1762" t="s">
        <v>1252</v>
      </c>
    </row>
    <row r="1763" spans="1:9" x14ac:dyDescent="0.3">
      <c r="A1763" t="str">
        <f>"02573784"</f>
        <v>02573784</v>
      </c>
      <c r="B1763" t="s">
        <v>3753</v>
      </c>
      <c r="C1763" t="str">
        <f>"141"</f>
        <v>141</v>
      </c>
      <c r="D1763" t="s">
        <v>112</v>
      </c>
      <c r="E1763" t="s">
        <v>29</v>
      </c>
      <c r="F1763" t="s">
        <v>29</v>
      </c>
      <c r="G1763" t="s">
        <v>3754</v>
      </c>
      <c r="H1763" t="str">
        <f>"94999"</f>
        <v>94999</v>
      </c>
      <c r="I1763" t="s">
        <v>202</v>
      </c>
    </row>
    <row r="1764" spans="1:9" x14ac:dyDescent="0.3">
      <c r="A1764" t="str">
        <f>"03531406"</f>
        <v>03531406</v>
      </c>
      <c r="B1764" t="s">
        <v>3755</v>
      </c>
      <c r="C1764" t="str">
        <f>"706"</f>
        <v>706</v>
      </c>
      <c r="D1764" t="s">
        <v>28</v>
      </c>
      <c r="E1764" t="s">
        <v>23</v>
      </c>
      <c r="F1764" t="s">
        <v>24</v>
      </c>
      <c r="G1764" t="s">
        <v>3756</v>
      </c>
      <c r="H1764" t="str">
        <f>"9499"</f>
        <v>9499</v>
      </c>
      <c r="I1764" t="s">
        <v>31</v>
      </c>
    </row>
    <row r="1765" spans="1:9" x14ac:dyDescent="0.3">
      <c r="A1765" t="str">
        <f>"44004290"</f>
        <v>44004290</v>
      </c>
      <c r="B1765" t="s">
        <v>3757</v>
      </c>
      <c r="C1765" t="str">
        <f>"736"</f>
        <v>736</v>
      </c>
      <c r="D1765" t="s">
        <v>22</v>
      </c>
      <c r="E1765" t="s">
        <v>23</v>
      </c>
      <c r="F1765" t="s">
        <v>23</v>
      </c>
      <c r="G1765" t="s">
        <v>3758</v>
      </c>
      <c r="H1765" t="str">
        <f>"9499"</f>
        <v>9499</v>
      </c>
      <c r="I1765" t="s">
        <v>31</v>
      </c>
    </row>
    <row r="1766" spans="1:9" x14ac:dyDescent="0.3">
      <c r="A1766" t="str">
        <f>"22894519"</f>
        <v>22894519</v>
      </c>
      <c r="B1766" t="s">
        <v>3759</v>
      </c>
      <c r="C1766" t="str">
        <f t="shared" ref="C1766:C1775" si="122">"706"</f>
        <v>706</v>
      </c>
      <c r="D1766" t="s">
        <v>28</v>
      </c>
      <c r="E1766" t="s">
        <v>29</v>
      </c>
      <c r="F1766" t="s">
        <v>38</v>
      </c>
      <c r="G1766" t="s">
        <v>3760</v>
      </c>
      <c r="H1766" t="str">
        <f>"9499"</f>
        <v>9499</v>
      </c>
      <c r="I1766" t="s">
        <v>31</v>
      </c>
    </row>
    <row r="1767" spans="1:9" x14ac:dyDescent="0.3">
      <c r="A1767" t="str">
        <f>"06486029"</f>
        <v>06486029</v>
      </c>
      <c r="B1767" t="s">
        <v>3761</v>
      </c>
      <c r="C1767" t="str">
        <f t="shared" si="122"/>
        <v>706</v>
      </c>
      <c r="D1767" t="s">
        <v>28</v>
      </c>
      <c r="E1767" t="s">
        <v>83</v>
      </c>
      <c r="F1767" t="s">
        <v>175</v>
      </c>
      <c r="G1767" t="s">
        <v>3762</v>
      </c>
      <c r="H1767" t="str">
        <f>"9499"</f>
        <v>9499</v>
      </c>
      <c r="I1767" t="s">
        <v>31</v>
      </c>
    </row>
    <row r="1768" spans="1:9" x14ac:dyDescent="0.3">
      <c r="A1768" t="str">
        <f>"01228081"</f>
        <v>01228081</v>
      </c>
      <c r="B1768" t="s">
        <v>3763</v>
      </c>
      <c r="C1768" t="str">
        <f t="shared" si="122"/>
        <v>706</v>
      </c>
      <c r="D1768" t="s">
        <v>28</v>
      </c>
      <c r="E1768" t="s">
        <v>23</v>
      </c>
      <c r="F1768" t="s">
        <v>23</v>
      </c>
      <c r="G1768" t="s">
        <v>3764</v>
      </c>
      <c r="H1768" t="str">
        <f>"93190"</f>
        <v>93190</v>
      </c>
      <c r="I1768" t="s">
        <v>59</v>
      </c>
    </row>
    <row r="1769" spans="1:9" x14ac:dyDescent="0.3">
      <c r="A1769" t="str">
        <f>"04284771"</f>
        <v>04284771</v>
      </c>
      <c r="B1769" t="s">
        <v>3765</v>
      </c>
      <c r="C1769" t="str">
        <f t="shared" si="122"/>
        <v>706</v>
      </c>
      <c r="D1769" t="s">
        <v>28</v>
      </c>
      <c r="E1769" t="s">
        <v>83</v>
      </c>
      <c r="F1769" t="s">
        <v>183</v>
      </c>
      <c r="G1769" t="s">
        <v>3766</v>
      </c>
      <c r="H1769" t="str">
        <f>"93190"</f>
        <v>93190</v>
      </c>
      <c r="I1769" t="s">
        <v>59</v>
      </c>
    </row>
    <row r="1770" spans="1:9" x14ac:dyDescent="0.3">
      <c r="A1770" t="str">
        <f>"04206347"</f>
        <v>04206347</v>
      </c>
      <c r="B1770" t="s">
        <v>3767</v>
      </c>
      <c r="C1770" t="str">
        <f t="shared" si="122"/>
        <v>706</v>
      </c>
      <c r="D1770" t="s">
        <v>28</v>
      </c>
      <c r="E1770" t="s">
        <v>83</v>
      </c>
      <c r="F1770" t="s">
        <v>83</v>
      </c>
      <c r="G1770" t="s">
        <v>3768</v>
      </c>
      <c r="H1770" t="str">
        <f>"93190"</f>
        <v>93190</v>
      </c>
      <c r="I1770" t="s">
        <v>59</v>
      </c>
    </row>
    <row r="1771" spans="1:9" x14ac:dyDescent="0.3">
      <c r="A1771" t="str">
        <f>"08931437"</f>
        <v>08931437</v>
      </c>
      <c r="B1771" t="s">
        <v>3769</v>
      </c>
      <c r="C1771" t="str">
        <f t="shared" si="122"/>
        <v>706</v>
      </c>
      <c r="D1771" t="s">
        <v>28</v>
      </c>
      <c r="E1771" t="s">
        <v>23</v>
      </c>
      <c r="F1771" t="s">
        <v>23</v>
      </c>
      <c r="G1771" t="s">
        <v>3770</v>
      </c>
      <c r="H1771" t="str">
        <f>"9499"</f>
        <v>9499</v>
      </c>
      <c r="I1771" t="s">
        <v>31</v>
      </c>
    </row>
    <row r="1772" spans="1:9" x14ac:dyDescent="0.3">
      <c r="A1772" t="str">
        <f>"09407006"</f>
        <v>09407006</v>
      </c>
      <c r="B1772" t="s">
        <v>3771</v>
      </c>
      <c r="C1772" t="str">
        <f t="shared" si="122"/>
        <v>706</v>
      </c>
      <c r="D1772" t="s">
        <v>28</v>
      </c>
      <c r="E1772" t="s">
        <v>29</v>
      </c>
      <c r="F1772" t="s">
        <v>38</v>
      </c>
      <c r="G1772" t="s">
        <v>3772</v>
      </c>
      <c r="H1772" t="str">
        <f>"9499"</f>
        <v>9499</v>
      </c>
      <c r="I1772" t="s">
        <v>31</v>
      </c>
    </row>
    <row r="1773" spans="1:9" x14ac:dyDescent="0.3">
      <c r="A1773" t="str">
        <f>"22823549"</f>
        <v>22823549</v>
      </c>
      <c r="B1773" t="s">
        <v>3773</v>
      </c>
      <c r="C1773" t="str">
        <f t="shared" si="122"/>
        <v>706</v>
      </c>
      <c r="D1773" t="s">
        <v>28</v>
      </c>
      <c r="E1773" t="s">
        <v>29</v>
      </c>
      <c r="F1773" t="s">
        <v>195</v>
      </c>
      <c r="G1773" t="s">
        <v>3774</v>
      </c>
      <c r="H1773" t="str">
        <f>"93110"</f>
        <v>93110</v>
      </c>
      <c r="I1773" t="s">
        <v>92</v>
      </c>
    </row>
    <row r="1774" spans="1:9" x14ac:dyDescent="0.3">
      <c r="A1774" t="str">
        <f>"14130653"</f>
        <v>14130653</v>
      </c>
      <c r="B1774" t="s">
        <v>3775</v>
      </c>
      <c r="C1774" t="str">
        <f t="shared" si="122"/>
        <v>706</v>
      </c>
      <c r="D1774" t="s">
        <v>28</v>
      </c>
      <c r="E1774" t="s">
        <v>23</v>
      </c>
      <c r="F1774" t="s">
        <v>23</v>
      </c>
      <c r="G1774" t="s">
        <v>3776</v>
      </c>
      <c r="H1774" t="str">
        <f>"93190"</f>
        <v>93190</v>
      </c>
      <c r="I1774" t="s">
        <v>59</v>
      </c>
    </row>
    <row r="1775" spans="1:9" x14ac:dyDescent="0.3">
      <c r="A1775" t="str">
        <f>"22668969"</f>
        <v>22668969</v>
      </c>
      <c r="B1775" t="s">
        <v>3777</v>
      </c>
      <c r="C1775" t="str">
        <f t="shared" si="122"/>
        <v>706</v>
      </c>
      <c r="D1775" t="s">
        <v>28</v>
      </c>
      <c r="E1775" t="s">
        <v>83</v>
      </c>
      <c r="F1775" t="s">
        <v>1635</v>
      </c>
      <c r="G1775" t="s">
        <v>3778</v>
      </c>
      <c r="H1775" t="str">
        <f>"9499"</f>
        <v>9499</v>
      </c>
      <c r="I1775" t="s">
        <v>31</v>
      </c>
    </row>
    <row r="1776" spans="1:9" x14ac:dyDescent="0.3">
      <c r="A1776" t="str">
        <f>"60990198"</f>
        <v>60990198</v>
      </c>
      <c r="B1776" t="s">
        <v>3779</v>
      </c>
      <c r="C1776" t="str">
        <f>"722"</f>
        <v>722</v>
      </c>
      <c r="D1776" t="s">
        <v>315</v>
      </c>
      <c r="E1776" t="s">
        <v>23</v>
      </c>
      <c r="F1776" t="s">
        <v>23</v>
      </c>
      <c r="G1776" t="s">
        <v>3780</v>
      </c>
      <c r="H1776" t="str">
        <f>"94910"</f>
        <v>94910</v>
      </c>
      <c r="I1776" t="s">
        <v>316</v>
      </c>
    </row>
    <row r="1777" spans="1:11" x14ac:dyDescent="0.3">
      <c r="A1777" t="str">
        <f>"00481700"</f>
        <v>00481700</v>
      </c>
      <c r="B1777" t="s">
        <v>3781</v>
      </c>
      <c r="C1777" t="str">
        <f>"722"</f>
        <v>722</v>
      </c>
      <c r="D1777" t="s">
        <v>315</v>
      </c>
      <c r="E1777" t="s">
        <v>83</v>
      </c>
      <c r="F1777" t="s">
        <v>83</v>
      </c>
      <c r="G1777" t="s">
        <v>1478</v>
      </c>
      <c r="H1777" t="str">
        <f>"94910"</f>
        <v>94910</v>
      </c>
      <c r="I1777" t="s">
        <v>316</v>
      </c>
    </row>
    <row r="1778" spans="1:11" x14ac:dyDescent="0.3">
      <c r="A1778" t="str">
        <f>"00403407"</f>
        <v>00403407</v>
      </c>
      <c r="B1778" t="s">
        <v>3782</v>
      </c>
      <c r="C1778" t="str">
        <f>"722"</f>
        <v>722</v>
      </c>
      <c r="D1778" t="s">
        <v>315</v>
      </c>
      <c r="E1778" t="s">
        <v>52</v>
      </c>
      <c r="F1778" t="s">
        <v>113</v>
      </c>
      <c r="G1778" t="s">
        <v>3783</v>
      </c>
      <c r="H1778" t="str">
        <f>"94910"</f>
        <v>94910</v>
      </c>
      <c r="I1778" t="s">
        <v>316</v>
      </c>
    </row>
    <row r="1779" spans="1:11" x14ac:dyDescent="0.3">
      <c r="A1779" t="str">
        <f>"26660920"</f>
        <v>26660920</v>
      </c>
      <c r="B1779" t="s">
        <v>3784</v>
      </c>
      <c r="C1779" t="str">
        <f t="shared" ref="C1779:C1787" si="123">"706"</f>
        <v>706</v>
      </c>
      <c r="D1779" t="s">
        <v>28</v>
      </c>
      <c r="E1779" t="s">
        <v>29</v>
      </c>
      <c r="F1779" t="s">
        <v>2177</v>
      </c>
      <c r="G1779" t="s">
        <v>2178</v>
      </c>
      <c r="H1779" t="str">
        <f>"9499"</f>
        <v>9499</v>
      </c>
      <c r="I1779" t="s">
        <v>31</v>
      </c>
    </row>
    <row r="1780" spans="1:11" x14ac:dyDescent="0.3">
      <c r="A1780" t="str">
        <f>"03543251"</f>
        <v>03543251</v>
      </c>
      <c r="B1780" t="s">
        <v>3785</v>
      </c>
      <c r="C1780" t="str">
        <f t="shared" si="123"/>
        <v>706</v>
      </c>
      <c r="D1780" t="s">
        <v>28</v>
      </c>
      <c r="E1780" t="s">
        <v>29</v>
      </c>
      <c r="F1780" t="s">
        <v>195</v>
      </c>
      <c r="G1780" t="s">
        <v>3786</v>
      </c>
      <c r="H1780" t="str">
        <f>"94995"</f>
        <v>94995</v>
      </c>
      <c r="I1780" t="s">
        <v>232</v>
      </c>
    </row>
    <row r="1781" spans="1:11" x14ac:dyDescent="0.3">
      <c r="A1781" t="str">
        <f>"08016593"</f>
        <v>08016593</v>
      </c>
      <c r="B1781" t="s">
        <v>3787</v>
      </c>
      <c r="C1781" t="str">
        <f t="shared" si="123"/>
        <v>706</v>
      </c>
      <c r="D1781" t="s">
        <v>28</v>
      </c>
      <c r="E1781" t="s">
        <v>23</v>
      </c>
      <c r="F1781" t="s">
        <v>1492</v>
      </c>
      <c r="G1781" t="s">
        <v>3788</v>
      </c>
      <c r="H1781" t="str">
        <f>"9499"</f>
        <v>9499</v>
      </c>
      <c r="I1781" t="s">
        <v>31</v>
      </c>
    </row>
    <row r="1782" spans="1:11" x14ac:dyDescent="0.3">
      <c r="A1782" t="str">
        <f>"09756264"</f>
        <v>09756264</v>
      </c>
      <c r="B1782" t="s">
        <v>3789</v>
      </c>
      <c r="C1782" t="str">
        <f t="shared" si="123"/>
        <v>706</v>
      </c>
      <c r="D1782" t="s">
        <v>28</v>
      </c>
      <c r="E1782" t="s">
        <v>23</v>
      </c>
      <c r="F1782" t="s">
        <v>107</v>
      </c>
      <c r="G1782" t="s">
        <v>3790</v>
      </c>
      <c r="H1782" t="str">
        <f>"9499"</f>
        <v>9499</v>
      </c>
      <c r="I1782" t="s">
        <v>31</v>
      </c>
    </row>
    <row r="1783" spans="1:11" x14ac:dyDescent="0.3">
      <c r="A1783" t="str">
        <f>"02765241"</f>
        <v>02765241</v>
      </c>
      <c r="B1783" t="s">
        <v>3791</v>
      </c>
      <c r="C1783" t="str">
        <f t="shared" si="123"/>
        <v>706</v>
      </c>
      <c r="D1783" t="s">
        <v>28</v>
      </c>
      <c r="E1783" t="s">
        <v>23</v>
      </c>
      <c r="F1783" t="s">
        <v>107</v>
      </c>
      <c r="G1783" t="s">
        <v>3792</v>
      </c>
      <c r="H1783" t="str">
        <f>"9499"</f>
        <v>9499</v>
      </c>
      <c r="I1783" t="s">
        <v>31</v>
      </c>
    </row>
    <row r="1784" spans="1:11" x14ac:dyDescent="0.3">
      <c r="A1784" t="str">
        <f>"27045595"</f>
        <v>27045595</v>
      </c>
      <c r="B1784" t="s">
        <v>3793</v>
      </c>
      <c r="C1784" t="str">
        <f t="shared" si="123"/>
        <v>706</v>
      </c>
      <c r="D1784" t="s">
        <v>28</v>
      </c>
      <c r="E1784" t="s">
        <v>23</v>
      </c>
      <c r="F1784" t="s">
        <v>107</v>
      </c>
      <c r="G1784" t="s">
        <v>3794</v>
      </c>
      <c r="H1784" t="str">
        <f>"93110"</f>
        <v>93110</v>
      </c>
      <c r="I1784" t="s">
        <v>92</v>
      </c>
    </row>
    <row r="1785" spans="1:11" x14ac:dyDescent="0.3">
      <c r="A1785" t="str">
        <f>"46308709"</f>
        <v>46308709</v>
      </c>
      <c r="B1785" t="s">
        <v>3795</v>
      </c>
      <c r="C1785" t="str">
        <f t="shared" si="123"/>
        <v>706</v>
      </c>
      <c r="D1785" t="s">
        <v>28</v>
      </c>
      <c r="E1785" t="s">
        <v>23</v>
      </c>
      <c r="F1785" t="s">
        <v>23</v>
      </c>
      <c r="G1785" t="s">
        <v>3796</v>
      </c>
      <c r="H1785" t="str">
        <f>"9499"</f>
        <v>9499</v>
      </c>
      <c r="I1785" t="s">
        <v>31</v>
      </c>
    </row>
    <row r="1786" spans="1:11" x14ac:dyDescent="0.3">
      <c r="A1786" t="str">
        <f>"61704571"</f>
        <v>61704571</v>
      </c>
      <c r="B1786" t="s">
        <v>3797</v>
      </c>
      <c r="C1786" t="str">
        <f t="shared" si="123"/>
        <v>706</v>
      </c>
      <c r="D1786" t="s">
        <v>28</v>
      </c>
      <c r="E1786" t="s">
        <v>52</v>
      </c>
      <c r="F1786" t="s">
        <v>52</v>
      </c>
      <c r="G1786" t="s">
        <v>3798</v>
      </c>
      <c r="H1786" t="str">
        <f>"9499"</f>
        <v>9499</v>
      </c>
      <c r="I1786" t="s">
        <v>31</v>
      </c>
    </row>
    <row r="1787" spans="1:11" x14ac:dyDescent="0.3">
      <c r="A1787" t="str">
        <f>"22848398"</f>
        <v>22848398</v>
      </c>
      <c r="B1787" t="s">
        <v>3799</v>
      </c>
      <c r="C1787" t="str">
        <f t="shared" si="123"/>
        <v>706</v>
      </c>
      <c r="D1787" t="s">
        <v>28</v>
      </c>
      <c r="E1787" t="s">
        <v>83</v>
      </c>
      <c r="F1787" t="s">
        <v>83</v>
      </c>
      <c r="G1787" t="s">
        <v>3800</v>
      </c>
      <c r="H1787" t="str">
        <f>"9499"</f>
        <v>9499</v>
      </c>
      <c r="I1787" t="s">
        <v>31</v>
      </c>
    </row>
    <row r="1788" spans="1:11" x14ac:dyDescent="0.3">
      <c r="A1788" t="str">
        <f>"06718795"</f>
        <v>06718795</v>
      </c>
      <c r="B1788" t="s">
        <v>3801</v>
      </c>
      <c r="C1788" t="str">
        <f t="shared" ref="C1788:C1793" si="124">"736"</f>
        <v>736</v>
      </c>
      <c r="D1788" t="s">
        <v>22</v>
      </c>
      <c r="E1788" t="s">
        <v>23</v>
      </c>
      <c r="F1788" t="s">
        <v>23</v>
      </c>
      <c r="G1788" t="s">
        <v>3802</v>
      </c>
      <c r="H1788" t="str">
        <f>"94996"</f>
        <v>94996</v>
      </c>
      <c r="I1788" t="s">
        <v>47</v>
      </c>
    </row>
    <row r="1789" spans="1:11" x14ac:dyDescent="0.3">
      <c r="A1789" t="str">
        <f>"63414708"</f>
        <v>63414708</v>
      </c>
      <c r="B1789" t="s">
        <v>3803</v>
      </c>
      <c r="C1789" t="str">
        <f t="shared" si="124"/>
        <v>736</v>
      </c>
      <c r="D1789" t="s">
        <v>22</v>
      </c>
      <c r="E1789" t="s">
        <v>83</v>
      </c>
      <c r="F1789" t="s">
        <v>175</v>
      </c>
      <c r="G1789" t="s">
        <v>3804</v>
      </c>
      <c r="H1789" t="str">
        <f>"93110"</f>
        <v>93110</v>
      </c>
      <c r="I1789" t="s">
        <v>92</v>
      </c>
      <c r="J1789" t="s">
        <v>2536</v>
      </c>
      <c r="K1789" t="s">
        <v>161</v>
      </c>
    </row>
    <row r="1790" spans="1:11" x14ac:dyDescent="0.3">
      <c r="A1790" t="str">
        <f>"65792114"</f>
        <v>65792114</v>
      </c>
      <c r="B1790" t="s">
        <v>3805</v>
      </c>
      <c r="C1790" t="str">
        <f t="shared" si="124"/>
        <v>736</v>
      </c>
      <c r="D1790" t="s">
        <v>22</v>
      </c>
      <c r="E1790" t="s">
        <v>23</v>
      </c>
      <c r="F1790" t="s">
        <v>1418</v>
      </c>
      <c r="G1790" t="s">
        <v>3806</v>
      </c>
      <c r="H1790" t="str">
        <f>"93110"</f>
        <v>93110</v>
      </c>
      <c r="I1790" t="s">
        <v>92</v>
      </c>
    </row>
    <row r="1791" spans="1:11" x14ac:dyDescent="0.3">
      <c r="A1791" t="str">
        <f>"05278538"</f>
        <v>05278538</v>
      </c>
      <c r="B1791" t="s">
        <v>3807</v>
      </c>
      <c r="C1791" t="str">
        <f t="shared" si="124"/>
        <v>736</v>
      </c>
      <c r="D1791" t="s">
        <v>22</v>
      </c>
      <c r="E1791" t="s">
        <v>52</v>
      </c>
      <c r="F1791" t="s">
        <v>52</v>
      </c>
      <c r="G1791" t="s">
        <v>525</v>
      </c>
      <c r="H1791" t="str">
        <f>"9312"</f>
        <v>9312</v>
      </c>
      <c r="I1791" t="s">
        <v>54</v>
      </c>
    </row>
    <row r="1792" spans="1:11" x14ac:dyDescent="0.3">
      <c r="A1792" t="str">
        <f>"63025736"</f>
        <v>63025736</v>
      </c>
      <c r="B1792" t="s">
        <v>3808</v>
      </c>
      <c r="C1792" t="str">
        <f t="shared" si="124"/>
        <v>736</v>
      </c>
      <c r="D1792" t="s">
        <v>22</v>
      </c>
      <c r="E1792" t="s">
        <v>29</v>
      </c>
      <c r="F1792" t="s">
        <v>38</v>
      </c>
      <c r="G1792" t="s">
        <v>3809</v>
      </c>
      <c r="H1792" t="str">
        <f>"93110"</f>
        <v>93110</v>
      </c>
      <c r="I1792" t="s">
        <v>92</v>
      </c>
    </row>
    <row r="1793" spans="1:10" x14ac:dyDescent="0.3">
      <c r="A1793" t="str">
        <f>"62334476"</f>
        <v>62334476</v>
      </c>
      <c r="B1793" t="s">
        <v>3810</v>
      </c>
      <c r="C1793" t="str">
        <f t="shared" si="124"/>
        <v>736</v>
      </c>
      <c r="D1793" t="s">
        <v>22</v>
      </c>
      <c r="E1793" t="s">
        <v>29</v>
      </c>
      <c r="F1793" t="s">
        <v>29</v>
      </c>
      <c r="G1793" t="s">
        <v>3811</v>
      </c>
      <c r="H1793" t="str">
        <f>"931"</f>
        <v>931</v>
      </c>
      <c r="I1793" t="s">
        <v>26</v>
      </c>
    </row>
    <row r="1794" spans="1:10" x14ac:dyDescent="0.3">
      <c r="A1794" t="str">
        <f>"08977186"</f>
        <v>08977186</v>
      </c>
      <c r="B1794" t="s">
        <v>3812</v>
      </c>
      <c r="C1794" t="str">
        <f>"706"</f>
        <v>706</v>
      </c>
      <c r="D1794" t="s">
        <v>28</v>
      </c>
      <c r="E1794" t="s">
        <v>29</v>
      </c>
      <c r="F1794" t="s">
        <v>29</v>
      </c>
      <c r="G1794" t="s">
        <v>3813</v>
      </c>
      <c r="H1794" t="str">
        <f>"93190"</f>
        <v>93190</v>
      </c>
      <c r="I1794" t="s">
        <v>59</v>
      </c>
    </row>
    <row r="1795" spans="1:10" x14ac:dyDescent="0.3">
      <c r="A1795" t="str">
        <f>"22873520"</f>
        <v>22873520</v>
      </c>
      <c r="B1795" t="s">
        <v>3814</v>
      </c>
      <c r="C1795" t="str">
        <f>"706"</f>
        <v>706</v>
      </c>
      <c r="D1795" t="s">
        <v>28</v>
      </c>
      <c r="E1795" t="s">
        <v>52</v>
      </c>
      <c r="F1795" t="s">
        <v>612</v>
      </c>
      <c r="G1795" t="s">
        <v>3815</v>
      </c>
      <c r="H1795" t="str">
        <f>"94995"</f>
        <v>94995</v>
      </c>
      <c r="I1795" t="s">
        <v>232</v>
      </c>
    </row>
    <row r="1796" spans="1:10" x14ac:dyDescent="0.3">
      <c r="A1796" t="str">
        <f>"04744497"</f>
        <v>04744497</v>
      </c>
      <c r="B1796" t="s">
        <v>3816</v>
      </c>
      <c r="C1796" t="str">
        <f>"706"</f>
        <v>706</v>
      </c>
      <c r="D1796" t="s">
        <v>28</v>
      </c>
      <c r="E1796" t="s">
        <v>23</v>
      </c>
      <c r="F1796" t="s">
        <v>23</v>
      </c>
      <c r="G1796" t="s">
        <v>3817</v>
      </c>
      <c r="H1796" t="str">
        <f>"94996"</f>
        <v>94996</v>
      </c>
      <c r="I1796" t="s">
        <v>47</v>
      </c>
    </row>
    <row r="1797" spans="1:10" x14ac:dyDescent="0.3">
      <c r="A1797" t="str">
        <f>"09046071"</f>
        <v>09046071</v>
      </c>
      <c r="B1797" t="s">
        <v>3818</v>
      </c>
      <c r="C1797" t="str">
        <f>"706"</f>
        <v>706</v>
      </c>
      <c r="D1797" t="s">
        <v>28</v>
      </c>
      <c r="E1797" t="s">
        <v>23</v>
      </c>
      <c r="F1797" t="s">
        <v>282</v>
      </c>
      <c r="G1797" t="s">
        <v>3819</v>
      </c>
      <c r="H1797" t="str">
        <f>"94993"</f>
        <v>94993</v>
      </c>
      <c r="I1797" t="s">
        <v>50</v>
      </c>
    </row>
    <row r="1798" spans="1:10" x14ac:dyDescent="0.3">
      <c r="A1798" t="str">
        <f>"04710193"</f>
        <v>04710193</v>
      </c>
      <c r="B1798" t="s">
        <v>3820</v>
      </c>
      <c r="C1798" t="str">
        <f>"706"</f>
        <v>706</v>
      </c>
      <c r="D1798" t="s">
        <v>28</v>
      </c>
      <c r="E1798" t="s">
        <v>29</v>
      </c>
      <c r="F1798" t="s">
        <v>1004</v>
      </c>
      <c r="G1798" t="s">
        <v>3821</v>
      </c>
      <c r="H1798" t="str">
        <f>"94993"</f>
        <v>94993</v>
      </c>
      <c r="I1798" t="s">
        <v>50</v>
      </c>
    </row>
    <row r="1799" spans="1:10" x14ac:dyDescent="0.3">
      <c r="A1799" t="str">
        <f>"18190031"</f>
        <v>18190031</v>
      </c>
      <c r="B1799" t="s">
        <v>3822</v>
      </c>
      <c r="C1799" t="str">
        <f t="shared" ref="C1799:C1806" si="125">"736"</f>
        <v>736</v>
      </c>
      <c r="D1799" t="s">
        <v>22</v>
      </c>
      <c r="E1799" t="s">
        <v>83</v>
      </c>
      <c r="F1799" t="s">
        <v>473</v>
      </c>
      <c r="G1799" t="s">
        <v>3823</v>
      </c>
      <c r="H1799" t="str">
        <f>"94993"</f>
        <v>94993</v>
      </c>
      <c r="I1799" t="s">
        <v>50</v>
      </c>
    </row>
    <row r="1800" spans="1:10" x14ac:dyDescent="0.3">
      <c r="A1800" t="str">
        <f>"49563203"</f>
        <v>49563203</v>
      </c>
      <c r="B1800" t="s">
        <v>3824</v>
      </c>
      <c r="C1800" t="str">
        <f t="shared" si="125"/>
        <v>736</v>
      </c>
      <c r="D1800" t="s">
        <v>22</v>
      </c>
      <c r="E1800" t="s">
        <v>29</v>
      </c>
      <c r="F1800" t="s">
        <v>1810</v>
      </c>
      <c r="G1800" t="s">
        <v>3825</v>
      </c>
      <c r="H1800" t="str">
        <f>"9499"</f>
        <v>9499</v>
      </c>
      <c r="I1800" t="s">
        <v>31</v>
      </c>
      <c r="J1800" t="s">
        <v>54</v>
      </c>
    </row>
    <row r="1801" spans="1:10" x14ac:dyDescent="0.3">
      <c r="A1801" t="str">
        <f>"72077425"</f>
        <v>72077425</v>
      </c>
      <c r="B1801" t="s">
        <v>3826</v>
      </c>
      <c r="C1801" t="str">
        <f t="shared" si="125"/>
        <v>736</v>
      </c>
      <c r="D1801" t="s">
        <v>22</v>
      </c>
      <c r="E1801" t="s">
        <v>83</v>
      </c>
      <c r="F1801" t="s">
        <v>183</v>
      </c>
      <c r="G1801" t="s">
        <v>3827</v>
      </c>
      <c r="H1801" t="str">
        <f>"94993"</f>
        <v>94993</v>
      </c>
      <c r="I1801" t="s">
        <v>50</v>
      </c>
    </row>
    <row r="1802" spans="1:10" x14ac:dyDescent="0.3">
      <c r="A1802" t="str">
        <f>"18189491"</f>
        <v>18189491</v>
      </c>
      <c r="B1802" t="s">
        <v>3828</v>
      </c>
      <c r="C1802" t="str">
        <f t="shared" si="125"/>
        <v>736</v>
      </c>
      <c r="D1802" t="s">
        <v>22</v>
      </c>
      <c r="E1802" t="s">
        <v>83</v>
      </c>
      <c r="F1802" t="s">
        <v>83</v>
      </c>
      <c r="G1802" t="s">
        <v>3829</v>
      </c>
      <c r="H1802" t="str">
        <f>"94993"</f>
        <v>94993</v>
      </c>
      <c r="I1802" t="s">
        <v>50</v>
      </c>
    </row>
    <row r="1803" spans="1:10" x14ac:dyDescent="0.3">
      <c r="A1803" t="str">
        <f>"72070498"</f>
        <v>72070498</v>
      </c>
      <c r="B1803" t="s">
        <v>3830</v>
      </c>
      <c r="C1803" t="str">
        <f t="shared" si="125"/>
        <v>736</v>
      </c>
      <c r="D1803" t="s">
        <v>22</v>
      </c>
      <c r="E1803" t="s">
        <v>83</v>
      </c>
      <c r="F1803" t="s">
        <v>83</v>
      </c>
      <c r="G1803" t="s">
        <v>3831</v>
      </c>
      <c r="H1803" t="str">
        <f>"9499"</f>
        <v>9499</v>
      </c>
      <c r="I1803" t="s">
        <v>31</v>
      </c>
    </row>
    <row r="1804" spans="1:10" x14ac:dyDescent="0.3">
      <c r="A1804" t="str">
        <f>"61703532"</f>
        <v>61703532</v>
      </c>
      <c r="B1804" t="s">
        <v>3832</v>
      </c>
      <c r="C1804" t="str">
        <f t="shared" si="125"/>
        <v>736</v>
      </c>
      <c r="D1804" t="s">
        <v>22</v>
      </c>
      <c r="E1804" t="s">
        <v>52</v>
      </c>
      <c r="F1804" t="s">
        <v>3833</v>
      </c>
      <c r="G1804" t="s">
        <v>3834</v>
      </c>
      <c r="H1804" t="str">
        <f>"9499"</f>
        <v>9499</v>
      </c>
      <c r="I1804" t="s">
        <v>31</v>
      </c>
    </row>
    <row r="1805" spans="1:10" x14ac:dyDescent="0.3">
      <c r="A1805" t="str">
        <f>"49157442"</f>
        <v>49157442</v>
      </c>
      <c r="B1805" t="s">
        <v>3835</v>
      </c>
      <c r="C1805" t="str">
        <f t="shared" si="125"/>
        <v>736</v>
      </c>
      <c r="D1805" t="s">
        <v>22</v>
      </c>
      <c r="E1805" t="s">
        <v>23</v>
      </c>
      <c r="F1805" t="s">
        <v>23</v>
      </c>
      <c r="G1805" t="s">
        <v>204</v>
      </c>
      <c r="H1805" t="str">
        <f>"9499"</f>
        <v>9499</v>
      </c>
      <c r="I1805" t="s">
        <v>31</v>
      </c>
    </row>
    <row r="1806" spans="1:10" x14ac:dyDescent="0.3">
      <c r="A1806" t="str">
        <f>"61703753"</f>
        <v>61703753</v>
      </c>
      <c r="B1806" t="s">
        <v>3836</v>
      </c>
      <c r="C1806" t="str">
        <f t="shared" si="125"/>
        <v>736</v>
      </c>
      <c r="D1806" t="s">
        <v>22</v>
      </c>
      <c r="E1806" t="s">
        <v>52</v>
      </c>
      <c r="F1806" t="s">
        <v>178</v>
      </c>
      <c r="G1806" t="s">
        <v>3837</v>
      </c>
      <c r="H1806" t="str">
        <f>"9499"</f>
        <v>9499</v>
      </c>
      <c r="I1806" t="s">
        <v>31</v>
      </c>
    </row>
    <row r="1807" spans="1:10" x14ac:dyDescent="0.3">
      <c r="A1807" t="str">
        <f>"02344696"</f>
        <v>02344696</v>
      </c>
      <c r="B1807" t="s">
        <v>3838</v>
      </c>
      <c r="C1807" t="str">
        <f t="shared" ref="C1807:C1823" si="126">"706"</f>
        <v>706</v>
      </c>
      <c r="D1807" t="s">
        <v>28</v>
      </c>
      <c r="E1807" t="s">
        <v>52</v>
      </c>
      <c r="F1807" t="s">
        <v>52</v>
      </c>
      <c r="G1807" t="s">
        <v>52</v>
      </c>
      <c r="H1807" t="str">
        <f>"94993"</f>
        <v>94993</v>
      </c>
      <c r="I1807" t="s">
        <v>50</v>
      </c>
    </row>
    <row r="1808" spans="1:10" x14ac:dyDescent="0.3">
      <c r="A1808" t="str">
        <f>"65270029"</f>
        <v>65270029</v>
      </c>
      <c r="B1808" t="s">
        <v>3839</v>
      </c>
      <c r="C1808" t="str">
        <f t="shared" si="126"/>
        <v>706</v>
      </c>
      <c r="D1808" t="s">
        <v>28</v>
      </c>
      <c r="E1808" t="s">
        <v>83</v>
      </c>
      <c r="F1808" t="s">
        <v>83</v>
      </c>
      <c r="G1808" t="s">
        <v>3840</v>
      </c>
      <c r="H1808" t="str">
        <f t="shared" ref="H1808:H1817" si="127">"9499"</f>
        <v>9499</v>
      </c>
      <c r="I1808" t="s">
        <v>31</v>
      </c>
    </row>
    <row r="1809" spans="1:9" x14ac:dyDescent="0.3">
      <c r="A1809" t="str">
        <f>"02233029"</f>
        <v>02233029</v>
      </c>
      <c r="B1809" t="s">
        <v>3841</v>
      </c>
      <c r="C1809" t="str">
        <f t="shared" si="126"/>
        <v>706</v>
      </c>
      <c r="D1809" t="s">
        <v>28</v>
      </c>
      <c r="E1809" t="s">
        <v>52</v>
      </c>
      <c r="F1809" t="s">
        <v>334</v>
      </c>
      <c r="G1809" t="s">
        <v>3842</v>
      </c>
      <c r="H1809" t="str">
        <f t="shared" si="127"/>
        <v>9499</v>
      </c>
      <c r="I1809" t="s">
        <v>31</v>
      </c>
    </row>
    <row r="1810" spans="1:9" x14ac:dyDescent="0.3">
      <c r="A1810" t="str">
        <f>"67361072"</f>
        <v>67361072</v>
      </c>
      <c r="B1810" t="s">
        <v>3843</v>
      </c>
      <c r="C1810" t="str">
        <f t="shared" si="126"/>
        <v>706</v>
      </c>
      <c r="D1810" t="s">
        <v>28</v>
      </c>
      <c r="E1810" t="s">
        <v>23</v>
      </c>
      <c r="F1810" t="s">
        <v>1657</v>
      </c>
      <c r="G1810" t="s">
        <v>3844</v>
      </c>
      <c r="H1810" t="str">
        <f t="shared" si="127"/>
        <v>9499</v>
      </c>
      <c r="I1810" t="s">
        <v>31</v>
      </c>
    </row>
    <row r="1811" spans="1:9" x14ac:dyDescent="0.3">
      <c r="A1811" t="str">
        <f>"06894089"</f>
        <v>06894089</v>
      </c>
      <c r="B1811" t="s">
        <v>3845</v>
      </c>
      <c r="C1811" t="str">
        <f t="shared" si="126"/>
        <v>706</v>
      </c>
      <c r="D1811" t="s">
        <v>28</v>
      </c>
      <c r="E1811" t="s">
        <v>83</v>
      </c>
      <c r="F1811" t="s">
        <v>175</v>
      </c>
      <c r="G1811" t="s">
        <v>2764</v>
      </c>
      <c r="H1811" t="str">
        <f t="shared" si="127"/>
        <v>9499</v>
      </c>
      <c r="I1811" t="s">
        <v>31</v>
      </c>
    </row>
    <row r="1812" spans="1:9" x14ac:dyDescent="0.3">
      <c r="A1812" t="str">
        <f>"05046360"</f>
        <v>05046360</v>
      </c>
      <c r="B1812" t="s">
        <v>3846</v>
      </c>
      <c r="C1812" t="str">
        <f t="shared" si="126"/>
        <v>706</v>
      </c>
      <c r="D1812" t="s">
        <v>28</v>
      </c>
      <c r="E1812" t="s">
        <v>29</v>
      </c>
      <c r="F1812" t="s">
        <v>1654</v>
      </c>
      <c r="G1812" t="s">
        <v>1820</v>
      </c>
      <c r="H1812" t="str">
        <f t="shared" si="127"/>
        <v>9499</v>
      </c>
      <c r="I1812" t="s">
        <v>31</v>
      </c>
    </row>
    <row r="1813" spans="1:9" x14ac:dyDescent="0.3">
      <c r="A1813" t="str">
        <f>"68685220"</f>
        <v>68685220</v>
      </c>
      <c r="B1813" t="s">
        <v>3847</v>
      </c>
      <c r="C1813" t="str">
        <f t="shared" si="126"/>
        <v>706</v>
      </c>
      <c r="D1813" t="s">
        <v>28</v>
      </c>
      <c r="E1813" t="s">
        <v>52</v>
      </c>
      <c r="F1813" t="s">
        <v>52</v>
      </c>
      <c r="G1813" t="s">
        <v>3848</v>
      </c>
      <c r="H1813" t="str">
        <f t="shared" si="127"/>
        <v>9499</v>
      </c>
      <c r="I1813" t="s">
        <v>31</v>
      </c>
    </row>
    <row r="1814" spans="1:9" x14ac:dyDescent="0.3">
      <c r="A1814" t="str">
        <f>"02240424"</f>
        <v>02240424</v>
      </c>
      <c r="B1814" t="s">
        <v>3849</v>
      </c>
      <c r="C1814" t="str">
        <f t="shared" si="126"/>
        <v>706</v>
      </c>
      <c r="D1814" t="s">
        <v>28</v>
      </c>
      <c r="E1814" t="s">
        <v>29</v>
      </c>
      <c r="F1814" t="s">
        <v>852</v>
      </c>
      <c r="G1814" t="s">
        <v>852</v>
      </c>
      <c r="H1814" t="str">
        <f t="shared" si="127"/>
        <v>9499</v>
      </c>
      <c r="I1814" t="s">
        <v>31</v>
      </c>
    </row>
    <row r="1815" spans="1:9" x14ac:dyDescent="0.3">
      <c r="A1815" t="str">
        <f>"68731051"</f>
        <v>68731051</v>
      </c>
      <c r="B1815" t="s">
        <v>3850</v>
      </c>
      <c r="C1815" t="str">
        <f t="shared" si="126"/>
        <v>706</v>
      </c>
      <c r="D1815" t="s">
        <v>28</v>
      </c>
      <c r="E1815" t="s">
        <v>23</v>
      </c>
      <c r="F1815" t="s">
        <v>23</v>
      </c>
      <c r="G1815" t="s">
        <v>3851</v>
      </c>
      <c r="H1815" t="str">
        <f t="shared" si="127"/>
        <v>9499</v>
      </c>
      <c r="I1815" t="s">
        <v>31</v>
      </c>
    </row>
    <row r="1816" spans="1:9" x14ac:dyDescent="0.3">
      <c r="A1816" t="str">
        <f>"06722300"</f>
        <v>06722300</v>
      </c>
      <c r="B1816" t="s">
        <v>3852</v>
      </c>
      <c r="C1816" t="str">
        <f t="shared" si="126"/>
        <v>706</v>
      </c>
      <c r="D1816" t="s">
        <v>28</v>
      </c>
      <c r="E1816" t="s">
        <v>23</v>
      </c>
      <c r="F1816" t="s">
        <v>23</v>
      </c>
      <c r="G1816" t="s">
        <v>3853</v>
      </c>
      <c r="H1816" t="str">
        <f t="shared" si="127"/>
        <v>9499</v>
      </c>
      <c r="I1816" t="s">
        <v>31</v>
      </c>
    </row>
    <row r="1817" spans="1:9" x14ac:dyDescent="0.3">
      <c r="A1817" t="str">
        <f>"67009361"</f>
        <v>67009361</v>
      </c>
      <c r="B1817" t="s">
        <v>3854</v>
      </c>
      <c r="C1817" t="str">
        <f t="shared" si="126"/>
        <v>706</v>
      </c>
      <c r="D1817" t="s">
        <v>28</v>
      </c>
      <c r="E1817" t="s">
        <v>23</v>
      </c>
      <c r="F1817" t="s">
        <v>23</v>
      </c>
      <c r="G1817" t="s">
        <v>3855</v>
      </c>
      <c r="H1817" t="str">
        <f t="shared" si="127"/>
        <v>9499</v>
      </c>
      <c r="I1817" t="s">
        <v>31</v>
      </c>
    </row>
    <row r="1818" spans="1:9" x14ac:dyDescent="0.3">
      <c r="A1818" t="str">
        <f>"08498288"</f>
        <v>08498288</v>
      </c>
      <c r="B1818" t="s">
        <v>3856</v>
      </c>
      <c r="C1818" t="str">
        <f t="shared" si="126"/>
        <v>706</v>
      </c>
      <c r="D1818" t="s">
        <v>28</v>
      </c>
      <c r="E1818" t="s">
        <v>29</v>
      </c>
      <c r="F1818" t="s">
        <v>29</v>
      </c>
      <c r="G1818" t="s">
        <v>3029</v>
      </c>
      <c r="H1818" t="str">
        <f>"93190"</f>
        <v>93190</v>
      </c>
      <c r="I1818" t="s">
        <v>59</v>
      </c>
    </row>
    <row r="1819" spans="1:9" x14ac:dyDescent="0.3">
      <c r="A1819" t="str">
        <f>"04460162"</f>
        <v>04460162</v>
      </c>
      <c r="B1819" t="s">
        <v>3857</v>
      </c>
      <c r="C1819" t="str">
        <f t="shared" si="126"/>
        <v>706</v>
      </c>
      <c r="D1819" t="s">
        <v>28</v>
      </c>
      <c r="E1819" t="s">
        <v>29</v>
      </c>
      <c r="F1819" t="s">
        <v>852</v>
      </c>
      <c r="G1819" t="s">
        <v>3858</v>
      </c>
      <c r="H1819" t="str">
        <f>"93190"</f>
        <v>93190</v>
      </c>
      <c r="I1819" t="s">
        <v>59</v>
      </c>
    </row>
    <row r="1820" spans="1:9" x14ac:dyDescent="0.3">
      <c r="A1820" t="str">
        <f>"04102860"</f>
        <v>04102860</v>
      </c>
      <c r="B1820" t="s">
        <v>3859</v>
      </c>
      <c r="C1820" t="str">
        <f t="shared" si="126"/>
        <v>706</v>
      </c>
      <c r="D1820" t="s">
        <v>28</v>
      </c>
      <c r="E1820" t="s">
        <v>23</v>
      </c>
      <c r="F1820" t="s">
        <v>23</v>
      </c>
      <c r="G1820" t="s">
        <v>3860</v>
      </c>
      <c r="H1820" t="str">
        <f>"9499"</f>
        <v>9499</v>
      </c>
      <c r="I1820" t="s">
        <v>31</v>
      </c>
    </row>
    <row r="1821" spans="1:9" x14ac:dyDescent="0.3">
      <c r="A1821" t="str">
        <f>"70233381"</f>
        <v>70233381</v>
      </c>
      <c r="B1821" t="s">
        <v>3861</v>
      </c>
      <c r="C1821" t="str">
        <f t="shared" si="126"/>
        <v>706</v>
      </c>
      <c r="D1821" t="s">
        <v>28</v>
      </c>
      <c r="E1821" t="s">
        <v>29</v>
      </c>
      <c r="F1821" t="s">
        <v>390</v>
      </c>
      <c r="G1821" t="s">
        <v>3862</v>
      </c>
      <c r="H1821" t="str">
        <f>"93120"</f>
        <v>93120</v>
      </c>
      <c r="I1821" t="s">
        <v>54</v>
      </c>
    </row>
    <row r="1822" spans="1:9" x14ac:dyDescent="0.3">
      <c r="A1822" t="str">
        <f>"65823494"</f>
        <v>65823494</v>
      </c>
      <c r="B1822" t="s">
        <v>3863</v>
      </c>
      <c r="C1822" t="str">
        <f t="shared" si="126"/>
        <v>706</v>
      </c>
      <c r="D1822" t="s">
        <v>28</v>
      </c>
      <c r="E1822" t="s">
        <v>23</v>
      </c>
      <c r="F1822" t="s">
        <v>23</v>
      </c>
      <c r="G1822" t="s">
        <v>204</v>
      </c>
      <c r="H1822" t="str">
        <f>"9499"</f>
        <v>9499</v>
      </c>
      <c r="I1822" t="s">
        <v>31</v>
      </c>
    </row>
    <row r="1823" spans="1:9" x14ac:dyDescent="0.3">
      <c r="A1823" t="str">
        <f>"27010597"</f>
        <v>27010597</v>
      </c>
      <c r="B1823" t="s">
        <v>3864</v>
      </c>
      <c r="C1823" t="str">
        <f t="shared" si="126"/>
        <v>706</v>
      </c>
      <c r="D1823" t="s">
        <v>28</v>
      </c>
      <c r="E1823" t="s">
        <v>23</v>
      </c>
      <c r="F1823" t="s">
        <v>23</v>
      </c>
      <c r="G1823" t="s">
        <v>3865</v>
      </c>
      <c r="H1823" t="str">
        <f>"93110"</f>
        <v>93110</v>
      </c>
      <c r="I1823" t="s">
        <v>92</v>
      </c>
    </row>
    <row r="1824" spans="1:9" x14ac:dyDescent="0.3">
      <c r="A1824" t="str">
        <f>"64467279"</f>
        <v>64467279</v>
      </c>
      <c r="B1824" t="s">
        <v>3866</v>
      </c>
      <c r="C1824" t="str">
        <f>"736"</f>
        <v>736</v>
      </c>
      <c r="D1824" t="s">
        <v>22</v>
      </c>
      <c r="E1824" t="s">
        <v>23</v>
      </c>
      <c r="F1824" t="s">
        <v>23</v>
      </c>
      <c r="G1824" t="s">
        <v>3867</v>
      </c>
      <c r="H1824" t="str">
        <f>"93110"</f>
        <v>93110</v>
      </c>
      <c r="I1824" t="s">
        <v>92</v>
      </c>
    </row>
    <row r="1825" spans="1:19" x14ac:dyDescent="0.3">
      <c r="A1825" t="str">
        <f>"26995336"</f>
        <v>26995336</v>
      </c>
      <c r="B1825" t="s">
        <v>3868</v>
      </c>
      <c r="C1825" t="str">
        <f>"706"</f>
        <v>706</v>
      </c>
      <c r="D1825" t="s">
        <v>28</v>
      </c>
      <c r="E1825" t="s">
        <v>83</v>
      </c>
      <c r="F1825" t="s">
        <v>83</v>
      </c>
      <c r="G1825" t="s">
        <v>3869</v>
      </c>
      <c r="H1825" t="str">
        <f>"93110"</f>
        <v>93110</v>
      </c>
      <c r="I1825" t="s">
        <v>92</v>
      </c>
    </row>
    <row r="1826" spans="1:19" x14ac:dyDescent="0.3">
      <c r="A1826" t="str">
        <f>"26997959"</f>
        <v>26997959</v>
      </c>
      <c r="B1826" t="s">
        <v>3870</v>
      </c>
      <c r="C1826" t="str">
        <f>"706"</f>
        <v>706</v>
      </c>
      <c r="D1826" t="s">
        <v>28</v>
      </c>
      <c r="E1826" t="s">
        <v>29</v>
      </c>
      <c r="F1826" t="s">
        <v>195</v>
      </c>
      <c r="G1826" t="s">
        <v>3871</v>
      </c>
      <c r="H1826" t="str">
        <f>"9499"</f>
        <v>9499</v>
      </c>
      <c r="I1826" t="s">
        <v>31</v>
      </c>
    </row>
    <row r="1827" spans="1:19" x14ac:dyDescent="0.3">
      <c r="A1827" t="str">
        <f>"08259569"</f>
        <v>08259569</v>
      </c>
      <c r="B1827" t="s">
        <v>3872</v>
      </c>
      <c r="C1827" t="str">
        <f>"736"</f>
        <v>736</v>
      </c>
      <c r="D1827" t="s">
        <v>22</v>
      </c>
      <c r="E1827" t="s">
        <v>23</v>
      </c>
      <c r="F1827" t="s">
        <v>23</v>
      </c>
      <c r="G1827" t="s">
        <v>3873</v>
      </c>
      <c r="H1827" t="str">
        <f>"94993"</f>
        <v>94993</v>
      </c>
      <c r="I1827" t="s">
        <v>50</v>
      </c>
    </row>
    <row r="1828" spans="1:19" x14ac:dyDescent="0.3">
      <c r="A1828" t="str">
        <f>"64123707"</f>
        <v>64123707</v>
      </c>
      <c r="B1828" t="s">
        <v>3874</v>
      </c>
      <c r="C1828" t="str">
        <f>"706"</f>
        <v>706</v>
      </c>
      <c r="D1828" t="s">
        <v>28</v>
      </c>
      <c r="E1828" t="s">
        <v>29</v>
      </c>
      <c r="F1828" t="s">
        <v>38</v>
      </c>
      <c r="G1828" t="s">
        <v>3875</v>
      </c>
      <c r="H1828" t="str">
        <f>"9499"</f>
        <v>9499</v>
      </c>
      <c r="I1828" t="s">
        <v>31</v>
      </c>
    </row>
    <row r="1829" spans="1:19" x14ac:dyDescent="0.3">
      <c r="A1829" t="str">
        <f>"04737466"</f>
        <v>04737466</v>
      </c>
      <c r="B1829" t="s">
        <v>3876</v>
      </c>
      <c r="C1829" t="str">
        <f>"736"</f>
        <v>736</v>
      </c>
      <c r="D1829" t="s">
        <v>22</v>
      </c>
      <c r="E1829" t="s">
        <v>83</v>
      </c>
      <c r="F1829" t="s">
        <v>230</v>
      </c>
      <c r="G1829" t="s">
        <v>3877</v>
      </c>
      <c r="H1829" t="str">
        <f>"94993"</f>
        <v>94993</v>
      </c>
      <c r="I1829" t="s">
        <v>50</v>
      </c>
    </row>
    <row r="1830" spans="1:19" x14ac:dyDescent="0.3">
      <c r="A1830" t="str">
        <f>"08020515"</f>
        <v>08020515</v>
      </c>
      <c r="B1830" t="s">
        <v>3878</v>
      </c>
      <c r="C1830" t="str">
        <f>"706"</f>
        <v>706</v>
      </c>
      <c r="D1830" t="s">
        <v>28</v>
      </c>
      <c r="E1830" t="s">
        <v>23</v>
      </c>
      <c r="F1830" t="s">
        <v>23</v>
      </c>
      <c r="G1830" t="s">
        <v>3879</v>
      </c>
      <c r="H1830" t="str">
        <f>"9499"</f>
        <v>9499</v>
      </c>
      <c r="I1830" t="s">
        <v>31</v>
      </c>
    </row>
    <row r="1831" spans="1:19" x14ac:dyDescent="0.3">
      <c r="A1831" t="str">
        <f>"22824804"</f>
        <v>22824804</v>
      </c>
      <c r="B1831" t="s">
        <v>3880</v>
      </c>
      <c r="C1831" t="str">
        <f>"706"</f>
        <v>706</v>
      </c>
      <c r="D1831" t="s">
        <v>28</v>
      </c>
      <c r="E1831" t="s">
        <v>83</v>
      </c>
      <c r="F1831" t="s">
        <v>175</v>
      </c>
      <c r="G1831" t="s">
        <v>3881</v>
      </c>
      <c r="H1831" t="str">
        <f>"9499"</f>
        <v>9499</v>
      </c>
      <c r="I1831" t="s">
        <v>31</v>
      </c>
    </row>
    <row r="1832" spans="1:19" x14ac:dyDescent="0.3">
      <c r="A1832" t="str">
        <f>"04739141"</f>
        <v>04739141</v>
      </c>
      <c r="B1832" t="s">
        <v>3882</v>
      </c>
      <c r="C1832" t="str">
        <f>"706"</f>
        <v>706</v>
      </c>
      <c r="D1832" t="s">
        <v>28</v>
      </c>
      <c r="E1832" t="s">
        <v>83</v>
      </c>
      <c r="F1832" t="s">
        <v>175</v>
      </c>
      <c r="G1832" t="s">
        <v>3881</v>
      </c>
      <c r="H1832" t="str">
        <f>"9499"</f>
        <v>9499</v>
      </c>
      <c r="I1832" t="s">
        <v>31</v>
      </c>
    </row>
    <row r="1833" spans="1:19" x14ac:dyDescent="0.3">
      <c r="A1833" t="str">
        <f>"72020814"</f>
        <v>72020814</v>
      </c>
      <c r="B1833" t="s">
        <v>3883</v>
      </c>
      <c r="C1833" t="str">
        <f>"736"</f>
        <v>736</v>
      </c>
      <c r="D1833" t="s">
        <v>22</v>
      </c>
      <c r="E1833" t="s">
        <v>23</v>
      </c>
      <c r="F1833" t="s">
        <v>23</v>
      </c>
      <c r="G1833" t="s">
        <v>1143</v>
      </c>
      <c r="H1833" t="str">
        <f>"94991"</f>
        <v>94991</v>
      </c>
      <c r="I1833" t="s">
        <v>433</v>
      </c>
    </row>
    <row r="1834" spans="1:19" x14ac:dyDescent="0.3">
      <c r="A1834" t="str">
        <f>"05469571"</f>
        <v>05469571</v>
      </c>
      <c r="B1834" t="s">
        <v>3884</v>
      </c>
      <c r="C1834" t="str">
        <f>"706"</f>
        <v>706</v>
      </c>
      <c r="D1834" t="s">
        <v>28</v>
      </c>
      <c r="E1834" t="s">
        <v>29</v>
      </c>
      <c r="F1834" t="s">
        <v>1221</v>
      </c>
      <c r="G1834" t="s">
        <v>3885</v>
      </c>
      <c r="H1834" t="str">
        <f>"9499"</f>
        <v>9499</v>
      </c>
      <c r="I1834" t="s">
        <v>31</v>
      </c>
    </row>
    <row r="1835" spans="1:19" x14ac:dyDescent="0.3">
      <c r="A1835" t="str">
        <f>"47935987"</f>
        <v>47935987</v>
      </c>
      <c r="B1835" t="s">
        <v>3886</v>
      </c>
      <c r="C1835" t="str">
        <f>"736"</f>
        <v>736</v>
      </c>
      <c r="D1835" t="s">
        <v>22</v>
      </c>
      <c r="E1835" t="s">
        <v>83</v>
      </c>
      <c r="F1835" t="s">
        <v>83</v>
      </c>
      <c r="G1835" t="s">
        <v>3887</v>
      </c>
      <c r="H1835" t="str">
        <f>"9499"</f>
        <v>9499</v>
      </c>
      <c r="I1835" t="s">
        <v>31</v>
      </c>
    </row>
    <row r="1836" spans="1:19" x14ac:dyDescent="0.3">
      <c r="A1836" t="str">
        <f>"13694863"</f>
        <v>13694863</v>
      </c>
      <c r="B1836" t="s">
        <v>3888</v>
      </c>
      <c r="C1836" t="str">
        <f t="shared" ref="C1836:C1849" si="128">"706"</f>
        <v>706</v>
      </c>
      <c r="D1836" t="s">
        <v>28</v>
      </c>
      <c r="E1836" t="s">
        <v>23</v>
      </c>
      <c r="F1836" t="s">
        <v>107</v>
      </c>
      <c r="G1836" t="s">
        <v>3889</v>
      </c>
      <c r="H1836" t="str">
        <f>"93110"</f>
        <v>93110</v>
      </c>
      <c r="I1836" t="s">
        <v>92</v>
      </c>
      <c r="J1836" t="s">
        <v>259</v>
      </c>
      <c r="K1836" t="s">
        <v>147</v>
      </c>
      <c r="L1836" t="s">
        <v>157</v>
      </c>
      <c r="M1836" t="s">
        <v>159</v>
      </c>
      <c r="N1836" t="s">
        <v>598</v>
      </c>
      <c r="O1836" t="s">
        <v>3890</v>
      </c>
      <c r="P1836" t="s">
        <v>160</v>
      </c>
      <c r="Q1836" t="s">
        <v>161</v>
      </c>
      <c r="R1836" t="s">
        <v>162</v>
      </c>
      <c r="S1836" t="s">
        <v>59</v>
      </c>
    </row>
    <row r="1837" spans="1:19" x14ac:dyDescent="0.3">
      <c r="A1837" t="str">
        <f>"05479231"</f>
        <v>05479231</v>
      </c>
      <c r="B1837" t="s">
        <v>3891</v>
      </c>
      <c r="C1837" t="str">
        <f t="shared" si="128"/>
        <v>706</v>
      </c>
      <c r="D1837" t="s">
        <v>28</v>
      </c>
      <c r="E1837" t="s">
        <v>29</v>
      </c>
      <c r="F1837" t="s">
        <v>271</v>
      </c>
      <c r="G1837" t="s">
        <v>1660</v>
      </c>
      <c r="H1837" t="str">
        <f>"9499"</f>
        <v>9499</v>
      </c>
      <c r="I1837" t="s">
        <v>31</v>
      </c>
    </row>
    <row r="1838" spans="1:19" x14ac:dyDescent="0.3">
      <c r="A1838" t="str">
        <f>"65792840"</f>
        <v>65792840</v>
      </c>
      <c r="B1838" t="s">
        <v>3892</v>
      </c>
      <c r="C1838" t="str">
        <f t="shared" si="128"/>
        <v>706</v>
      </c>
      <c r="D1838" t="s">
        <v>28</v>
      </c>
      <c r="E1838" t="s">
        <v>23</v>
      </c>
      <c r="F1838" t="s">
        <v>23</v>
      </c>
      <c r="G1838" t="s">
        <v>204</v>
      </c>
      <c r="H1838" t="str">
        <f>"9499"</f>
        <v>9499</v>
      </c>
      <c r="I1838" t="s">
        <v>31</v>
      </c>
    </row>
    <row r="1839" spans="1:19" x14ac:dyDescent="0.3">
      <c r="A1839" t="str">
        <f>"04268130"</f>
        <v>04268130</v>
      </c>
      <c r="B1839" t="s">
        <v>3893</v>
      </c>
      <c r="C1839" t="str">
        <f t="shared" si="128"/>
        <v>706</v>
      </c>
      <c r="D1839" t="s">
        <v>28</v>
      </c>
      <c r="E1839" t="s">
        <v>23</v>
      </c>
      <c r="F1839" t="s">
        <v>23</v>
      </c>
      <c r="G1839" t="s">
        <v>3894</v>
      </c>
      <c r="H1839" t="str">
        <f>"93190"</f>
        <v>93190</v>
      </c>
      <c r="I1839" t="s">
        <v>59</v>
      </c>
    </row>
    <row r="1840" spans="1:19" x14ac:dyDescent="0.3">
      <c r="A1840" t="str">
        <f>"06742815"</f>
        <v>06742815</v>
      </c>
      <c r="B1840" t="s">
        <v>3895</v>
      </c>
      <c r="C1840" t="str">
        <f t="shared" si="128"/>
        <v>706</v>
      </c>
      <c r="D1840" t="s">
        <v>28</v>
      </c>
      <c r="E1840" t="s">
        <v>23</v>
      </c>
      <c r="F1840" t="s">
        <v>23</v>
      </c>
      <c r="G1840" t="s">
        <v>3896</v>
      </c>
      <c r="H1840" t="str">
        <f>"94993"</f>
        <v>94993</v>
      </c>
      <c r="I1840" t="s">
        <v>50</v>
      </c>
    </row>
    <row r="1841" spans="1:12" x14ac:dyDescent="0.3">
      <c r="A1841" t="str">
        <f>"02426552"</f>
        <v>02426552</v>
      </c>
      <c r="B1841" t="s">
        <v>3897</v>
      </c>
      <c r="C1841" t="str">
        <f t="shared" si="128"/>
        <v>706</v>
      </c>
      <c r="D1841" t="s">
        <v>28</v>
      </c>
      <c r="E1841" t="s">
        <v>29</v>
      </c>
      <c r="F1841" t="s">
        <v>852</v>
      </c>
      <c r="G1841" t="s">
        <v>852</v>
      </c>
      <c r="H1841" t="str">
        <f>"9499"</f>
        <v>9499</v>
      </c>
      <c r="I1841" t="s">
        <v>31</v>
      </c>
    </row>
    <row r="1842" spans="1:12" x14ac:dyDescent="0.3">
      <c r="A1842" t="str">
        <f>"28558294"</f>
        <v>28558294</v>
      </c>
      <c r="B1842" t="s">
        <v>3898</v>
      </c>
      <c r="C1842" t="str">
        <f t="shared" si="128"/>
        <v>706</v>
      </c>
      <c r="D1842" t="s">
        <v>28</v>
      </c>
      <c r="E1842" t="s">
        <v>83</v>
      </c>
      <c r="F1842" t="s">
        <v>183</v>
      </c>
      <c r="G1842" t="s">
        <v>3899</v>
      </c>
      <c r="H1842" t="str">
        <f>"9499"</f>
        <v>9499</v>
      </c>
      <c r="I1842" t="s">
        <v>31</v>
      </c>
      <c r="J1842" t="s">
        <v>259</v>
      </c>
      <c r="K1842" t="s">
        <v>147</v>
      </c>
      <c r="L1842" t="s">
        <v>146</v>
      </c>
    </row>
    <row r="1843" spans="1:12" x14ac:dyDescent="0.3">
      <c r="A1843" t="str">
        <f>"18189776"</f>
        <v>18189776</v>
      </c>
      <c r="B1843" t="s">
        <v>3900</v>
      </c>
      <c r="C1843" t="str">
        <f t="shared" si="128"/>
        <v>706</v>
      </c>
      <c r="D1843" t="s">
        <v>28</v>
      </c>
      <c r="E1843" t="s">
        <v>83</v>
      </c>
      <c r="F1843" t="s">
        <v>83</v>
      </c>
      <c r="G1843" t="s">
        <v>2992</v>
      </c>
      <c r="H1843" t="str">
        <f>"93110"</f>
        <v>93110</v>
      </c>
      <c r="I1843" t="s">
        <v>92</v>
      </c>
    </row>
    <row r="1844" spans="1:12" x14ac:dyDescent="0.3">
      <c r="A1844" t="str">
        <f>"17923468"</f>
        <v>17923468</v>
      </c>
      <c r="B1844" t="s">
        <v>3901</v>
      </c>
      <c r="C1844" t="str">
        <f t="shared" si="128"/>
        <v>706</v>
      </c>
      <c r="D1844" t="s">
        <v>28</v>
      </c>
      <c r="E1844" t="s">
        <v>23</v>
      </c>
      <c r="F1844" t="s">
        <v>107</v>
      </c>
      <c r="G1844" t="s">
        <v>3902</v>
      </c>
      <c r="H1844" t="str">
        <f>"9499"</f>
        <v>9499</v>
      </c>
      <c r="I1844" t="s">
        <v>31</v>
      </c>
    </row>
    <row r="1845" spans="1:12" x14ac:dyDescent="0.3">
      <c r="A1845" t="str">
        <f>"48510386"</f>
        <v>48510386</v>
      </c>
      <c r="B1845" t="s">
        <v>3903</v>
      </c>
      <c r="C1845" t="str">
        <f t="shared" si="128"/>
        <v>706</v>
      </c>
      <c r="D1845" t="s">
        <v>28</v>
      </c>
      <c r="E1845" t="s">
        <v>29</v>
      </c>
      <c r="F1845" t="s">
        <v>29</v>
      </c>
      <c r="G1845" t="s">
        <v>3904</v>
      </c>
      <c r="H1845" t="str">
        <f>"94993"</f>
        <v>94993</v>
      </c>
      <c r="I1845" t="s">
        <v>50</v>
      </c>
    </row>
    <row r="1846" spans="1:12" x14ac:dyDescent="0.3">
      <c r="A1846" t="str">
        <f>"05478529"</f>
        <v>05478529</v>
      </c>
      <c r="B1846" t="s">
        <v>3905</v>
      </c>
      <c r="C1846" t="str">
        <f t="shared" si="128"/>
        <v>706</v>
      </c>
      <c r="D1846" t="s">
        <v>28</v>
      </c>
      <c r="E1846" t="s">
        <v>52</v>
      </c>
      <c r="F1846" t="s">
        <v>52</v>
      </c>
      <c r="G1846" t="s">
        <v>3906</v>
      </c>
      <c r="H1846" t="str">
        <f t="shared" ref="H1846:H1851" si="129">"9499"</f>
        <v>9499</v>
      </c>
      <c r="I1846" t="s">
        <v>31</v>
      </c>
    </row>
    <row r="1847" spans="1:12" x14ac:dyDescent="0.3">
      <c r="A1847" t="str">
        <f>"27030202"</f>
        <v>27030202</v>
      </c>
      <c r="B1847" t="s">
        <v>3907</v>
      </c>
      <c r="C1847" t="str">
        <f t="shared" si="128"/>
        <v>706</v>
      </c>
      <c r="D1847" t="s">
        <v>28</v>
      </c>
      <c r="E1847" t="s">
        <v>23</v>
      </c>
      <c r="F1847" t="s">
        <v>23</v>
      </c>
      <c r="G1847" t="s">
        <v>3908</v>
      </c>
      <c r="H1847" t="str">
        <f t="shared" si="129"/>
        <v>9499</v>
      </c>
      <c r="I1847" t="s">
        <v>31</v>
      </c>
    </row>
    <row r="1848" spans="1:12" x14ac:dyDescent="0.3">
      <c r="A1848" t="str">
        <f>"02086409"</f>
        <v>02086409</v>
      </c>
      <c r="B1848" t="s">
        <v>3909</v>
      </c>
      <c r="C1848" t="str">
        <f t="shared" si="128"/>
        <v>706</v>
      </c>
      <c r="D1848" t="s">
        <v>28</v>
      </c>
      <c r="E1848" t="s">
        <v>23</v>
      </c>
      <c r="F1848" t="s">
        <v>23</v>
      </c>
      <c r="G1848" t="s">
        <v>3910</v>
      </c>
      <c r="H1848" t="str">
        <f t="shared" si="129"/>
        <v>9499</v>
      </c>
      <c r="I1848" t="s">
        <v>31</v>
      </c>
    </row>
    <row r="1849" spans="1:12" x14ac:dyDescent="0.3">
      <c r="A1849" t="str">
        <f>"01596829"</f>
        <v>01596829</v>
      </c>
      <c r="B1849" t="s">
        <v>3911</v>
      </c>
      <c r="C1849" t="str">
        <f t="shared" si="128"/>
        <v>706</v>
      </c>
      <c r="D1849" t="s">
        <v>28</v>
      </c>
      <c r="E1849" t="s">
        <v>29</v>
      </c>
      <c r="F1849" t="s">
        <v>852</v>
      </c>
      <c r="G1849" t="s">
        <v>3912</v>
      </c>
      <c r="H1849" t="str">
        <f t="shared" si="129"/>
        <v>9499</v>
      </c>
      <c r="I1849" t="s">
        <v>31</v>
      </c>
    </row>
    <row r="1850" spans="1:12" x14ac:dyDescent="0.3">
      <c r="A1850" t="str">
        <f>"61703478"</f>
        <v>61703478</v>
      </c>
      <c r="B1850" t="s">
        <v>3913</v>
      </c>
      <c r="C1850" t="str">
        <f>"736"</f>
        <v>736</v>
      </c>
      <c r="D1850" t="s">
        <v>22</v>
      </c>
      <c r="E1850" t="s">
        <v>52</v>
      </c>
      <c r="F1850" t="s">
        <v>3833</v>
      </c>
      <c r="G1850" t="s">
        <v>3834</v>
      </c>
      <c r="H1850" t="str">
        <f t="shared" si="129"/>
        <v>9499</v>
      </c>
      <c r="I1850" t="s">
        <v>31</v>
      </c>
    </row>
    <row r="1851" spans="1:12" x14ac:dyDescent="0.3">
      <c r="A1851" t="str">
        <f>"26565781"</f>
        <v>26565781</v>
      </c>
      <c r="B1851" t="s">
        <v>3914</v>
      </c>
      <c r="C1851" t="str">
        <f t="shared" ref="C1851:C1910" si="130">"706"</f>
        <v>706</v>
      </c>
      <c r="D1851" t="s">
        <v>28</v>
      </c>
      <c r="E1851" t="s">
        <v>23</v>
      </c>
      <c r="F1851" t="s">
        <v>87</v>
      </c>
      <c r="G1851" t="s">
        <v>3915</v>
      </c>
      <c r="H1851" t="str">
        <f t="shared" si="129"/>
        <v>9499</v>
      </c>
      <c r="I1851" t="s">
        <v>31</v>
      </c>
    </row>
    <row r="1852" spans="1:12" x14ac:dyDescent="0.3">
      <c r="A1852" t="str">
        <f>"42866081"</f>
        <v>42866081</v>
      </c>
      <c r="B1852" t="s">
        <v>3916</v>
      </c>
      <c r="C1852" t="str">
        <f t="shared" si="130"/>
        <v>706</v>
      </c>
      <c r="D1852" t="s">
        <v>28</v>
      </c>
      <c r="E1852" t="s">
        <v>29</v>
      </c>
      <c r="F1852" t="s">
        <v>29</v>
      </c>
      <c r="G1852" t="s">
        <v>3917</v>
      </c>
      <c r="H1852" t="str">
        <f>"94999"</f>
        <v>94999</v>
      </c>
      <c r="I1852" t="s">
        <v>202</v>
      </c>
    </row>
    <row r="1853" spans="1:12" x14ac:dyDescent="0.3">
      <c r="A1853" t="str">
        <f>"02270226"</f>
        <v>02270226</v>
      </c>
      <c r="B1853" t="s">
        <v>3918</v>
      </c>
      <c r="C1853" t="str">
        <f t="shared" si="130"/>
        <v>706</v>
      </c>
      <c r="D1853" t="s">
        <v>28</v>
      </c>
      <c r="E1853" t="s">
        <v>23</v>
      </c>
      <c r="F1853" t="s">
        <v>296</v>
      </c>
      <c r="G1853" t="s">
        <v>3919</v>
      </c>
      <c r="H1853" t="str">
        <f>"94999"</f>
        <v>94999</v>
      </c>
      <c r="I1853" t="s">
        <v>202</v>
      </c>
    </row>
    <row r="1854" spans="1:12" x14ac:dyDescent="0.3">
      <c r="A1854" t="str">
        <f>"48473553"</f>
        <v>48473553</v>
      </c>
      <c r="B1854" t="s">
        <v>3920</v>
      </c>
      <c r="C1854" t="str">
        <f t="shared" si="130"/>
        <v>706</v>
      </c>
      <c r="D1854" t="s">
        <v>28</v>
      </c>
      <c r="E1854" t="s">
        <v>23</v>
      </c>
      <c r="F1854" t="s">
        <v>23</v>
      </c>
      <c r="G1854" t="s">
        <v>3921</v>
      </c>
      <c r="H1854" t="str">
        <f>"9499"</f>
        <v>9499</v>
      </c>
      <c r="I1854" t="s">
        <v>31</v>
      </c>
    </row>
    <row r="1855" spans="1:12" x14ac:dyDescent="0.3">
      <c r="A1855" t="str">
        <f>"27024466"</f>
        <v>27024466</v>
      </c>
      <c r="B1855" t="s">
        <v>3922</v>
      </c>
      <c r="C1855" t="str">
        <f t="shared" si="130"/>
        <v>706</v>
      </c>
      <c r="D1855" t="s">
        <v>28</v>
      </c>
      <c r="E1855" t="s">
        <v>23</v>
      </c>
      <c r="F1855" t="s">
        <v>24</v>
      </c>
      <c r="G1855" t="s">
        <v>2018</v>
      </c>
      <c r="H1855" t="str">
        <f>"9499"</f>
        <v>9499</v>
      </c>
      <c r="I1855" t="s">
        <v>31</v>
      </c>
    </row>
    <row r="1856" spans="1:12" x14ac:dyDescent="0.3">
      <c r="A1856" t="str">
        <f>"61715972"</f>
        <v>61715972</v>
      </c>
      <c r="B1856" t="s">
        <v>3923</v>
      </c>
      <c r="C1856" t="str">
        <f t="shared" si="130"/>
        <v>706</v>
      </c>
      <c r="D1856" t="s">
        <v>28</v>
      </c>
      <c r="E1856" t="s">
        <v>23</v>
      </c>
      <c r="F1856" t="s">
        <v>350</v>
      </c>
      <c r="G1856" t="s">
        <v>3924</v>
      </c>
      <c r="H1856" t="str">
        <f>"9499"</f>
        <v>9499</v>
      </c>
      <c r="I1856" t="s">
        <v>31</v>
      </c>
    </row>
    <row r="1857" spans="1:9" x14ac:dyDescent="0.3">
      <c r="A1857" t="str">
        <f>"67728057"</f>
        <v>67728057</v>
      </c>
      <c r="B1857" t="s">
        <v>3925</v>
      </c>
      <c r="C1857" t="str">
        <f t="shared" si="130"/>
        <v>706</v>
      </c>
      <c r="D1857" t="s">
        <v>28</v>
      </c>
      <c r="E1857" t="s">
        <v>29</v>
      </c>
      <c r="F1857" t="s">
        <v>29</v>
      </c>
      <c r="G1857" t="s">
        <v>3926</v>
      </c>
      <c r="H1857" t="str">
        <f>"94991"</f>
        <v>94991</v>
      </c>
      <c r="I1857" t="s">
        <v>433</v>
      </c>
    </row>
    <row r="1858" spans="1:9" x14ac:dyDescent="0.3">
      <c r="A1858" t="str">
        <f>"27024067"</f>
        <v>27024067</v>
      </c>
      <c r="B1858" t="s">
        <v>3927</v>
      </c>
      <c r="C1858" t="str">
        <f t="shared" si="130"/>
        <v>706</v>
      </c>
      <c r="D1858" t="s">
        <v>28</v>
      </c>
      <c r="E1858" t="s">
        <v>29</v>
      </c>
      <c r="F1858" t="s">
        <v>38</v>
      </c>
      <c r="G1858" t="s">
        <v>3928</v>
      </c>
      <c r="H1858" t="str">
        <f t="shared" ref="H1858:H1864" si="131">"9499"</f>
        <v>9499</v>
      </c>
      <c r="I1858" t="s">
        <v>31</v>
      </c>
    </row>
    <row r="1859" spans="1:9" x14ac:dyDescent="0.3">
      <c r="A1859" t="str">
        <f>"02300508"</f>
        <v>02300508</v>
      </c>
      <c r="B1859" t="s">
        <v>3929</v>
      </c>
      <c r="C1859" t="str">
        <f t="shared" si="130"/>
        <v>706</v>
      </c>
      <c r="D1859" t="s">
        <v>28</v>
      </c>
      <c r="E1859" t="s">
        <v>52</v>
      </c>
      <c r="F1859" t="s">
        <v>234</v>
      </c>
      <c r="G1859" t="s">
        <v>3930</v>
      </c>
      <c r="H1859" t="str">
        <f t="shared" si="131"/>
        <v>9499</v>
      </c>
      <c r="I1859" t="s">
        <v>31</v>
      </c>
    </row>
    <row r="1860" spans="1:9" x14ac:dyDescent="0.3">
      <c r="A1860" t="str">
        <f>"65268903"</f>
        <v>65268903</v>
      </c>
      <c r="B1860" t="s">
        <v>3931</v>
      </c>
      <c r="C1860" t="str">
        <f t="shared" si="130"/>
        <v>706</v>
      </c>
      <c r="D1860" t="s">
        <v>28</v>
      </c>
      <c r="E1860" t="s">
        <v>23</v>
      </c>
      <c r="F1860" t="s">
        <v>23</v>
      </c>
      <c r="G1860" t="s">
        <v>3932</v>
      </c>
      <c r="H1860" t="str">
        <f t="shared" si="131"/>
        <v>9499</v>
      </c>
      <c r="I1860" t="s">
        <v>31</v>
      </c>
    </row>
    <row r="1861" spans="1:9" x14ac:dyDescent="0.3">
      <c r="A1861" t="str">
        <f>"46956557"</f>
        <v>46956557</v>
      </c>
      <c r="B1861" t="s">
        <v>3933</v>
      </c>
      <c r="C1861" t="str">
        <f t="shared" si="130"/>
        <v>706</v>
      </c>
      <c r="D1861" t="s">
        <v>28</v>
      </c>
      <c r="E1861" t="s">
        <v>52</v>
      </c>
      <c r="F1861" t="s">
        <v>113</v>
      </c>
      <c r="G1861" t="s">
        <v>113</v>
      </c>
      <c r="H1861" t="str">
        <f t="shared" si="131"/>
        <v>9499</v>
      </c>
      <c r="I1861" t="s">
        <v>31</v>
      </c>
    </row>
    <row r="1862" spans="1:9" x14ac:dyDescent="0.3">
      <c r="A1862" t="str">
        <f>"22813799"</f>
        <v>22813799</v>
      </c>
      <c r="B1862" t="s">
        <v>3934</v>
      </c>
      <c r="C1862" t="str">
        <f t="shared" si="130"/>
        <v>706</v>
      </c>
      <c r="D1862" t="s">
        <v>28</v>
      </c>
      <c r="E1862" t="s">
        <v>52</v>
      </c>
      <c r="F1862" t="s">
        <v>379</v>
      </c>
      <c r="G1862" t="s">
        <v>629</v>
      </c>
      <c r="H1862" t="str">
        <f t="shared" si="131"/>
        <v>9499</v>
      </c>
      <c r="I1862" t="s">
        <v>31</v>
      </c>
    </row>
    <row r="1863" spans="1:9" x14ac:dyDescent="0.3">
      <c r="A1863" t="str">
        <f>"70835942"</f>
        <v>70835942</v>
      </c>
      <c r="B1863" t="s">
        <v>3935</v>
      </c>
      <c r="C1863" t="str">
        <f t="shared" si="130"/>
        <v>706</v>
      </c>
      <c r="D1863" t="s">
        <v>28</v>
      </c>
      <c r="E1863" t="s">
        <v>52</v>
      </c>
      <c r="F1863" t="s">
        <v>113</v>
      </c>
      <c r="G1863" t="s">
        <v>3936</v>
      </c>
      <c r="H1863" t="str">
        <f t="shared" si="131"/>
        <v>9499</v>
      </c>
      <c r="I1863" t="s">
        <v>31</v>
      </c>
    </row>
    <row r="1864" spans="1:9" x14ac:dyDescent="0.3">
      <c r="A1864" t="str">
        <f>"70238511"</f>
        <v>70238511</v>
      </c>
      <c r="B1864" t="s">
        <v>3937</v>
      </c>
      <c r="C1864" t="str">
        <f t="shared" si="130"/>
        <v>706</v>
      </c>
      <c r="D1864" t="s">
        <v>28</v>
      </c>
      <c r="E1864" t="s">
        <v>29</v>
      </c>
      <c r="F1864" t="s">
        <v>195</v>
      </c>
      <c r="G1864" t="s">
        <v>3938</v>
      </c>
      <c r="H1864" t="str">
        <f t="shared" si="131"/>
        <v>9499</v>
      </c>
      <c r="I1864" t="s">
        <v>31</v>
      </c>
    </row>
    <row r="1865" spans="1:9" x14ac:dyDescent="0.3">
      <c r="A1865" t="str">
        <f>"26583143"</f>
        <v>26583143</v>
      </c>
      <c r="B1865" t="s">
        <v>3939</v>
      </c>
      <c r="C1865" t="str">
        <f t="shared" si="130"/>
        <v>706</v>
      </c>
      <c r="D1865" t="s">
        <v>28</v>
      </c>
      <c r="E1865" t="s">
        <v>52</v>
      </c>
      <c r="F1865" t="s">
        <v>379</v>
      </c>
      <c r="G1865" t="s">
        <v>3940</v>
      </c>
      <c r="H1865" t="str">
        <f>"93110"</f>
        <v>93110</v>
      </c>
      <c r="I1865" t="s">
        <v>92</v>
      </c>
    </row>
    <row r="1866" spans="1:9" x14ac:dyDescent="0.3">
      <c r="A1866" t="str">
        <f>"70834423"</f>
        <v>70834423</v>
      </c>
      <c r="B1866" t="s">
        <v>3941</v>
      </c>
      <c r="C1866" t="str">
        <f t="shared" si="130"/>
        <v>706</v>
      </c>
      <c r="D1866" t="s">
        <v>28</v>
      </c>
      <c r="E1866" t="s">
        <v>23</v>
      </c>
      <c r="F1866" t="s">
        <v>23</v>
      </c>
      <c r="G1866" t="s">
        <v>3942</v>
      </c>
      <c r="H1866" t="str">
        <f>"93120"</f>
        <v>93120</v>
      </c>
      <c r="I1866" t="s">
        <v>54</v>
      </c>
    </row>
    <row r="1867" spans="1:9" x14ac:dyDescent="0.3">
      <c r="A1867" t="str">
        <f>"70827044"</f>
        <v>70827044</v>
      </c>
      <c r="B1867" t="s">
        <v>3943</v>
      </c>
      <c r="C1867" t="str">
        <f t="shared" si="130"/>
        <v>706</v>
      </c>
      <c r="D1867" t="s">
        <v>28</v>
      </c>
      <c r="E1867" t="s">
        <v>83</v>
      </c>
      <c r="F1867" t="s">
        <v>183</v>
      </c>
      <c r="G1867" t="s">
        <v>183</v>
      </c>
      <c r="H1867" t="str">
        <f>"9499"</f>
        <v>9499</v>
      </c>
      <c r="I1867" t="s">
        <v>31</v>
      </c>
    </row>
    <row r="1868" spans="1:9" x14ac:dyDescent="0.3">
      <c r="A1868" t="str">
        <f>"18190316"</f>
        <v>18190316</v>
      </c>
      <c r="B1868" t="s">
        <v>3944</v>
      </c>
      <c r="C1868" t="str">
        <f t="shared" si="130"/>
        <v>706</v>
      </c>
      <c r="D1868" t="s">
        <v>28</v>
      </c>
      <c r="E1868" t="s">
        <v>83</v>
      </c>
      <c r="F1868" t="s">
        <v>183</v>
      </c>
      <c r="G1868" t="s">
        <v>2011</v>
      </c>
      <c r="H1868" t="str">
        <f>"9499"</f>
        <v>9499</v>
      </c>
      <c r="I1868" t="s">
        <v>31</v>
      </c>
    </row>
    <row r="1869" spans="1:9" x14ac:dyDescent="0.3">
      <c r="A1869" t="str">
        <f>"68728131"</f>
        <v>68728131</v>
      </c>
      <c r="B1869" t="s">
        <v>3945</v>
      </c>
      <c r="C1869" t="str">
        <f t="shared" si="130"/>
        <v>706</v>
      </c>
      <c r="D1869" t="s">
        <v>28</v>
      </c>
      <c r="E1869" t="s">
        <v>23</v>
      </c>
      <c r="F1869" t="s">
        <v>99</v>
      </c>
      <c r="G1869" t="s">
        <v>3946</v>
      </c>
      <c r="H1869" t="str">
        <f>"9499"</f>
        <v>9499</v>
      </c>
      <c r="I1869" t="s">
        <v>31</v>
      </c>
    </row>
    <row r="1870" spans="1:9" x14ac:dyDescent="0.3">
      <c r="A1870" t="str">
        <f>"22868984"</f>
        <v>22868984</v>
      </c>
      <c r="B1870" t="s">
        <v>3947</v>
      </c>
      <c r="C1870" t="str">
        <f t="shared" si="130"/>
        <v>706</v>
      </c>
      <c r="D1870" t="s">
        <v>28</v>
      </c>
      <c r="E1870" t="s">
        <v>83</v>
      </c>
      <c r="F1870" t="s">
        <v>537</v>
      </c>
      <c r="G1870" t="s">
        <v>3948</v>
      </c>
      <c r="H1870" t="str">
        <f>"9499"</f>
        <v>9499</v>
      </c>
      <c r="I1870" t="s">
        <v>31</v>
      </c>
    </row>
    <row r="1871" spans="1:9" x14ac:dyDescent="0.3">
      <c r="A1871" t="str">
        <f>"22824642"</f>
        <v>22824642</v>
      </c>
      <c r="B1871" t="s">
        <v>3949</v>
      </c>
      <c r="C1871" t="str">
        <f t="shared" si="130"/>
        <v>706</v>
      </c>
      <c r="D1871" t="s">
        <v>28</v>
      </c>
      <c r="E1871" t="s">
        <v>52</v>
      </c>
      <c r="F1871" t="s">
        <v>80</v>
      </c>
      <c r="G1871" t="s">
        <v>3950</v>
      </c>
      <c r="H1871" t="str">
        <f>"94999"</f>
        <v>94999</v>
      </c>
      <c r="I1871" t="s">
        <v>202</v>
      </c>
    </row>
    <row r="1872" spans="1:9" x14ac:dyDescent="0.3">
      <c r="A1872" t="str">
        <f>"02437805"</f>
        <v>02437805</v>
      </c>
      <c r="B1872" t="s">
        <v>3951</v>
      </c>
      <c r="C1872" t="str">
        <f t="shared" si="130"/>
        <v>706</v>
      </c>
      <c r="D1872" t="s">
        <v>28</v>
      </c>
      <c r="E1872" t="s">
        <v>52</v>
      </c>
      <c r="F1872" t="s">
        <v>2038</v>
      </c>
      <c r="G1872" t="s">
        <v>3952</v>
      </c>
      <c r="H1872" t="str">
        <f>"94999"</f>
        <v>94999</v>
      </c>
      <c r="I1872" t="s">
        <v>202</v>
      </c>
    </row>
    <row r="1873" spans="1:13" x14ac:dyDescent="0.3">
      <c r="A1873" t="str">
        <f>"62181556"</f>
        <v>62181556</v>
      </c>
      <c r="B1873" t="s">
        <v>3953</v>
      </c>
      <c r="C1873" t="str">
        <f t="shared" si="130"/>
        <v>706</v>
      </c>
      <c r="D1873" t="s">
        <v>28</v>
      </c>
      <c r="E1873" t="s">
        <v>23</v>
      </c>
      <c r="F1873" t="s">
        <v>1935</v>
      </c>
      <c r="G1873" t="s">
        <v>3954</v>
      </c>
      <c r="H1873" t="str">
        <f>"9499"</f>
        <v>9499</v>
      </c>
      <c r="I1873" t="s">
        <v>31</v>
      </c>
    </row>
    <row r="1874" spans="1:13" x14ac:dyDescent="0.3">
      <c r="A1874" t="str">
        <f>"22675272"</f>
        <v>22675272</v>
      </c>
      <c r="B1874" t="s">
        <v>3955</v>
      </c>
      <c r="C1874" t="str">
        <f t="shared" si="130"/>
        <v>706</v>
      </c>
      <c r="D1874" t="s">
        <v>28</v>
      </c>
      <c r="E1874" t="s">
        <v>83</v>
      </c>
      <c r="F1874" t="s">
        <v>1425</v>
      </c>
      <c r="G1874" t="s">
        <v>3956</v>
      </c>
      <c r="H1874" t="str">
        <f>"9499"</f>
        <v>9499</v>
      </c>
      <c r="I1874" t="s">
        <v>31</v>
      </c>
    </row>
    <row r="1875" spans="1:13" x14ac:dyDescent="0.3">
      <c r="A1875" t="str">
        <f>"01724975"</f>
        <v>01724975</v>
      </c>
      <c r="B1875" t="s">
        <v>3957</v>
      </c>
      <c r="C1875" t="str">
        <f t="shared" si="130"/>
        <v>706</v>
      </c>
      <c r="D1875" t="s">
        <v>28</v>
      </c>
      <c r="E1875" t="s">
        <v>23</v>
      </c>
      <c r="F1875" t="s">
        <v>107</v>
      </c>
      <c r="G1875" t="s">
        <v>206</v>
      </c>
      <c r="H1875" t="str">
        <f>"9499"</f>
        <v>9499</v>
      </c>
      <c r="I1875" t="s">
        <v>31</v>
      </c>
    </row>
    <row r="1876" spans="1:13" x14ac:dyDescent="0.3">
      <c r="A1876" t="str">
        <f>"02500124"</f>
        <v>02500124</v>
      </c>
      <c r="B1876" t="s">
        <v>3958</v>
      </c>
      <c r="C1876" t="str">
        <f t="shared" si="130"/>
        <v>706</v>
      </c>
      <c r="D1876" t="s">
        <v>28</v>
      </c>
      <c r="E1876" t="s">
        <v>23</v>
      </c>
      <c r="F1876" t="s">
        <v>23</v>
      </c>
      <c r="G1876" t="s">
        <v>23</v>
      </c>
      <c r="H1876" t="str">
        <f>"94999"</f>
        <v>94999</v>
      </c>
      <c r="I1876" t="s">
        <v>202</v>
      </c>
    </row>
    <row r="1877" spans="1:13" x14ac:dyDescent="0.3">
      <c r="A1877" t="str">
        <f>"48472093"</f>
        <v>48472093</v>
      </c>
      <c r="B1877" t="s">
        <v>3959</v>
      </c>
      <c r="C1877" t="str">
        <f t="shared" si="130"/>
        <v>706</v>
      </c>
      <c r="D1877" t="s">
        <v>28</v>
      </c>
      <c r="E1877" t="s">
        <v>23</v>
      </c>
      <c r="F1877" t="s">
        <v>23</v>
      </c>
      <c r="G1877" t="s">
        <v>3960</v>
      </c>
      <c r="H1877" t="str">
        <f>"9499"</f>
        <v>9499</v>
      </c>
      <c r="I1877" t="s">
        <v>31</v>
      </c>
    </row>
    <row r="1878" spans="1:13" x14ac:dyDescent="0.3">
      <c r="A1878" t="str">
        <f>"26516357"</f>
        <v>26516357</v>
      </c>
      <c r="B1878" t="s">
        <v>3961</v>
      </c>
      <c r="C1878" t="str">
        <f t="shared" si="130"/>
        <v>706</v>
      </c>
      <c r="D1878" t="s">
        <v>28</v>
      </c>
      <c r="E1878" t="s">
        <v>23</v>
      </c>
      <c r="F1878" t="s">
        <v>23</v>
      </c>
      <c r="G1878" t="s">
        <v>3962</v>
      </c>
      <c r="H1878" t="str">
        <f>"9499"</f>
        <v>9499</v>
      </c>
      <c r="I1878" t="s">
        <v>31</v>
      </c>
    </row>
    <row r="1879" spans="1:13" x14ac:dyDescent="0.3">
      <c r="A1879" t="str">
        <f>"22069071"</f>
        <v>22069071</v>
      </c>
      <c r="B1879" t="s">
        <v>3963</v>
      </c>
      <c r="C1879" t="str">
        <f t="shared" si="130"/>
        <v>706</v>
      </c>
      <c r="D1879" t="s">
        <v>28</v>
      </c>
      <c r="E1879" t="s">
        <v>23</v>
      </c>
      <c r="F1879" t="s">
        <v>966</v>
      </c>
      <c r="G1879" t="s">
        <v>3964</v>
      </c>
      <c r="H1879" t="str">
        <f>"9499"</f>
        <v>9499</v>
      </c>
      <c r="I1879" t="s">
        <v>31</v>
      </c>
    </row>
    <row r="1880" spans="1:13" x14ac:dyDescent="0.3">
      <c r="A1880" t="str">
        <f>"68687851"</f>
        <v>68687851</v>
      </c>
      <c r="B1880" t="s">
        <v>3965</v>
      </c>
      <c r="C1880" t="str">
        <f t="shared" si="130"/>
        <v>706</v>
      </c>
      <c r="D1880" t="s">
        <v>28</v>
      </c>
      <c r="E1880" t="s">
        <v>83</v>
      </c>
      <c r="F1880" t="s">
        <v>175</v>
      </c>
      <c r="G1880" t="s">
        <v>3966</v>
      </c>
      <c r="H1880" t="str">
        <f>"9499"</f>
        <v>9499</v>
      </c>
      <c r="I1880" t="s">
        <v>31</v>
      </c>
    </row>
    <row r="1881" spans="1:13" x14ac:dyDescent="0.3">
      <c r="A1881" t="str">
        <f>"66545617"</f>
        <v>66545617</v>
      </c>
      <c r="B1881" t="s">
        <v>3967</v>
      </c>
      <c r="C1881" t="str">
        <f t="shared" si="130"/>
        <v>706</v>
      </c>
      <c r="D1881" t="s">
        <v>28</v>
      </c>
      <c r="E1881" t="s">
        <v>23</v>
      </c>
      <c r="F1881" t="s">
        <v>459</v>
      </c>
      <c r="G1881" t="s">
        <v>3968</v>
      </c>
      <c r="H1881" t="str">
        <f>"9499"</f>
        <v>9499</v>
      </c>
      <c r="I1881" t="s">
        <v>31</v>
      </c>
    </row>
    <row r="1882" spans="1:13" x14ac:dyDescent="0.3">
      <c r="A1882" t="str">
        <f>"26634716"</f>
        <v>26634716</v>
      </c>
      <c r="B1882" t="s">
        <v>3969</v>
      </c>
      <c r="C1882" t="str">
        <f t="shared" si="130"/>
        <v>706</v>
      </c>
      <c r="D1882" t="s">
        <v>28</v>
      </c>
      <c r="E1882" t="s">
        <v>52</v>
      </c>
      <c r="F1882" t="s">
        <v>920</v>
      </c>
      <c r="G1882" t="s">
        <v>3970</v>
      </c>
      <c r="H1882" t="str">
        <f>"9499"</f>
        <v>9499</v>
      </c>
      <c r="I1882" t="s">
        <v>31</v>
      </c>
    </row>
    <row r="1883" spans="1:13" x14ac:dyDescent="0.3">
      <c r="A1883" t="str">
        <f>"07145225"</f>
        <v>07145225</v>
      </c>
      <c r="B1883" t="s">
        <v>3971</v>
      </c>
      <c r="C1883" t="str">
        <f t="shared" si="130"/>
        <v>706</v>
      </c>
      <c r="D1883" t="s">
        <v>28</v>
      </c>
      <c r="E1883" t="s">
        <v>23</v>
      </c>
      <c r="F1883" t="s">
        <v>141</v>
      </c>
      <c r="G1883" t="s">
        <v>3972</v>
      </c>
      <c r="H1883" t="str">
        <f>"94999"</f>
        <v>94999</v>
      </c>
      <c r="I1883" t="s">
        <v>202</v>
      </c>
    </row>
    <row r="1884" spans="1:13" x14ac:dyDescent="0.3">
      <c r="A1884" t="str">
        <f>"67008739"</f>
        <v>67008739</v>
      </c>
      <c r="B1884" t="s">
        <v>3973</v>
      </c>
      <c r="C1884" t="str">
        <f t="shared" si="130"/>
        <v>706</v>
      </c>
      <c r="D1884" t="s">
        <v>28</v>
      </c>
      <c r="E1884" t="s">
        <v>83</v>
      </c>
      <c r="F1884" t="s">
        <v>520</v>
      </c>
      <c r="G1884" t="s">
        <v>3974</v>
      </c>
      <c r="H1884" t="str">
        <f>"9499"</f>
        <v>9499</v>
      </c>
      <c r="I1884" t="s">
        <v>31</v>
      </c>
      <c r="J1884" t="s">
        <v>237</v>
      </c>
      <c r="K1884" t="s">
        <v>209</v>
      </c>
      <c r="L1884" t="s">
        <v>161</v>
      </c>
      <c r="M1884" t="s">
        <v>163</v>
      </c>
    </row>
    <row r="1885" spans="1:13" x14ac:dyDescent="0.3">
      <c r="A1885" t="str">
        <f>"08982180"</f>
        <v>08982180</v>
      </c>
      <c r="B1885" t="s">
        <v>3975</v>
      </c>
      <c r="C1885" t="str">
        <f t="shared" si="130"/>
        <v>706</v>
      </c>
      <c r="D1885" t="s">
        <v>28</v>
      </c>
      <c r="E1885" t="s">
        <v>52</v>
      </c>
      <c r="F1885" t="s">
        <v>113</v>
      </c>
      <c r="G1885" t="s">
        <v>3976</v>
      </c>
      <c r="H1885" t="str">
        <f>"94991"</f>
        <v>94991</v>
      </c>
      <c r="I1885" t="s">
        <v>433</v>
      </c>
    </row>
    <row r="1886" spans="1:13" x14ac:dyDescent="0.3">
      <c r="A1886" t="str">
        <f>"70284130"</f>
        <v>70284130</v>
      </c>
      <c r="B1886" t="s">
        <v>3977</v>
      </c>
      <c r="C1886" t="str">
        <f t="shared" si="130"/>
        <v>706</v>
      </c>
      <c r="D1886" t="s">
        <v>28</v>
      </c>
      <c r="E1886" t="s">
        <v>52</v>
      </c>
      <c r="F1886" t="s">
        <v>52</v>
      </c>
      <c r="G1886" t="s">
        <v>3978</v>
      </c>
      <c r="H1886" t="str">
        <f>"93120"</f>
        <v>93120</v>
      </c>
      <c r="I1886" t="s">
        <v>54</v>
      </c>
    </row>
    <row r="1887" spans="1:13" x14ac:dyDescent="0.3">
      <c r="A1887" t="str">
        <f>"69649359"</f>
        <v>69649359</v>
      </c>
      <c r="B1887" t="s">
        <v>3980</v>
      </c>
      <c r="C1887" t="str">
        <f t="shared" si="130"/>
        <v>706</v>
      </c>
      <c r="D1887" t="s">
        <v>28</v>
      </c>
      <c r="E1887" t="s">
        <v>23</v>
      </c>
      <c r="F1887" t="s">
        <v>24</v>
      </c>
      <c r="G1887" t="s">
        <v>3981</v>
      </c>
      <c r="H1887" t="str">
        <f t="shared" ref="H1887:H1900" si="132">"9499"</f>
        <v>9499</v>
      </c>
      <c r="I1887" t="s">
        <v>31</v>
      </c>
    </row>
    <row r="1888" spans="1:13" x14ac:dyDescent="0.3">
      <c r="A1888" t="str">
        <f>"22830006"</f>
        <v>22830006</v>
      </c>
      <c r="B1888" t="s">
        <v>3982</v>
      </c>
      <c r="C1888" t="str">
        <f t="shared" si="130"/>
        <v>706</v>
      </c>
      <c r="D1888" t="s">
        <v>28</v>
      </c>
      <c r="E1888" t="s">
        <v>52</v>
      </c>
      <c r="F1888" t="s">
        <v>80</v>
      </c>
      <c r="G1888" t="s">
        <v>1761</v>
      </c>
      <c r="H1888" t="str">
        <f t="shared" si="132"/>
        <v>9499</v>
      </c>
      <c r="I1888" t="s">
        <v>31</v>
      </c>
    </row>
    <row r="1889" spans="1:9" x14ac:dyDescent="0.3">
      <c r="A1889" t="str">
        <f>"22833811"</f>
        <v>22833811</v>
      </c>
      <c r="B1889" t="s">
        <v>3983</v>
      </c>
      <c r="C1889" t="str">
        <f t="shared" si="130"/>
        <v>706</v>
      </c>
      <c r="D1889" t="s">
        <v>28</v>
      </c>
      <c r="E1889" t="s">
        <v>83</v>
      </c>
      <c r="F1889" t="s">
        <v>537</v>
      </c>
      <c r="G1889" t="s">
        <v>3984</v>
      </c>
      <c r="H1889" t="str">
        <f t="shared" si="132"/>
        <v>9499</v>
      </c>
      <c r="I1889" t="s">
        <v>31</v>
      </c>
    </row>
    <row r="1890" spans="1:9" x14ac:dyDescent="0.3">
      <c r="A1890" t="str">
        <f>"01509985"</f>
        <v>01509985</v>
      </c>
      <c r="B1890" t="s">
        <v>3985</v>
      </c>
      <c r="C1890" t="str">
        <f t="shared" si="130"/>
        <v>706</v>
      </c>
      <c r="D1890" t="s">
        <v>28</v>
      </c>
      <c r="E1890" t="s">
        <v>29</v>
      </c>
      <c r="F1890" t="s">
        <v>1836</v>
      </c>
      <c r="G1890" t="s">
        <v>3986</v>
      </c>
      <c r="H1890" t="str">
        <f t="shared" si="132"/>
        <v>9499</v>
      </c>
      <c r="I1890" t="s">
        <v>31</v>
      </c>
    </row>
    <row r="1891" spans="1:9" x14ac:dyDescent="0.3">
      <c r="A1891" t="str">
        <f>"06391460"</f>
        <v>06391460</v>
      </c>
      <c r="B1891" t="s">
        <v>3987</v>
      </c>
      <c r="C1891" t="str">
        <f t="shared" si="130"/>
        <v>706</v>
      </c>
      <c r="D1891" t="s">
        <v>28</v>
      </c>
      <c r="E1891" t="s">
        <v>83</v>
      </c>
      <c r="F1891" t="s">
        <v>2423</v>
      </c>
      <c r="G1891" t="s">
        <v>3988</v>
      </c>
      <c r="H1891" t="str">
        <f t="shared" si="132"/>
        <v>9499</v>
      </c>
      <c r="I1891" t="s">
        <v>31</v>
      </c>
    </row>
    <row r="1892" spans="1:9" x14ac:dyDescent="0.3">
      <c r="A1892" t="str">
        <f>"04762754"</f>
        <v>04762754</v>
      </c>
      <c r="B1892" t="s">
        <v>3989</v>
      </c>
      <c r="C1892" t="str">
        <f t="shared" si="130"/>
        <v>706</v>
      </c>
      <c r="D1892" t="s">
        <v>28</v>
      </c>
      <c r="E1892" t="s">
        <v>83</v>
      </c>
      <c r="F1892" t="s">
        <v>83</v>
      </c>
      <c r="G1892" t="s">
        <v>767</v>
      </c>
      <c r="H1892" t="str">
        <f t="shared" si="132"/>
        <v>9499</v>
      </c>
      <c r="I1892" t="s">
        <v>31</v>
      </c>
    </row>
    <row r="1893" spans="1:9" x14ac:dyDescent="0.3">
      <c r="A1893" t="str">
        <f>"22858458"</f>
        <v>22858458</v>
      </c>
      <c r="B1893" t="s">
        <v>3990</v>
      </c>
      <c r="C1893" t="str">
        <f t="shared" si="130"/>
        <v>706</v>
      </c>
      <c r="D1893" t="s">
        <v>28</v>
      </c>
      <c r="E1893" t="s">
        <v>52</v>
      </c>
      <c r="F1893" t="s">
        <v>1676</v>
      </c>
      <c r="G1893" t="s">
        <v>3991</v>
      </c>
      <c r="H1893" t="str">
        <f t="shared" si="132"/>
        <v>9499</v>
      </c>
      <c r="I1893" t="s">
        <v>31</v>
      </c>
    </row>
    <row r="1894" spans="1:9" x14ac:dyDescent="0.3">
      <c r="A1894" t="str">
        <f>"49562878"</f>
        <v>49562878</v>
      </c>
      <c r="B1894" t="s">
        <v>3992</v>
      </c>
      <c r="C1894" t="str">
        <f t="shared" si="130"/>
        <v>706</v>
      </c>
      <c r="D1894" t="s">
        <v>28</v>
      </c>
      <c r="E1894" t="s">
        <v>29</v>
      </c>
      <c r="F1894" t="s">
        <v>38</v>
      </c>
      <c r="G1894" t="s">
        <v>3993</v>
      </c>
      <c r="H1894" t="str">
        <f t="shared" si="132"/>
        <v>9499</v>
      </c>
      <c r="I1894" t="s">
        <v>31</v>
      </c>
    </row>
    <row r="1895" spans="1:9" x14ac:dyDescent="0.3">
      <c r="A1895" t="str">
        <f>"22902741"</f>
        <v>22902741</v>
      </c>
      <c r="B1895" t="s">
        <v>3994</v>
      </c>
      <c r="C1895" t="str">
        <f t="shared" si="130"/>
        <v>706</v>
      </c>
      <c r="D1895" t="s">
        <v>28</v>
      </c>
      <c r="E1895" t="s">
        <v>23</v>
      </c>
      <c r="F1895" t="s">
        <v>3995</v>
      </c>
      <c r="G1895" t="s">
        <v>3996</v>
      </c>
      <c r="H1895" t="str">
        <f t="shared" si="132"/>
        <v>9499</v>
      </c>
      <c r="I1895" t="s">
        <v>31</v>
      </c>
    </row>
    <row r="1896" spans="1:9" x14ac:dyDescent="0.3">
      <c r="A1896" t="str">
        <f>"05717825"</f>
        <v>05717825</v>
      </c>
      <c r="B1896" t="s">
        <v>3997</v>
      </c>
      <c r="C1896" t="str">
        <f t="shared" si="130"/>
        <v>706</v>
      </c>
      <c r="D1896" t="s">
        <v>28</v>
      </c>
      <c r="E1896" t="s">
        <v>23</v>
      </c>
      <c r="F1896" t="s">
        <v>3995</v>
      </c>
      <c r="G1896" t="s">
        <v>3996</v>
      </c>
      <c r="H1896" t="str">
        <f t="shared" si="132"/>
        <v>9499</v>
      </c>
      <c r="I1896" t="s">
        <v>31</v>
      </c>
    </row>
    <row r="1897" spans="1:9" x14ac:dyDescent="0.3">
      <c r="A1897" t="str">
        <f>"06082254"</f>
        <v>06082254</v>
      </c>
      <c r="B1897" t="s">
        <v>3998</v>
      </c>
      <c r="C1897" t="str">
        <f t="shared" si="130"/>
        <v>706</v>
      </c>
      <c r="D1897" t="s">
        <v>28</v>
      </c>
      <c r="E1897" t="s">
        <v>52</v>
      </c>
      <c r="F1897" t="s">
        <v>796</v>
      </c>
      <c r="G1897" t="s">
        <v>797</v>
      </c>
      <c r="H1897" t="str">
        <f t="shared" si="132"/>
        <v>9499</v>
      </c>
      <c r="I1897" t="s">
        <v>31</v>
      </c>
    </row>
    <row r="1898" spans="1:9" x14ac:dyDescent="0.3">
      <c r="A1898" t="str">
        <f>"09711520"</f>
        <v>09711520</v>
      </c>
      <c r="B1898" t="s">
        <v>3999</v>
      </c>
      <c r="C1898" t="str">
        <f t="shared" si="130"/>
        <v>706</v>
      </c>
      <c r="D1898" t="s">
        <v>28</v>
      </c>
      <c r="E1898" t="s">
        <v>52</v>
      </c>
      <c r="F1898" t="s">
        <v>113</v>
      </c>
      <c r="G1898" t="s">
        <v>4000</v>
      </c>
      <c r="H1898" t="str">
        <f t="shared" si="132"/>
        <v>9499</v>
      </c>
      <c r="I1898" t="s">
        <v>31</v>
      </c>
    </row>
    <row r="1899" spans="1:9" x14ac:dyDescent="0.3">
      <c r="A1899" t="str">
        <f>"26600927"</f>
        <v>26600927</v>
      </c>
      <c r="B1899" t="s">
        <v>4001</v>
      </c>
      <c r="C1899" t="str">
        <f t="shared" si="130"/>
        <v>706</v>
      </c>
      <c r="D1899" t="s">
        <v>28</v>
      </c>
      <c r="E1899" t="s">
        <v>23</v>
      </c>
      <c r="F1899" t="s">
        <v>107</v>
      </c>
      <c r="G1899" t="s">
        <v>4002</v>
      </c>
      <c r="H1899" t="str">
        <f t="shared" si="132"/>
        <v>9499</v>
      </c>
      <c r="I1899" t="s">
        <v>31</v>
      </c>
    </row>
    <row r="1900" spans="1:9" x14ac:dyDescent="0.3">
      <c r="A1900" t="str">
        <f>"46307656"</f>
        <v>46307656</v>
      </c>
      <c r="B1900" t="s">
        <v>4003</v>
      </c>
      <c r="C1900" t="str">
        <f t="shared" si="130"/>
        <v>706</v>
      </c>
      <c r="D1900" t="s">
        <v>28</v>
      </c>
      <c r="E1900" t="s">
        <v>23</v>
      </c>
      <c r="F1900" t="s">
        <v>23</v>
      </c>
      <c r="G1900" t="s">
        <v>4004</v>
      </c>
      <c r="H1900" t="str">
        <f t="shared" si="132"/>
        <v>9499</v>
      </c>
      <c r="I1900" t="s">
        <v>31</v>
      </c>
    </row>
    <row r="1901" spans="1:9" x14ac:dyDescent="0.3">
      <c r="A1901" t="str">
        <f>"68688393"</f>
        <v>68688393</v>
      </c>
      <c r="B1901" t="s">
        <v>4005</v>
      </c>
      <c r="C1901" t="str">
        <f t="shared" si="130"/>
        <v>706</v>
      </c>
      <c r="D1901" t="s">
        <v>28</v>
      </c>
      <c r="E1901" t="s">
        <v>23</v>
      </c>
      <c r="F1901" t="s">
        <v>23</v>
      </c>
      <c r="G1901" t="s">
        <v>280</v>
      </c>
      <c r="H1901" t="str">
        <f>"90030"</f>
        <v>90030</v>
      </c>
      <c r="I1901" t="s">
        <v>1252</v>
      </c>
    </row>
    <row r="1902" spans="1:9" x14ac:dyDescent="0.3">
      <c r="A1902" t="str">
        <f>"70238651"</f>
        <v>70238651</v>
      </c>
      <c r="B1902" t="s">
        <v>4006</v>
      </c>
      <c r="C1902" t="str">
        <f t="shared" si="130"/>
        <v>706</v>
      </c>
      <c r="D1902" t="s">
        <v>28</v>
      </c>
      <c r="E1902" t="s">
        <v>29</v>
      </c>
      <c r="F1902" t="s">
        <v>38</v>
      </c>
      <c r="G1902" t="s">
        <v>4007</v>
      </c>
      <c r="H1902" t="str">
        <f>"93120"</f>
        <v>93120</v>
      </c>
      <c r="I1902" t="s">
        <v>54</v>
      </c>
    </row>
    <row r="1903" spans="1:9" x14ac:dyDescent="0.3">
      <c r="A1903" t="str">
        <f>"27045307"</f>
        <v>27045307</v>
      </c>
      <c r="B1903" t="s">
        <v>4008</v>
      </c>
      <c r="C1903" t="str">
        <f t="shared" si="130"/>
        <v>706</v>
      </c>
      <c r="D1903" t="s">
        <v>28</v>
      </c>
      <c r="E1903" t="s">
        <v>23</v>
      </c>
      <c r="F1903" t="s">
        <v>23</v>
      </c>
      <c r="G1903" t="s">
        <v>4009</v>
      </c>
      <c r="H1903" t="str">
        <f>"93110"</f>
        <v>93110</v>
      </c>
      <c r="I1903" t="s">
        <v>92</v>
      </c>
    </row>
    <row r="1904" spans="1:9" x14ac:dyDescent="0.3">
      <c r="A1904" t="str">
        <f>"22761578"</f>
        <v>22761578</v>
      </c>
      <c r="B1904" t="s">
        <v>4010</v>
      </c>
      <c r="C1904" t="str">
        <f t="shared" si="130"/>
        <v>706</v>
      </c>
      <c r="D1904" t="s">
        <v>28</v>
      </c>
      <c r="E1904" t="s">
        <v>23</v>
      </c>
      <c r="F1904" t="s">
        <v>23</v>
      </c>
      <c r="G1904" t="s">
        <v>4011</v>
      </c>
      <c r="H1904" t="str">
        <f>"93190"</f>
        <v>93190</v>
      </c>
      <c r="I1904" t="s">
        <v>59</v>
      </c>
    </row>
    <row r="1905" spans="1:9" x14ac:dyDescent="0.3">
      <c r="A1905" t="str">
        <f>"22712933"</f>
        <v>22712933</v>
      </c>
      <c r="B1905" t="s">
        <v>4012</v>
      </c>
      <c r="C1905" t="str">
        <f t="shared" si="130"/>
        <v>706</v>
      </c>
      <c r="D1905" t="s">
        <v>28</v>
      </c>
      <c r="E1905" t="s">
        <v>83</v>
      </c>
      <c r="F1905" t="s">
        <v>83</v>
      </c>
      <c r="G1905" t="s">
        <v>4013</v>
      </c>
      <c r="H1905" t="str">
        <f>"93190"</f>
        <v>93190</v>
      </c>
      <c r="I1905" t="s">
        <v>59</v>
      </c>
    </row>
    <row r="1906" spans="1:9" x14ac:dyDescent="0.3">
      <c r="A1906" t="str">
        <f>"22850571"</f>
        <v>22850571</v>
      </c>
      <c r="B1906" t="s">
        <v>4014</v>
      </c>
      <c r="C1906" t="str">
        <f t="shared" si="130"/>
        <v>706</v>
      </c>
      <c r="D1906" t="s">
        <v>28</v>
      </c>
      <c r="E1906" t="s">
        <v>83</v>
      </c>
      <c r="F1906" t="s">
        <v>83</v>
      </c>
      <c r="G1906" t="s">
        <v>4015</v>
      </c>
      <c r="H1906" t="str">
        <f>"93190"</f>
        <v>93190</v>
      </c>
      <c r="I1906" t="s">
        <v>59</v>
      </c>
    </row>
    <row r="1907" spans="1:9" x14ac:dyDescent="0.3">
      <c r="A1907" t="str">
        <f>"26533308"</f>
        <v>26533308</v>
      </c>
      <c r="B1907" t="s">
        <v>4016</v>
      </c>
      <c r="C1907" t="str">
        <f t="shared" si="130"/>
        <v>706</v>
      </c>
      <c r="D1907" t="s">
        <v>28</v>
      </c>
      <c r="E1907" t="s">
        <v>52</v>
      </c>
      <c r="F1907" t="s">
        <v>1788</v>
      </c>
      <c r="G1907" t="s">
        <v>4017</v>
      </c>
      <c r="H1907" t="str">
        <f>"9499"</f>
        <v>9499</v>
      </c>
      <c r="I1907" t="s">
        <v>31</v>
      </c>
    </row>
    <row r="1908" spans="1:9" x14ac:dyDescent="0.3">
      <c r="A1908" t="str">
        <f>"64422470"</f>
        <v>64422470</v>
      </c>
      <c r="B1908" t="s">
        <v>4018</v>
      </c>
      <c r="C1908" t="str">
        <f t="shared" si="130"/>
        <v>706</v>
      </c>
      <c r="D1908" t="s">
        <v>28</v>
      </c>
      <c r="E1908" t="s">
        <v>83</v>
      </c>
      <c r="F1908" t="s">
        <v>183</v>
      </c>
      <c r="G1908" t="s">
        <v>4019</v>
      </c>
      <c r="H1908" t="str">
        <f>"9499"</f>
        <v>9499</v>
      </c>
      <c r="I1908" t="s">
        <v>31</v>
      </c>
    </row>
    <row r="1909" spans="1:9" x14ac:dyDescent="0.3">
      <c r="A1909" t="str">
        <f>"19505396"</f>
        <v>19505396</v>
      </c>
      <c r="B1909" t="s">
        <v>4020</v>
      </c>
      <c r="C1909" t="str">
        <f t="shared" si="130"/>
        <v>706</v>
      </c>
      <c r="D1909" t="s">
        <v>28</v>
      </c>
      <c r="E1909" t="s">
        <v>52</v>
      </c>
      <c r="F1909" t="s">
        <v>2400</v>
      </c>
      <c r="G1909" t="s">
        <v>4021</v>
      </c>
      <c r="H1909" t="str">
        <f>"93120"</f>
        <v>93120</v>
      </c>
      <c r="I1909" t="s">
        <v>54</v>
      </c>
    </row>
    <row r="1910" spans="1:9" x14ac:dyDescent="0.3">
      <c r="A1910" t="str">
        <f>"08482730"</f>
        <v>08482730</v>
      </c>
      <c r="B1910" t="s">
        <v>4022</v>
      </c>
      <c r="C1910" t="str">
        <f t="shared" si="130"/>
        <v>706</v>
      </c>
      <c r="D1910" t="s">
        <v>28</v>
      </c>
      <c r="E1910" t="s">
        <v>83</v>
      </c>
      <c r="F1910" t="s">
        <v>1627</v>
      </c>
      <c r="G1910" t="s">
        <v>4023</v>
      </c>
      <c r="H1910" t="str">
        <f>"93190"</f>
        <v>93190</v>
      </c>
      <c r="I1910" t="s">
        <v>59</v>
      </c>
    </row>
    <row r="1911" spans="1:9" x14ac:dyDescent="0.3">
      <c r="A1911" t="str">
        <f>"22717072"</f>
        <v>22717072</v>
      </c>
      <c r="B1911" t="s">
        <v>4024</v>
      </c>
      <c r="C1911" t="str">
        <f t="shared" ref="C1911:C1925" si="133">"706"</f>
        <v>706</v>
      </c>
      <c r="D1911" t="s">
        <v>28</v>
      </c>
      <c r="E1911" t="s">
        <v>29</v>
      </c>
      <c r="F1911" t="s">
        <v>681</v>
      </c>
      <c r="G1911" t="s">
        <v>4025</v>
      </c>
      <c r="H1911" t="str">
        <f>"93120"</f>
        <v>93120</v>
      </c>
      <c r="I1911" t="s">
        <v>54</v>
      </c>
    </row>
    <row r="1912" spans="1:9" x14ac:dyDescent="0.3">
      <c r="A1912" t="str">
        <f>"06170501"</f>
        <v>06170501</v>
      </c>
      <c r="B1912" t="s">
        <v>4026</v>
      </c>
      <c r="C1912" t="str">
        <f t="shared" si="133"/>
        <v>706</v>
      </c>
      <c r="D1912" t="s">
        <v>28</v>
      </c>
      <c r="E1912" t="s">
        <v>29</v>
      </c>
      <c r="F1912" t="s">
        <v>29</v>
      </c>
      <c r="G1912" t="s">
        <v>4027</v>
      </c>
      <c r="H1912" t="str">
        <f>"93120"</f>
        <v>93120</v>
      </c>
      <c r="I1912" t="s">
        <v>54</v>
      </c>
    </row>
    <row r="1913" spans="1:9" x14ac:dyDescent="0.3">
      <c r="A1913" t="str">
        <f>"22864881"</f>
        <v>22864881</v>
      </c>
      <c r="B1913" t="s">
        <v>4028</v>
      </c>
      <c r="C1913" t="str">
        <f t="shared" si="133"/>
        <v>706</v>
      </c>
      <c r="D1913" t="s">
        <v>28</v>
      </c>
      <c r="E1913" t="s">
        <v>29</v>
      </c>
      <c r="F1913" t="s">
        <v>29</v>
      </c>
      <c r="G1913" t="s">
        <v>4029</v>
      </c>
      <c r="H1913" t="str">
        <f>"93110"</f>
        <v>93110</v>
      </c>
      <c r="I1913" t="s">
        <v>92</v>
      </c>
    </row>
    <row r="1914" spans="1:9" x14ac:dyDescent="0.3">
      <c r="A1914" t="str">
        <f>"27034941"</f>
        <v>27034941</v>
      </c>
      <c r="B1914" t="s">
        <v>4030</v>
      </c>
      <c r="C1914" t="str">
        <f t="shared" si="133"/>
        <v>706</v>
      </c>
      <c r="D1914" t="s">
        <v>28</v>
      </c>
      <c r="E1914" t="s">
        <v>83</v>
      </c>
      <c r="F1914" t="s">
        <v>83</v>
      </c>
      <c r="G1914" t="s">
        <v>4031</v>
      </c>
      <c r="H1914" t="str">
        <f>"94996"</f>
        <v>94996</v>
      </c>
      <c r="I1914" t="s">
        <v>47</v>
      </c>
    </row>
    <row r="1915" spans="1:9" x14ac:dyDescent="0.3">
      <c r="A1915" t="str">
        <f>"61715808"</f>
        <v>61715808</v>
      </c>
      <c r="B1915" t="s">
        <v>4032</v>
      </c>
      <c r="C1915" t="str">
        <f t="shared" si="133"/>
        <v>706</v>
      </c>
      <c r="D1915" t="s">
        <v>28</v>
      </c>
      <c r="E1915" t="s">
        <v>23</v>
      </c>
      <c r="F1915" t="s">
        <v>23</v>
      </c>
      <c r="G1915" t="s">
        <v>4033</v>
      </c>
      <c r="H1915" t="str">
        <f>"94"</f>
        <v>94</v>
      </c>
      <c r="I1915" t="s">
        <v>1016</v>
      </c>
    </row>
    <row r="1916" spans="1:9" x14ac:dyDescent="0.3">
      <c r="A1916" t="str">
        <f>"60383151"</f>
        <v>60383151</v>
      </c>
      <c r="B1916" t="s">
        <v>4034</v>
      </c>
      <c r="C1916" t="str">
        <f t="shared" si="133"/>
        <v>706</v>
      </c>
      <c r="D1916" t="s">
        <v>28</v>
      </c>
      <c r="E1916" t="s">
        <v>83</v>
      </c>
      <c r="F1916" t="s">
        <v>217</v>
      </c>
      <c r="G1916" t="s">
        <v>4035</v>
      </c>
      <c r="H1916" t="str">
        <f>"93120"</f>
        <v>93120</v>
      </c>
      <c r="I1916" t="s">
        <v>54</v>
      </c>
    </row>
    <row r="1917" spans="1:9" x14ac:dyDescent="0.3">
      <c r="A1917" t="str">
        <f>"26993848"</f>
        <v>26993848</v>
      </c>
      <c r="B1917" t="s">
        <v>4036</v>
      </c>
      <c r="C1917" t="str">
        <f t="shared" si="133"/>
        <v>706</v>
      </c>
      <c r="D1917" t="s">
        <v>28</v>
      </c>
      <c r="E1917" t="s">
        <v>52</v>
      </c>
      <c r="F1917" t="s">
        <v>612</v>
      </c>
      <c r="G1917" t="s">
        <v>1643</v>
      </c>
      <c r="H1917" t="str">
        <f>"93110"</f>
        <v>93110</v>
      </c>
      <c r="I1917" t="s">
        <v>92</v>
      </c>
    </row>
    <row r="1918" spans="1:9" x14ac:dyDescent="0.3">
      <c r="A1918" t="str">
        <f>"70892555"</f>
        <v>70892555</v>
      </c>
      <c r="B1918" t="s">
        <v>4037</v>
      </c>
      <c r="C1918" t="str">
        <f t="shared" si="133"/>
        <v>706</v>
      </c>
      <c r="D1918" t="s">
        <v>28</v>
      </c>
      <c r="E1918" t="s">
        <v>23</v>
      </c>
      <c r="F1918" t="s">
        <v>23</v>
      </c>
      <c r="G1918" t="s">
        <v>4038</v>
      </c>
      <c r="H1918" t="str">
        <f>"93120"</f>
        <v>93120</v>
      </c>
      <c r="I1918" t="s">
        <v>54</v>
      </c>
    </row>
    <row r="1919" spans="1:9" x14ac:dyDescent="0.3">
      <c r="A1919" t="str">
        <f>"26524538"</f>
        <v>26524538</v>
      </c>
      <c r="B1919" t="s">
        <v>4039</v>
      </c>
      <c r="C1919" t="str">
        <f t="shared" si="133"/>
        <v>706</v>
      </c>
      <c r="D1919" t="s">
        <v>28</v>
      </c>
      <c r="E1919" t="s">
        <v>23</v>
      </c>
      <c r="F1919" t="s">
        <v>23</v>
      </c>
      <c r="G1919" t="s">
        <v>4040</v>
      </c>
      <c r="H1919" t="str">
        <f>"9499"</f>
        <v>9499</v>
      </c>
      <c r="I1919" t="s">
        <v>31</v>
      </c>
    </row>
    <row r="1920" spans="1:9" x14ac:dyDescent="0.3">
      <c r="A1920" t="str">
        <f>"22880909"</f>
        <v>22880909</v>
      </c>
      <c r="B1920" t="s">
        <v>4041</v>
      </c>
      <c r="C1920" t="str">
        <f t="shared" si="133"/>
        <v>706</v>
      </c>
      <c r="D1920" t="s">
        <v>28</v>
      </c>
      <c r="E1920" t="s">
        <v>52</v>
      </c>
      <c r="F1920" t="s">
        <v>234</v>
      </c>
      <c r="G1920" t="s">
        <v>4042</v>
      </c>
      <c r="H1920" t="str">
        <f>"9499"</f>
        <v>9499</v>
      </c>
      <c r="I1920" t="s">
        <v>31</v>
      </c>
    </row>
    <row r="1921" spans="1:9" x14ac:dyDescent="0.3">
      <c r="A1921" t="str">
        <f>"22679669"</f>
        <v>22679669</v>
      </c>
      <c r="B1921" t="s">
        <v>4043</v>
      </c>
      <c r="C1921" t="str">
        <f t="shared" si="133"/>
        <v>706</v>
      </c>
      <c r="D1921" t="s">
        <v>28</v>
      </c>
      <c r="E1921" t="s">
        <v>83</v>
      </c>
      <c r="F1921" t="s">
        <v>183</v>
      </c>
      <c r="G1921" t="s">
        <v>3155</v>
      </c>
      <c r="H1921" t="str">
        <f>"9499"</f>
        <v>9499</v>
      </c>
      <c r="I1921" t="s">
        <v>31</v>
      </c>
    </row>
    <row r="1922" spans="1:9" x14ac:dyDescent="0.3">
      <c r="A1922" t="str">
        <f>"47934778"</f>
        <v>47934778</v>
      </c>
      <c r="B1922" t="s">
        <v>4044</v>
      </c>
      <c r="C1922" t="str">
        <f t="shared" si="133"/>
        <v>706</v>
      </c>
      <c r="D1922" t="s">
        <v>28</v>
      </c>
      <c r="E1922" t="s">
        <v>83</v>
      </c>
      <c r="F1922" t="s">
        <v>83</v>
      </c>
      <c r="G1922" t="s">
        <v>4045</v>
      </c>
      <c r="H1922" t="str">
        <f>"93290"</f>
        <v>93290</v>
      </c>
      <c r="I1922" t="s">
        <v>126</v>
      </c>
    </row>
    <row r="1923" spans="1:9" x14ac:dyDescent="0.3">
      <c r="A1923" t="str">
        <f>"16360851"</f>
        <v>16360851</v>
      </c>
      <c r="B1923" t="s">
        <v>4046</v>
      </c>
      <c r="C1923" t="str">
        <f t="shared" si="133"/>
        <v>706</v>
      </c>
      <c r="D1923" t="s">
        <v>28</v>
      </c>
      <c r="E1923" t="s">
        <v>52</v>
      </c>
      <c r="F1923" t="s">
        <v>52</v>
      </c>
      <c r="G1923" t="s">
        <v>4047</v>
      </c>
      <c r="H1923" t="str">
        <f>"93120"</f>
        <v>93120</v>
      </c>
      <c r="I1923" t="s">
        <v>54</v>
      </c>
    </row>
    <row r="1924" spans="1:9" x14ac:dyDescent="0.3">
      <c r="A1924" t="str">
        <f>"26629992"</f>
        <v>26629992</v>
      </c>
      <c r="B1924" t="s">
        <v>4048</v>
      </c>
      <c r="C1924" t="str">
        <f t="shared" si="133"/>
        <v>706</v>
      </c>
      <c r="D1924" t="s">
        <v>28</v>
      </c>
      <c r="E1924" t="s">
        <v>23</v>
      </c>
      <c r="F1924" t="s">
        <v>68</v>
      </c>
      <c r="G1924" t="s">
        <v>4049</v>
      </c>
      <c r="H1924" t="str">
        <f>"93110"</f>
        <v>93110</v>
      </c>
      <c r="I1924" t="s">
        <v>92</v>
      </c>
    </row>
    <row r="1925" spans="1:9" x14ac:dyDescent="0.3">
      <c r="A1925" t="str">
        <f>"65842219"</f>
        <v>65842219</v>
      </c>
      <c r="B1925" t="s">
        <v>4050</v>
      </c>
      <c r="C1925" t="str">
        <f t="shared" si="133"/>
        <v>706</v>
      </c>
      <c r="D1925" t="s">
        <v>28</v>
      </c>
      <c r="E1925" t="s">
        <v>83</v>
      </c>
      <c r="F1925" t="s">
        <v>175</v>
      </c>
      <c r="G1925" t="s">
        <v>175</v>
      </c>
      <c r="H1925" t="str">
        <f>"9499"</f>
        <v>9499</v>
      </c>
      <c r="I1925" t="s">
        <v>31</v>
      </c>
    </row>
    <row r="1926" spans="1:9" x14ac:dyDescent="0.3">
      <c r="A1926" t="str">
        <f>"66934770"</f>
        <v>66934770</v>
      </c>
      <c r="B1926" t="s">
        <v>4051</v>
      </c>
      <c r="C1926" t="str">
        <f t="shared" ref="C1926:C1941" si="134">"736"</f>
        <v>736</v>
      </c>
      <c r="D1926" t="s">
        <v>22</v>
      </c>
      <c r="E1926" t="s">
        <v>29</v>
      </c>
      <c r="F1926" t="s">
        <v>45</v>
      </c>
      <c r="G1926" t="s">
        <v>45</v>
      </c>
      <c r="H1926" t="str">
        <f>"93110"</f>
        <v>93110</v>
      </c>
      <c r="I1926" t="s">
        <v>92</v>
      </c>
    </row>
    <row r="1927" spans="1:9" x14ac:dyDescent="0.3">
      <c r="A1927" t="str">
        <f>"71160531"</f>
        <v>71160531</v>
      </c>
      <c r="B1927" t="s">
        <v>4052</v>
      </c>
      <c r="C1927" t="str">
        <f t="shared" si="134"/>
        <v>736</v>
      </c>
      <c r="D1927" t="s">
        <v>22</v>
      </c>
      <c r="E1927" t="s">
        <v>52</v>
      </c>
      <c r="F1927" t="s">
        <v>631</v>
      </c>
      <c r="G1927" t="s">
        <v>1969</v>
      </c>
      <c r="H1927" t="str">
        <f>"931"</f>
        <v>931</v>
      </c>
      <c r="I1927" t="s">
        <v>26</v>
      </c>
    </row>
    <row r="1928" spans="1:9" x14ac:dyDescent="0.3">
      <c r="A1928" t="str">
        <f>"65469356"</f>
        <v>65469356</v>
      </c>
      <c r="B1928" t="s">
        <v>4053</v>
      </c>
      <c r="C1928" t="str">
        <f t="shared" si="134"/>
        <v>736</v>
      </c>
      <c r="D1928" t="s">
        <v>22</v>
      </c>
      <c r="E1928" t="s">
        <v>29</v>
      </c>
      <c r="F1928" t="s">
        <v>117</v>
      </c>
      <c r="G1928" t="s">
        <v>4054</v>
      </c>
      <c r="H1928" t="str">
        <f>"93120"</f>
        <v>93120</v>
      </c>
      <c r="I1928" t="s">
        <v>54</v>
      </c>
    </row>
    <row r="1929" spans="1:9" x14ac:dyDescent="0.3">
      <c r="A1929" t="str">
        <f>"64467023"</f>
        <v>64467023</v>
      </c>
      <c r="B1929" t="s">
        <v>4055</v>
      </c>
      <c r="C1929" t="str">
        <f t="shared" si="134"/>
        <v>736</v>
      </c>
      <c r="D1929" t="s">
        <v>22</v>
      </c>
      <c r="E1929" t="s">
        <v>23</v>
      </c>
      <c r="F1929" t="s">
        <v>1418</v>
      </c>
      <c r="G1929" t="s">
        <v>4056</v>
      </c>
      <c r="H1929" t="str">
        <f>"93110"</f>
        <v>93110</v>
      </c>
      <c r="I1929" t="s">
        <v>92</v>
      </c>
    </row>
    <row r="1930" spans="1:9" x14ac:dyDescent="0.3">
      <c r="A1930" t="str">
        <f>"65270398"</f>
        <v>65270398</v>
      </c>
      <c r="B1930" t="s">
        <v>4057</v>
      </c>
      <c r="C1930" t="str">
        <f t="shared" si="134"/>
        <v>736</v>
      </c>
      <c r="D1930" t="s">
        <v>22</v>
      </c>
      <c r="E1930" t="s">
        <v>83</v>
      </c>
      <c r="F1930" t="s">
        <v>230</v>
      </c>
      <c r="G1930" t="s">
        <v>4058</v>
      </c>
      <c r="H1930" t="str">
        <f>"9499"</f>
        <v>9499</v>
      </c>
      <c r="I1930" t="s">
        <v>31</v>
      </c>
    </row>
    <row r="1931" spans="1:9" x14ac:dyDescent="0.3">
      <c r="A1931" t="str">
        <f>"65270380"</f>
        <v>65270380</v>
      </c>
      <c r="B1931" t="s">
        <v>4059</v>
      </c>
      <c r="C1931" t="str">
        <f t="shared" si="134"/>
        <v>736</v>
      </c>
      <c r="D1931" t="s">
        <v>22</v>
      </c>
      <c r="E1931" t="s">
        <v>83</v>
      </c>
      <c r="F1931" t="s">
        <v>83</v>
      </c>
      <c r="G1931" t="s">
        <v>4060</v>
      </c>
      <c r="H1931" t="str">
        <f>"9499"</f>
        <v>9499</v>
      </c>
      <c r="I1931" t="s">
        <v>31</v>
      </c>
    </row>
    <row r="1932" spans="1:9" x14ac:dyDescent="0.3">
      <c r="A1932" t="str">
        <f>"70875774"</f>
        <v>70875774</v>
      </c>
      <c r="B1932" t="s">
        <v>4061</v>
      </c>
      <c r="C1932" t="str">
        <f t="shared" si="134"/>
        <v>736</v>
      </c>
      <c r="D1932" t="s">
        <v>22</v>
      </c>
      <c r="E1932" t="s">
        <v>83</v>
      </c>
      <c r="F1932" t="s">
        <v>409</v>
      </c>
      <c r="G1932" t="s">
        <v>4062</v>
      </c>
      <c r="H1932" t="str">
        <f>"93110"</f>
        <v>93110</v>
      </c>
      <c r="I1932" t="s">
        <v>92</v>
      </c>
    </row>
    <row r="1933" spans="1:9" x14ac:dyDescent="0.3">
      <c r="A1933" t="str">
        <f>"66598664"</f>
        <v>66598664</v>
      </c>
      <c r="B1933" t="s">
        <v>4063</v>
      </c>
      <c r="C1933" t="str">
        <f t="shared" si="134"/>
        <v>736</v>
      </c>
      <c r="D1933" t="s">
        <v>22</v>
      </c>
      <c r="E1933" t="s">
        <v>23</v>
      </c>
      <c r="F1933" t="s">
        <v>306</v>
      </c>
      <c r="G1933" t="s">
        <v>307</v>
      </c>
      <c r="H1933" t="str">
        <f>"93110"</f>
        <v>93110</v>
      </c>
      <c r="I1933" t="s">
        <v>92</v>
      </c>
    </row>
    <row r="1934" spans="1:9" x14ac:dyDescent="0.3">
      <c r="A1934" t="str">
        <f>"64467007"</f>
        <v>64467007</v>
      </c>
      <c r="B1934" t="s">
        <v>4064</v>
      </c>
      <c r="C1934" t="str">
        <f t="shared" si="134"/>
        <v>736</v>
      </c>
      <c r="D1934" t="s">
        <v>22</v>
      </c>
      <c r="E1934" t="s">
        <v>23</v>
      </c>
      <c r="F1934" t="s">
        <v>141</v>
      </c>
      <c r="G1934" t="s">
        <v>523</v>
      </c>
      <c r="H1934" t="str">
        <f>"93110"</f>
        <v>93110</v>
      </c>
      <c r="I1934" t="s">
        <v>92</v>
      </c>
    </row>
    <row r="1935" spans="1:9" x14ac:dyDescent="0.3">
      <c r="A1935" t="str">
        <f>"64124169"</f>
        <v>64124169</v>
      </c>
      <c r="B1935" t="s">
        <v>4065</v>
      </c>
      <c r="C1935" t="str">
        <f t="shared" si="134"/>
        <v>736</v>
      </c>
      <c r="D1935" t="s">
        <v>22</v>
      </c>
      <c r="E1935" t="s">
        <v>29</v>
      </c>
      <c r="F1935" t="s">
        <v>38</v>
      </c>
      <c r="G1935" t="s">
        <v>4066</v>
      </c>
      <c r="H1935" t="str">
        <f>"9499"</f>
        <v>9499</v>
      </c>
      <c r="I1935" t="s">
        <v>31</v>
      </c>
    </row>
    <row r="1936" spans="1:9" x14ac:dyDescent="0.3">
      <c r="A1936" t="str">
        <f>"62832557"</f>
        <v>62832557</v>
      </c>
      <c r="B1936" t="s">
        <v>4067</v>
      </c>
      <c r="C1936" t="str">
        <f t="shared" si="134"/>
        <v>736</v>
      </c>
      <c r="D1936" t="s">
        <v>22</v>
      </c>
      <c r="E1936" t="s">
        <v>52</v>
      </c>
      <c r="F1936" t="s">
        <v>927</v>
      </c>
      <c r="G1936" t="s">
        <v>4068</v>
      </c>
      <c r="H1936" t="str">
        <f>"9499"</f>
        <v>9499</v>
      </c>
      <c r="I1936" t="s">
        <v>31</v>
      </c>
    </row>
    <row r="1937" spans="1:10" x14ac:dyDescent="0.3">
      <c r="A1937" t="str">
        <f>"65469615"</f>
        <v>65469615</v>
      </c>
      <c r="B1937" t="s">
        <v>4069</v>
      </c>
      <c r="C1937" t="str">
        <f t="shared" si="134"/>
        <v>736</v>
      </c>
      <c r="D1937" t="s">
        <v>22</v>
      </c>
      <c r="E1937" t="s">
        <v>29</v>
      </c>
      <c r="F1937" t="s">
        <v>195</v>
      </c>
      <c r="G1937" t="s">
        <v>4070</v>
      </c>
      <c r="H1937" t="str">
        <f>"93120"</f>
        <v>93120</v>
      </c>
      <c r="I1937" t="s">
        <v>54</v>
      </c>
    </row>
    <row r="1938" spans="1:10" x14ac:dyDescent="0.3">
      <c r="A1938" t="str">
        <f>"64123600"</f>
        <v>64123600</v>
      </c>
      <c r="B1938" t="s">
        <v>4071</v>
      </c>
      <c r="C1938" t="str">
        <f t="shared" si="134"/>
        <v>736</v>
      </c>
      <c r="D1938" t="s">
        <v>22</v>
      </c>
      <c r="E1938" t="s">
        <v>29</v>
      </c>
      <c r="F1938" t="s">
        <v>195</v>
      </c>
      <c r="G1938" t="s">
        <v>4072</v>
      </c>
      <c r="H1938" t="str">
        <f>"9499"</f>
        <v>9499</v>
      </c>
      <c r="I1938" t="s">
        <v>31</v>
      </c>
    </row>
    <row r="1939" spans="1:10" x14ac:dyDescent="0.3">
      <c r="A1939" t="str">
        <f>"72057017"</f>
        <v>72057017</v>
      </c>
      <c r="B1939" t="s">
        <v>4073</v>
      </c>
      <c r="C1939" t="str">
        <f t="shared" si="134"/>
        <v>736</v>
      </c>
      <c r="D1939" t="s">
        <v>22</v>
      </c>
      <c r="E1939" t="s">
        <v>83</v>
      </c>
      <c r="F1939" t="s">
        <v>83</v>
      </c>
      <c r="G1939" t="s">
        <v>4074</v>
      </c>
      <c r="H1939" t="str">
        <f>"93110"</f>
        <v>93110</v>
      </c>
      <c r="I1939" t="s">
        <v>92</v>
      </c>
    </row>
    <row r="1940" spans="1:10" x14ac:dyDescent="0.3">
      <c r="A1940" t="str">
        <f>"64124177"</f>
        <v>64124177</v>
      </c>
      <c r="B1940" t="s">
        <v>4075</v>
      </c>
      <c r="C1940" t="str">
        <f t="shared" si="134"/>
        <v>736</v>
      </c>
      <c r="D1940" t="s">
        <v>22</v>
      </c>
      <c r="E1940" t="s">
        <v>29</v>
      </c>
      <c r="F1940" t="s">
        <v>574</v>
      </c>
      <c r="G1940" t="s">
        <v>4076</v>
      </c>
      <c r="H1940" t="str">
        <f>"93120"</f>
        <v>93120</v>
      </c>
      <c r="I1940" t="s">
        <v>54</v>
      </c>
    </row>
    <row r="1941" spans="1:10" x14ac:dyDescent="0.3">
      <c r="A1941" t="str">
        <f>"64124151"</f>
        <v>64124151</v>
      </c>
      <c r="B1941" t="s">
        <v>4077</v>
      </c>
      <c r="C1941" t="str">
        <f t="shared" si="134"/>
        <v>736</v>
      </c>
      <c r="D1941" t="s">
        <v>22</v>
      </c>
      <c r="E1941" t="s">
        <v>29</v>
      </c>
      <c r="F1941" t="s">
        <v>117</v>
      </c>
      <c r="G1941" t="s">
        <v>4078</v>
      </c>
      <c r="H1941" t="str">
        <f t="shared" ref="H1941:H1950" si="135">"9499"</f>
        <v>9499</v>
      </c>
      <c r="I1941" t="s">
        <v>31</v>
      </c>
      <c r="J1941" t="s">
        <v>26</v>
      </c>
    </row>
    <row r="1942" spans="1:10" x14ac:dyDescent="0.3">
      <c r="A1942" t="str">
        <f>"22880119"</f>
        <v>22880119</v>
      </c>
      <c r="B1942" t="s">
        <v>4079</v>
      </c>
      <c r="C1942" t="str">
        <f t="shared" ref="C1942:C1955" si="136">"706"</f>
        <v>706</v>
      </c>
      <c r="D1942" t="s">
        <v>28</v>
      </c>
      <c r="E1942" t="s">
        <v>83</v>
      </c>
      <c r="F1942" t="s">
        <v>175</v>
      </c>
      <c r="G1942" t="s">
        <v>4080</v>
      </c>
      <c r="H1942" t="str">
        <f t="shared" si="135"/>
        <v>9499</v>
      </c>
      <c r="I1942" t="s">
        <v>31</v>
      </c>
    </row>
    <row r="1943" spans="1:10" x14ac:dyDescent="0.3">
      <c r="A1943" t="str">
        <f>"26523248"</f>
        <v>26523248</v>
      </c>
      <c r="B1943" t="s">
        <v>4081</v>
      </c>
      <c r="C1943" t="str">
        <f t="shared" si="136"/>
        <v>706</v>
      </c>
      <c r="D1943" t="s">
        <v>28</v>
      </c>
      <c r="E1943" t="s">
        <v>52</v>
      </c>
      <c r="F1943" t="s">
        <v>379</v>
      </c>
      <c r="G1943" t="s">
        <v>4082</v>
      </c>
      <c r="H1943" t="str">
        <f t="shared" si="135"/>
        <v>9499</v>
      </c>
      <c r="I1943" t="s">
        <v>31</v>
      </c>
    </row>
    <row r="1944" spans="1:10" x14ac:dyDescent="0.3">
      <c r="A1944" t="str">
        <f>"04767845"</f>
        <v>04767845</v>
      </c>
      <c r="B1944" t="s">
        <v>4083</v>
      </c>
      <c r="C1944" t="str">
        <f t="shared" si="136"/>
        <v>706</v>
      </c>
      <c r="D1944" t="s">
        <v>28</v>
      </c>
      <c r="E1944" t="s">
        <v>23</v>
      </c>
      <c r="F1944" t="s">
        <v>24</v>
      </c>
      <c r="G1944" t="s">
        <v>4084</v>
      </c>
      <c r="H1944" t="str">
        <f t="shared" si="135"/>
        <v>9499</v>
      </c>
      <c r="I1944" t="s">
        <v>31</v>
      </c>
    </row>
    <row r="1945" spans="1:10" x14ac:dyDescent="0.3">
      <c r="A1945" t="str">
        <f>"26586525"</f>
        <v>26586525</v>
      </c>
      <c r="B1945" t="s">
        <v>4085</v>
      </c>
      <c r="C1945" t="str">
        <f t="shared" si="136"/>
        <v>706</v>
      </c>
      <c r="D1945" t="s">
        <v>28</v>
      </c>
      <c r="E1945" t="s">
        <v>83</v>
      </c>
      <c r="F1945" t="s">
        <v>175</v>
      </c>
      <c r="G1945" t="s">
        <v>435</v>
      </c>
      <c r="H1945" t="str">
        <f t="shared" si="135"/>
        <v>9499</v>
      </c>
      <c r="I1945" t="s">
        <v>31</v>
      </c>
    </row>
    <row r="1946" spans="1:10" x14ac:dyDescent="0.3">
      <c r="A1946" t="str">
        <f>"22899901"</f>
        <v>22899901</v>
      </c>
      <c r="B1946" t="s">
        <v>4086</v>
      </c>
      <c r="C1946" t="str">
        <f t="shared" si="136"/>
        <v>706</v>
      </c>
      <c r="D1946" t="s">
        <v>28</v>
      </c>
      <c r="E1946" t="s">
        <v>23</v>
      </c>
      <c r="F1946" t="s">
        <v>23</v>
      </c>
      <c r="G1946" t="s">
        <v>4087</v>
      </c>
      <c r="H1946" t="str">
        <f t="shared" si="135"/>
        <v>9499</v>
      </c>
      <c r="I1946" t="s">
        <v>31</v>
      </c>
    </row>
    <row r="1947" spans="1:10" x14ac:dyDescent="0.3">
      <c r="A1947" t="str">
        <f>"27035913"</f>
        <v>27035913</v>
      </c>
      <c r="B1947" t="s">
        <v>4088</v>
      </c>
      <c r="C1947" t="str">
        <f t="shared" si="136"/>
        <v>706</v>
      </c>
      <c r="D1947" t="s">
        <v>28</v>
      </c>
      <c r="E1947" t="s">
        <v>23</v>
      </c>
      <c r="F1947" t="s">
        <v>350</v>
      </c>
      <c r="G1947" t="s">
        <v>4089</v>
      </c>
      <c r="H1947" t="str">
        <f t="shared" si="135"/>
        <v>9499</v>
      </c>
      <c r="I1947" t="s">
        <v>31</v>
      </c>
    </row>
    <row r="1948" spans="1:10" x14ac:dyDescent="0.3">
      <c r="A1948" t="str">
        <f>"05779685"</f>
        <v>05779685</v>
      </c>
      <c r="B1948" t="s">
        <v>4090</v>
      </c>
      <c r="C1948" t="str">
        <f t="shared" si="136"/>
        <v>706</v>
      </c>
      <c r="D1948" t="s">
        <v>28</v>
      </c>
      <c r="E1948" t="s">
        <v>23</v>
      </c>
      <c r="F1948" t="s">
        <v>107</v>
      </c>
      <c r="G1948" t="s">
        <v>4091</v>
      </c>
      <c r="H1948" t="str">
        <f t="shared" si="135"/>
        <v>9499</v>
      </c>
      <c r="I1948" t="s">
        <v>31</v>
      </c>
    </row>
    <row r="1949" spans="1:10" x14ac:dyDescent="0.3">
      <c r="A1949" t="str">
        <f>"05926530"</f>
        <v>05926530</v>
      </c>
      <c r="B1949" t="s">
        <v>4092</v>
      </c>
      <c r="C1949" t="str">
        <f t="shared" si="136"/>
        <v>706</v>
      </c>
      <c r="D1949" t="s">
        <v>28</v>
      </c>
      <c r="E1949" t="s">
        <v>23</v>
      </c>
      <c r="F1949" t="s">
        <v>23</v>
      </c>
      <c r="G1949" t="s">
        <v>4093</v>
      </c>
      <c r="H1949" t="str">
        <f t="shared" si="135"/>
        <v>9499</v>
      </c>
      <c r="I1949" t="s">
        <v>31</v>
      </c>
    </row>
    <row r="1950" spans="1:10" x14ac:dyDescent="0.3">
      <c r="A1950" t="str">
        <f>"27025519"</f>
        <v>27025519</v>
      </c>
      <c r="B1950" t="s">
        <v>4094</v>
      </c>
      <c r="C1950" t="str">
        <f t="shared" si="136"/>
        <v>706</v>
      </c>
      <c r="D1950" t="s">
        <v>28</v>
      </c>
      <c r="E1950" t="s">
        <v>23</v>
      </c>
      <c r="F1950" t="s">
        <v>23</v>
      </c>
      <c r="G1950" t="s">
        <v>1069</v>
      </c>
      <c r="H1950" t="str">
        <f t="shared" si="135"/>
        <v>9499</v>
      </c>
      <c r="I1950" t="s">
        <v>31</v>
      </c>
    </row>
    <row r="1951" spans="1:10" x14ac:dyDescent="0.3">
      <c r="A1951" t="str">
        <f>"70897905"</f>
        <v>70897905</v>
      </c>
      <c r="B1951" t="s">
        <v>4095</v>
      </c>
      <c r="C1951" t="str">
        <f t="shared" si="136"/>
        <v>706</v>
      </c>
      <c r="D1951" t="s">
        <v>28</v>
      </c>
      <c r="E1951" t="s">
        <v>83</v>
      </c>
      <c r="F1951" t="s">
        <v>183</v>
      </c>
      <c r="G1951" t="s">
        <v>4096</v>
      </c>
      <c r="H1951" t="str">
        <f>"93120"</f>
        <v>93120</v>
      </c>
      <c r="I1951" t="s">
        <v>54</v>
      </c>
    </row>
    <row r="1952" spans="1:10" x14ac:dyDescent="0.3">
      <c r="A1952" t="str">
        <f>"26581981"</f>
        <v>26581981</v>
      </c>
      <c r="B1952" t="s">
        <v>4097</v>
      </c>
      <c r="C1952" t="str">
        <f t="shared" si="136"/>
        <v>706</v>
      </c>
      <c r="D1952" t="s">
        <v>28</v>
      </c>
      <c r="E1952" t="s">
        <v>83</v>
      </c>
      <c r="F1952" t="s">
        <v>183</v>
      </c>
      <c r="G1952" t="s">
        <v>4098</v>
      </c>
      <c r="H1952" t="str">
        <f>"9499"</f>
        <v>9499</v>
      </c>
      <c r="I1952" t="s">
        <v>31</v>
      </c>
    </row>
    <row r="1953" spans="1:9" x14ac:dyDescent="0.3">
      <c r="A1953" t="str">
        <f>"22813489"</f>
        <v>22813489</v>
      </c>
      <c r="B1953" t="s">
        <v>4099</v>
      </c>
      <c r="C1953" t="str">
        <f t="shared" si="136"/>
        <v>706</v>
      </c>
      <c r="D1953" t="s">
        <v>28</v>
      </c>
      <c r="E1953" t="s">
        <v>83</v>
      </c>
      <c r="F1953" t="s">
        <v>873</v>
      </c>
      <c r="G1953" t="s">
        <v>4100</v>
      </c>
      <c r="H1953" t="str">
        <f>"9499"</f>
        <v>9499</v>
      </c>
      <c r="I1953" t="s">
        <v>31</v>
      </c>
    </row>
    <row r="1954" spans="1:9" x14ac:dyDescent="0.3">
      <c r="A1954" t="str">
        <f>"68684444"</f>
        <v>68684444</v>
      </c>
      <c r="B1954" t="s">
        <v>4101</v>
      </c>
      <c r="C1954" t="str">
        <f t="shared" si="136"/>
        <v>706</v>
      </c>
      <c r="D1954" t="s">
        <v>28</v>
      </c>
      <c r="E1954" t="s">
        <v>23</v>
      </c>
      <c r="F1954" t="s">
        <v>23</v>
      </c>
      <c r="G1954" t="s">
        <v>4102</v>
      </c>
      <c r="H1954" t="str">
        <f>"9499"</f>
        <v>9499</v>
      </c>
      <c r="I1954" t="s">
        <v>31</v>
      </c>
    </row>
    <row r="1955" spans="1:9" x14ac:dyDescent="0.3">
      <c r="A1955" t="str">
        <f>"14435420"</f>
        <v>14435420</v>
      </c>
      <c r="B1955" t="s">
        <v>4103</v>
      </c>
      <c r="C1955" t="str">
        <f t="shared" si="136"/>
        <v>706</v>
      </c>
      <c r="D1955" t="s">
        <v>28</v>
      </c>
      <c r="E1955" t="s">
        <v>29</v>
      </c>
      <c r="F1955" t="s">
        <v>29</v>
      </c>
      <c r="G1955" t="s">
        <v>4104</v>
      </c>
      <c r="H1955" t="str">
        <f>"94999"</f>
        <v>94999</v>
      </c>
      <c r="I1955" t="s">
        <v>202</v>
      </c>
    </row>
    <row r="1956" spans="1:9" x14ac:dyDescent="0.3">
      <c r="A1956" t="str">
        <f>"65792904"</f>
        <v>65792904</v>
      </c>
      <c r="B1956" t="s">
        <v>4105</v>
      </c>
      <c r="C1956" t="str">
        <f>"736"</f>
        <v>736</v>
      </c>
      <c r="D1956" t="s">
        <v>22</v>
      </c>
      <c r="E1956" t="s">
        <v>23</v>
      </c>
      <c r="F1956" t="s">
        <v>23</v>
      </c>
      <c r="G1956" t="s">
        <v>3910</v>
      </c>
      <c r="H1956" t="str">
        <f t="shared" ref="H1956:H1962" si="137">"9499"</f>
        <v>9499</v>
      </c>
      <c r="I1956" t="s">
        <v>31</v>
      </c>
    </row>
    <row r="1957" spans="1:9" x14ac:dyDescent="0.3">
      <c r="A1957" t="str">
        <f>"02465477"</f>
        <v>02465477</v>
      </c>
      <c r="B1957" t="s">
        <v>4106</v>
      </c>
      <c r="C1957" t="str">
        <f t="shared" ref="C1957:C1971" si="138">"706"</f>
        <v>706</v>
      </c>
      <c r="D1957" t="s">
        <v>28</v>
      </c>
      <c r="E1957" t="s">
        <v>29</v>
      </c>
      <c r="F1957" t="s">
        <v>138</v>
      </c>
      <c r="G1957" t="s">
        <v>4107</v>
      </c>
      <c r="H1957" t="str">
        <f t="shared" si="137"/>
        <v>9499</v>
      </c>
      <c r="I1957" t="s">
        <v>31</v>
      </c>
    </row>
    <row r="1958" spans="1:9" x14ac:dyDescent="0.3">
      <c r="A1958" t="str">
        <f>"07672675"</f>
        <v>07672675</v>
      </c>
      <c r="B1958" t="s">
        <v>4108</v>
      </c>
      <c r="C1958" t="str">
        <f t="shared" si="138"/>
        <v>706</v>
      </c>
      <c r="D1958" t="s">
        <v>28</v>
      </c>
      <c r="E1958" t="s">
        <v>52</v>
      </c>
      <c r="F1958" t="s">
        <v>73</v>
      </c>
      <c r="G1958" t="s">
        <v>4109</v>
      </c>
      <c r="H1958" t="str">
        <f t="shared" si="137"/>
        <v>9499</v>
      </c>
      <c r="I1958" t="s">
        <v>31</v>
      </c>
    </row>
    <row r="1959" spans="1:9" x14ac:dyDescent="0.3">
      <c r="A1959" t="str">
        <f>"26602024"</f>
        <v>26602024</v>
      </c>
      <c r="B1959" t="s">
        <v>4110</v>
      </c>
      <c r="C1959" t="str">
        <f t="shared" si="138"/>
        <v>706</v>
      </c>
      <c r="D1959" t="s">
        <v>28</v>
      </c>
      <c r="E1959" t="s">
        <v>83</v>
      </c>
      <c r="F1959" t="s">
        <v>83</v>
      </c>
      <c r="G1959" t="s">
        <v>4111</v>
      </c>
      <c r="H1959" t="str">
        <f t="shared" si="137"/>
        <v>9499</v>
      </c>
      <c r="I1959" t="s">
        <v>31</v>
      </c>
    </row>
    <row r="1960" spans="1:9" x14ac:dyDescent="0.3">
      <c r="A1960" t="str">
        <f>"21427135"</f>
        <v>21427135</v>
      </c>
      <c r="B1960" t="s">
        <v>4112</v>
      </c>
      <c r="C1960" t="str">
        <f t="shared" si="138"/>
        <v>706</v>
      </c>
      <c r="D1960" t="s">
        <v>28</v>
      </c>
      <c r="E1960" t="s">
        <v>23</v>
      </c>
      <c r="F1960" t="s">
        <v>23</v>
      </c>
      <c r="G1960" t="s">
        <v>4113</v>
      </c>
      <c r="H1960" t="str">
        <f t="shared" si="137"/>
        <v>9499</v>
      </c>
      <c r="I1960" t="s">
        <v>31</v>
      </c>
    </row>
    <row r="1961" spans="1:9" x14ac:dyDescent="0.3">
      <c r="A1961" t="str">
        <f>"01207407"</f>
        <v>01207407</v>
      </c>
      <c r="B1961" t="s">
        <v>4114</v>
      </c>
      <c r="C1961" t="str">
        <f t="shared" si="138"/>
        <v>706</v>
      </c>
      <c r="D1961" t="s">
        <v>28</v>
      </c>
      <c r="E1961" t="s">
        <v>29</v>
      </c>
      <c r="F1961" t="s">
        <v>29</v>
      </c>
      <c r="G1961" t="s">
        <v>4115</v>
      </c>
      <c r="H1961" t="str">
        <f t="shared" si="137"/>
        <v>9499</v>
      </c>
      <c r="I1961" t="s">
        <v>31</v>
      </c>
    </row>
    <row r="1962" spans="1:9" x14ac:dyDescent="0.3">
      <c r="A1962" t="str">
        <f>"19340559"</f>
        <v>19340559</v>
      </c>
      <c r="B1962" t="s">
        <v>4116</v>
      </c>
      <c r="C1962" t="str">
        <f t="shared" si="138"/>
        <v>706</v>
      </c>
      <c r="D1962" t="s">
        <v>28</v>
      </c>
      <c r="E1962" t="s">
        <v>52</v>
      </c>
      <c r="F1962" t="s">
        <v>52</v>
      </c>
      <c r="G1962" t="s">
        <v>769</v>
      </c>
      <c r="H1962" t="str">
        <f t="shared" si="137"/>
        <v>9499</v>
      </c>
      <c r="I1962" t="s">
        <v>31</v>
      </c>
    </row>
    <row r="1963" spans="1:9" x14ac:dyDescent="0.3">
      <c r="A1963" t="str">
        <f>"63458446"</f>
        <v>63458446</v>
      </c>
      <c r="B1963" t="s">
        <v>4117</v>
      </c>
      <c r="C1963" t="str">
        <f t="shared" si="138"/>
        <v>706</v>
      </c>
      <c r="D1963" t="s">
        <v>28</v>
      </c>
      <c r="E1963" t="s">
        <v>83</v>
      </c>
      <c r="F1963" t="s">
        <v>83</v>
      </c>
      <c r="G1963" t="s">
        <v>4118</v>
      </c>
      <c r="H1963" t="str">
        <f>"93120"</f>
        <v>93120</v>
      </c>
      <c r="I1963" t="s">
        <v>54</v>
      </c>
    </row>
    <row r="1964" spans="1:9" x14ac:dyDescent="0.3">
      <c r="A1964" t="str">
        <f>"22644644"</f>
        <v>22644644</v>
      </c>
      <c r="B1964" t="s">
        <v>4119</v>
      </c>
      <c r="C1964" t="str">
        <f t="shared" si="138"/>
        <v>706</v>
      </c>
      <c r="D1964" t="s">
        <v>28</v>
      </c>
      <c r="E1964" t="s">
        <v>83</v>
      </c>
      <c r="F1964" t="s">
        <v>83</v>
      </c>
      <c r="G1964" t="s">
        <v>4120</v>
      </c>
      <c r="H1964" t="str">
        <f>"93190"</f>
        <v>93190</v>
      </c>
      <c r="I1964" t="s">
        <v>59</v>
      </c>
    </row>
    <row r="1965" spans="1:9" x14ac:dyDescent="0.3">
      <c r="A1965" t="str">
        <f>"04046609"</f>
        <v>04046609</v>
      </c>
      <c r="B1965" t="s">
        <v>4121</v>
      </c>
      <c r="C1965" t="str">
        <f t="shared" si="138"/>
        <v>706</v>
      </c>
      <c r="D1965" t="s">
        <v>28</v>
      </c>
      <c r="E1965" t="s">
        <v>83</v>
      </c>
      <c r="F1965" t="s">
        <v>83</v>
      </c>
      <c r="G1965" t="s">
        <v>4122</v>
      </c>
      <c r="H1965" t="str">
        <f>"93190"</f>
        <v>93190</v>
      </c>
      <c r="I1965" t="s">
        <v>59</v>
      </c>
    </row>
    <row r="1966" spans="1:9" x14ac:dyDescent="0.3">
      <c r="A1966" t="str">
        <f>"22666877"</f>
        <v>22666877</v>
      </c>
      <c r="B1966" t="s">
        <v>4123</v>
      </c>
      <c r="C1966" t="str">
        <f t="shared" si="138"/>
        <v>706</v>
      </c>
      <c r="D1966" t="s">
        <v>28</v>
      </c>
      <c r="E1966" t="s">
        <v>52</v>
      </c>
      <c r="F1966" t="s">
        <v>927</v>
      </c>
      <c r="G1966" t="s">
        <v>4124</v>
      </c>
      <c r="H1966" t="str">
        <f t="shared" ref="H1966:H1971" si="139">"9499"</f>
        <v>9499</v>
      </c>
      <c r="I1966" t="s">
        <v>31</v>
      </c>
    </row>
    <row r="1967" spans="1:9" x14ac:dyDescent="0.3">
      <c r="A1967" t="str">
        <f>"26590786"</f>
        <v>26590786</v>
      </c>
      <c r="B1967" t="s">
        <v>4125</v>
      </c>
      <c r="C1967" t="str">
        <f t="shared" si="138"/>
        <v>706</v>
      </c>
      <c r="D1967" t="s">
        <v>28</v>
      </c>
      <c r="E1967" t="s">
        <v>52</v>
      </c>
      <c r="F1967" t="s">
        <v>927</v>
      </c>
      <c r="G1967" t="s">
        <v>4126</v>
      </c>
      <c r="H1967" t="str">
        <f t="shared" si="139"/>
        <v>9499</v>
      </c>
      <c r="I1967" t="s">
        <v>31</v>
      </c>
    </row>
    <row r="1968" spans="1:9" x14ac:dyDescent="0.3">
      <c r="A1968" t="str">
        <f>"27021521"</f>
        <v>27021521</v>
      </c>
      <c r="B1968" t="s">
        <v>4127</v>
      </c>
      <c r="C1968" t="str">
        <f t="shared" si="138"/>
        <v>706</v>
      </c>
      <c r="D1968" t="s">
        <v>28</v>
      </c>
      <c r="E1968" t="s">
        <v>52</v>
      </c>
      <c r="F1968" t="s">
        <v>927</v>
      </c>
      <c r="G1968" t="s">
        <v>4128</v>
      </c>
      <c r="H1968" t="str">
        <f t="shared" si="139"/>
        <v>9499</v>
      </c>
      <c r="I1968" t="s">
        <v>31</v>
      </c>
    </row>
    <row r="1969" spans="1:10" x14ac:dyDescent="0.3">
      <c r="A1969" t="str">
        <f>"26632756"</f>
        <v>26632756</v>
      </c>
      <c r="B1969" t="s">
        <v>4129</v>
      </c>
      <c r="C1969" t="str">
        <f t="shared" si="138"/>
        <v>706</v>
      </c>
      <c r="D1969" t="s">
        <v>28</v>
      </c>
      <c r="E1969" t="s">
        <v>52</v>
      </c>
      <c r="F1969" t="s">
        <v>52</v>
      </c>
      <c r="G1969" t="s">
        <v>4130</v>
      </c>
      <c r="H1969" t="str">
        <f t="shared" si="139"/>
        <v>9499</v>
      </c>
      <c r="I1969" t="s">
        <v>31</v>
      </c>
    </row>
    <row r="1970" spans="1:10" x14ac:dyDescent="0.3">
      <c r="A1970" t="str">
        <f>"66934451"</f>
        <v>66934451</v>
      </c>
      <c r="B1970" t="s">
        <v>4131</v>
      </c>
      <c r="C1970" t="str">
        <f t="shared" si="138"/>
        <v>706</v>
      </c>
      <c r="D1970" t="s">
        <v>28</v>
      </c>
      <c r="E1970" t="s">
        <v>29</v>
      </c>
      <c r="F1970" t="s">
        <v>38</v>
      </c>
      <c r="G1970" t="s">
        <v>38</v>
      </c>
      <c r="H1970" t="str">
        <f t="shared" si="139"/>
        <v>9499</v>
      </c>
      <c r="I1970" t="s">
        <v>31</v>
      </c>
    </row>
    <row r="1971" spans="1:10" x14ac:dyDescent="0.3">
      <c r="A1971" t="str">
        <f>"02944677"</f>
        <v>02944677</v>
      </c>
      <c r="B1971" t="s">
        <v>4132</v>
      </c>
      <c r="C1971" t="str">
        <f t="shared" si="138"/>
        <v>706</v>
      </c>
      <c r="D1971" t="s">
        <v>28</v>
      </c>
      <c r="E1971" t="s">
        <v>52</v>
      </c>
      <c r="F1971" t="s">
        <v>73</v>
      </c>
      <c r="G1971" t="s">
        <v>4133</v>
      </c>
      <c r="H1971" t="str">
        <f t="shared" si="139"/>
        <v>9499</v>
      </c>
      <c r="I1971" t="s">
        <v>31</v>
      </c>
    </row>
    <row r="1972" spans="1:10" x14ac:dyDescent="0.3">
      <c r="A1972" t="str">
        <f>"65268849"</f>
        <v>65268849</v>
      </c>
      <c r="B1972" t="s">
        <v>4134</v>
      </c>
      <c r="C1972" t="str">
        <f>"722"</f>
        <v>722</v>
      </c>
      <c r="D1972" t="s">
        <v>315</v>
      </c>
      <c r="E1972" t="s">
        <v>83</v>
      </c>
      <c r="F1972" t="s">
        <v>83</v>
      </c>
      <c r="G1972" t="s">
        <v>4135</v>
      </c>
      <c r="H1972" t="str">
        <f>"94910"</f>
        <v>94910</v>
      </c>
      <c r="I1972" t="s">
        <v>316</v>
      </c>
    </row>
    <row r="1973" spans="1:10" x14ac:dyDescent="0.3">
      <c r="A1973" t="str">
        <f>"07661363"</f>
        <v>07661363</v>
      </c>
      <c r="B1973" t="s">
        <v>4136</v>
      </c>
      <c r="C1973" t="str">
        <f t="shared" ref="C1973:C1988" si="140">"706"</f>
        <v>706</v>
      </c>
      <c r="D1973" t="s">
        <v>28</v>
      </c>
      <c r="E1973" t="s">
        <v>23</v>
      </c>
      <c r="F1973" t="s">
        <v>23</v>
      </c>
      <c r="G1973" t="s">
        <v>4137</v>
      </c>
      <c r="H1973" t="str">
        <f>"94995"</f>
        <v>94995</v>
      </c>
      <c r="I1973" t="s">
        <v>232</v>
      </c>
    </row>
    <row r="1974" spans="1:10" x14ac:dyDescent="0.3">
      <c r="A1974" t="str">
        <f>"05927862"</f>
        <v>05927862</v>
      </c>
      <c r="B1974" t="s">
        <v>4138</v>
      </c>
      <c r="C1974" t="str">
        <f t="shared" si="140"/>
        <v>706</v>
      </c>
      <c r="D1974" t="s">
        <v>28</v>
      </c>
      <c r="E1974" t="s">
        <v>83</v>
      </c>
      <c r="F1974" t="s">
        <v>83</v>
      </c>
      <c r="G1974" t="s">
        <v>4139</v>
      </c>
      <c r="H1974" t="str">
        <f>"9499"</f>
        <v>9499</v>
      </c>
      <c r="I1974" t="s">
        <v>31</v>
      </c>
    </row>
    <row r="1975" spans="1:10" x14ac:dyDescent="0.3">
      <c r="A1975" t="str">
        <f>"22745068"</f>
        <v>22745068</v>
      </c>
      <c r="B1975" t="s">
        <v>4140</v>
      </c>
      <c r="C1975" t="str">
        <f t="shared" si="140"/>
        <v>706</v>
      </c>
      <c r="D1975" t="s">
        <v>28</v>
      </c>
      <c r="E1975" t="s">
        <v>23</v>
      </c>
      <c r="F1975" t="s">
        <v>23</v>
      </c>
      <c r="G1975" t="s">
        <v>4141</v>
      </c>
      <c r="H1975" t="str">
        <f>"94993"</f>
        <v>94993</v>
      </c>
      <c r="I1975" t="s">
        <v>50</v>
      </c>
    </row>
    <row r="1976" spans="1:10" x14ac:dyDescent="0.3">
      <c r="A1976" t="str">
        <f>"01565168"</f>
        <v>01565168</v>
      </c>
      <c r="B1976" t="s">
        <v>4142</v>
      </c>
      <c r="C1976" t="str">
        <f t="shared" si="140"/>
        <v>706</v>
      </c>
      <c r="D1976" t="s">
        <v>28</v>
      </c>
      <c r="E1976" t="s">
        <v>23</v>
      </c>
      <c r="F1976" t="s">
        <v>23</v>
      </c>
      <c r="G1976" t="s">
        <v>4143</v>
      </c>
      <c r="H1976" t="str">
        <f t="shared" ref="H1976:H1986" si="141">"9499"</f>
        <v>9499</v>
      </c>
      <c r="I1976" t="s">
        <v>31</v>
      </c>
    </row>
    <row r="1977" spans="1:10" x14ac:dyDescent="0.3">
      <c r="A1977" t="str">
        <f>"22728872"</f>
        <v>22728872</v>
      </c>
      <c r="B1977" t="s">
        <v>4144</v>
      </c>
      <c r="C1977" t="str">
        <f t="shared" si="140"/>
        <v>706</v>
      </c>
      <c r="D1977" t="s">
        <v>28</v>
      </c>
      <c r="E1977" t="s">
        <v>23</v>
      </c>
      <c r="F1977" t="s">
        <v>23</v>
      </c>
      <c r="G1977" t="s">
        <v>4145</v>
      </c>
      <c r="H1977" t="str">
        <f t="shared" si="141"/>
        <v>9499</v>
      </c>
      <c r="I1977" t="s">
        <v>31</v>
      </c>
    </row>
    <row r="1978" spans="1:10" x14ac:dyDescent="0.3">
      <c r="A1978" t="str">
        <f>"14256525"</f>
        <v>14256525</v>
      </c>
      <c r="B1978" t="s">
        <v>4146</v>
      </c>
      <c r="C1978" t="str">
        <f t="shared" si="140"/>
        <v>706</v>
      </c>
      <c r="D1978" t="s">
        <v>28</v>
      </c>
      <c r="E1978" t="s">
        <v>23</v>
      </c>
      <c r="F1978" t="s">
        <v>23</v>
      </c>
      <c r="G1978" t="s">
        <v>3284</v>
      </c>
      <c r="H1978" t="str">
        <f t="shared" si="141"/>
        <v>9499</v>
      </c>
      <c r="I1978" t="s">
        <v>31</v>
      </c>
    </row>
    <row r="1979" spans="1:10" x14ac:dyDescent="0.3">
      <c r="A1979" t="str">
        <f>"19378912"</f>
        <v>19378912</v>
      </c>
      <c r="B1979" t="s">
        <v>4147</v>
      </c>
      <c r="C1979" t="str">
        <f t="shared" si="140"/>
        <v>706</v>
      </c>
      <c r="D1979" t="s">
        <v>28</v>
      </c>
      <c r="E1979" t="s">
        <v>52</v>
      </c>
      <c r="F1979" t="s">
        <v>113</v>
      </c>
      <c r="G1979" t="s">
        <v>4148</v>
      </c>
      <c r="H1979" t="str">
        <f t="shared" si="141"/>
        <v>9499</v>
      </c>
      <c r="I1979" t="s">
        <v>31</v>
      </c>
    </row>
    <row r="1980" spans="1:10" x14ac:dyDescent="0.3">
      <c r="A1980" t="str">
        <f>"06980881"</f>
        <v>06980881</v>
      </c>
      <c r="B1980" t="s">
        <v>4149</v>
      </c>
      <c r="C1980" t="str">
        <f t="shared" si="140"/>
        <v>706</v>
      </c>
      <c r="D1980" t="s">
        <v>28</v>
      </c>
      <c r="E1980" t="s">
        <v>23</v>
      </c>
      <c r="F1980" t="s">
        <v>1492</v>
      </c>
      <c r="G1980" t="s">
        <v>4150</v>
      </c>
      <c r="H1980" t="str">
        <f t="shared" si="141"/>
        <v>9499</v>
      </c>
      <c r="I1980" t="s">
        <v>31</v>
      </c>
    </row>
    <row r="1981" spans="1:10" x14ac:dyDescent="0.3">
      <c r="A1981" t="str">
        <f>"22582703"</f>
        <v>22582703</v>
      </c>
      <c r="B1981" t="s">
        <v>4151</v>
      </c>
      <c r="C1981" t="str">
        <f t="shared" si="140"/>
        <v>706</v>
      </c>
      <c r="D1981" t="s">
        <v>28</v>
      </c>
      <c r="E1981" t="s">
        <v>23</v>
      </c>
      <c r="F1981" t="s">
        <v>23</v>
      </c>
      <c r="G1981" t="s">
        <v>4152</v>
      </c>
      <c r="H1981" t="str">
        <f t="shared" si="141"/>
        <v>9499</v>
      </c>
      <c r="I1981" t="s">
        <v>31</v>
      </c>
      <c r="J1981" t="s">
        <v>3670</v>
      </c>
    </row>
    <row r="1982" spans="1:10" x14ac:dyDescent="0.3">
      <c r="A1982" t="str">
        <f>"09596178"</f>
        <v>09596178</v>
      </c>
      <c r="B1982" t="s">
        <v>4153</v>
      </c>
      <c r="C1982" t="str">
        <f t="shared" si="140"/>
        <v>706</v>
      </c>
      <c r="D1982" t="s">
        <v>28</v>
      </c>
      <c r="E1982" t="s">
        <v>52</v>
      </c>
      <c r="F1982" t="s">
        <v>514</v>
      </c>
      <c r="G1982" t="s">
        <v>4154</v>
      </c>
      <c r="H1982" t="str">
        <f t="shared" si="141"/>
        <v>9499</v>
      </c>
      <c r="I1982" t="s">
        <v>31</v>
      </c>
    </row>
    <row r="1983" spans="1:10" x14ac:dyDescent="0.3">
      <c r="A1983" t="str">
        <f>"01546643"</f>
        <v>01546643</v>
      </c>
      <c r="B1983" t="s">
        <v>4155</v>
      </c>
      <c r="C1983" t="str">
        <f t="shared" si="140"/>
        <v>706</v>
      </c>
      <c r="D1983" t="s">
        <v>28</v>
      </c>
      <c r="E1983" t="s">
        <v>23</v>
      </c>
      <c r="F1983" t="s">
        <v>4156</v>
      </c>
      <c r="G1983" t="s">
        <v>4157</v>
      </c>
      <c r="H1983" t="str">
        <f t="shared" si="141"/>
        <v>9499</v>
      </c>
      <c r="I1983" t="s">
        <v>31</v>
      </c>
    </row>
    <row r="1984" spans="1:10" x14ac:dyDescent="0.3">
      <c r="A1984" t="str">
        <f>"17219752"</f>
        <v>17219752</v>
      </c>
      <c r="B1984" t="s">
        <v>4158</v>
      </c>
      <c r="C1984" t="str">
        <f t="shared" si="140"/>
        <v>706</v>
      </c>
      <c r="D1984" t="s">
        <v>28</v>
      </c>
      <c r="E1984" t="s">
        <v>29</v>
      </c>
      <c r="F1984" t="s">
        <v>195</v>
      </c>
      <c r="G1984" t="s">
        <v>4159</v>
      </c>
      <c r="H1984" t="str">
        <f t="shared" si="141"/>
        <v>9499</v>
      </c>
      <c r="I1984" t="s">
        <v>31</v>
      </c>
    </row>
    <row r="1985" spans="1:10" x14ac:dyDescent="0.3">
      <c r="A1985" t="str">
        <f>"01820541"</f>
        <v>01820541</v>
      </c>
      <c r="B1985" t="s">
        <v>4160</v>
      </c>
      <c r="C1985" t="str">
        <f t="shared" si="140"/>
        <v>706</v>
      </c>
      <c r="D1985" t="s">
        <v>28</v>
      </c>
      <c r="E1985" t="s">
        <v>23</v>
      </c>
      <c r="F1985" t="s">
        <v>4161</v>
      </c>
      <c r="G1985" t="s">
        <v>4162</v>
      </c>
      <c r="H1985" t="str">
        <f t="shared" si="141"/>
        <v>9499</v>
      </c>
      <c r="I1985" t="s">
        <v>31</v>
      </c>
    </row>
    <row r="1986" spans="1:10" x14ac:dyDescent="0.3">
      <c r="A1986" t="str">
        <f>"02987236"</f>
        <v>02987236</v>
      </c>
      <c r="B1986" t="s">
        <v>4163</v>
      </c>
      <c r="C1986" t="str">
        <f t="shared" si="140"/>
        <v>706</v>
      </c>
      <c r="D1986" t="s">
        <v>28</v>
      </c>
      <c r="E1986" t="s">
        <v>52</v>
      </c>
      <c r="F1986" t="s">
        <v>1908</v>
      </c>
      <c r="G1986" t="s">
        <v>4164</v>
      </c>
      <c r="H1986" t="str">
        <f t="shared" si="141"/>
        <v>9499</v>
      </c>
      <c r="I1986" t="s">
        <v>31</v>
      </c>
      <c r="J1986" t="s">
        <v>146</v>
      </c>
    </row>
    <row r="1987" spans="1:10" x14ac:dyDescent="0.3">
      <c r="A1987" t="str">
        <f>"22909257"</f>
        <v>22909257</v>
      </c>
      <c r="B1987" t="s">
        <v>4165</v>
      </c>
      <c r="C1987" t="str">
        <f t="shared" si="140"/>
        <v>706</v>
      </c>
      <c r="D1987" t="s">
        <v>28</v>
      </c>
      <c r="E1987" t="s">
        <v>23</v>
      </c>
      <c r="F1987" t="s">
        <v>1254</v>
      </c>
      <c r="G1987" t="s">
        <v>1255</v>
      </c>
      <c r="H1987" t="str">
        <f>"94999"</f>
        <v>94999</v>
      </c>
      <c r="I1987" t="s">
        <v>202</v>
      </c>
    </row>
    <row r="1988" spans="1:10" x14ac:dyDescent="0.3">
      <c r="A1988" t="str">
        <f>"68684746"</f>
        <v>68684746</v>
      </c>
      <c r="B1988" t="s">
        <v>4166</v>
      </c>
      <c r="C1988" t="str">
        <f t="shared" si="140"/>
        <v>706</v>
      </c>
      <c r="D1988" t="s">
        <v>28</v>
      </c>
      <c r="E1988" t="s">
        <v>23</v>
      </c>
      <c r="F1988" t="s">
        <v>23</v>
      </c>
      <c r="G1988" t="s">
        <v>4167</v>
      </c>
      <c r="H1988" t="str">
        <f>"93120"</f>
        <v>93120</v>
      </c>
      <c r="I1988" t="s">
        <v>54</v>
      </c>
    </row>
    <row r="1989" spans="1:10" x14ac:dyDescent="0.3">
      <c r="A1989" t="str">
        <f>"44018771"</f>
        <v>44018771</v>
      </c>
      <c r="B1989" t="s">
        <v>4168</v>
      </c>
      <c r="C1989" t="str">
        <f>"736"</f>
        <v>736</v>
      </c>
      <c r="D1989" t="s">
        <v>22</v>
      </c>
      <c r="E1989" t="s">
        <v>52</v>
      </c>
      <c r="F1989" t="s">
        <v>52</v>
      </c>
      <c r="G1989" t="s">
        <v>4169</v>
      </c>
      <c r="H1989" t="str">
        <f>"9499"</f>
        <v>9499</v>
      </c>
      <c r="I1989" t="s">
        <v>31</v>
      </c>
    </row>
    <row r="1990" spans="1:10" x14ac:dyDescent="0.3">
      <c r="A1990" t="str">
        <f>"47921871"</f>
        <v>47921871</v>
      </c>
      <c r="B1990" t="s">
        <v>4170</v>
      </c>
      <c r="C1990" t="str">
        <f>"722"</f>
        <v>722</v>
      </c>
      <c r="D1990" t="s">
        <v>315</v>
      </c>
      <c r="E1990" t="s">
        <v>52</v>
      </c>
      <c r="F1990" t="s">
        <v>362</v>
      </c>
      <c r="G1990" t="s">
        <v>4171</v>
      </c>
      <c r="H1990" t="str">
        <f>"94910"</f>
        <v>94910</v>
      </c>
      <c r="I1990" t="s">
        <v>316</v>
      </c>
    </row>
    <row r="1991" spans="1:10" x14ac:dyDescent="0.3">
      <c r="A1991" t="str">
        <f>"09567470"</f>
        <v>09567470</v>
      </c>
      <c r="B1991" t="s">
        <v>4172</v>
      </c>
      <c r="C1991" t="str">
        <f t="shared" ref="C1991:C2006" si="142">"706"</f>
        <v>706</v>
      </c>
      <c r="D1991" t="s">
        <v>28</v>
      </c>
      <c r="E1991" t="s">
        <v>52</v>
      </c>
      <c r="F1991" t="s">
        <v>362</v>
      </c>
      <c r="G1991" t="s">
        <v>4173</v>
      </c>
      <c r="H1991" t="str">
        <f>"9499"</f>
        <v>9499</v>
      </c>
      <c r="I1991" t="s">
        <v>31</v>
      </c>
    </row>
    <row r="1992" spans="1:10" x14ac:dyDescent="0.3">
      <c r="A1992" t="str">
        <f>"22731393"</f>
        <v>22731393</v>
      </c>
      <c r="B1992" t="s">
        <v>4174</v>
      </c>
      <c r="C1992" t="str">
        <f t="shared" si="142"/>
        <v>706</v>
      </c>
      <c r="D1992" t="s">
        <v>28</v>
      </c>
      <c r="E1992" t="s">
        <v>52</v>
      </c>
      <c r="F1992" t="s">
        <v>362</v>
      </c>
      <c r="G1992" t="s">
        <v>4175</v>
      </c>
      <c r="H1992" t="str">
        <f>"9499"</f>
        <v>9499</v>
      </c>
      <c r="I1992" t="s">
        <v>31</v>
      </c>
    </row>
    <row r="1993" spans="1:10" x14ac:dyDescent="0.3">
      <c r="A1993" t="str">
        <f>"26600200"</f>
        <v>26600200</v>
      </c>
      <c r="B1993" t="s">
        <v>4176</v>
      </c>
      <c r="C1993" t="str">
        <f t="shared" si="142"/>
        <v>706</v>
      </c>
      <c r="D1993" t="s">
        <v>28</v>
      </c>
      <c r="E1993" t="s">
        <v>52</v>
      </c>
      <c r="F1993" t="s">
        <v>1773</v>
      </c>
      <c r="G1993" t="s">
        <v>4177</v>
      </c>
      <c r="H1993" t="str">
        <f>"9499"</f>
        <v>9499</v>
      </c>
      <c r="I1993" t="s">
        <v>31</v>
      </c>
    </row>
    <row r="1994" spans="1:10" x14ac:dyDescent="0.3">
      <c r="A1994" t="str">
        <f>"70278873"</f>
        <v>70278873</v>
      </c>
      <c r="B1994" t="s">
        <v>4178</v>
      </c>
      <c r="C1994" t="str">
        <f t="shared" si="142"/>
        <v>706</v>
      </c>
      <c r="D1994" t="s">
        <v>28</v>
      </c>
      <c r="E1994" t="s">
        <v>83</v>
      </c>
      <c r="F1994" t="s">
        <v>83</v>
      </c>
      <c r="G1994" t="s">
        <v>4179</v>
      </c>
      <c r="H1994" t="str">
        <f>"9499"</f>
        <v>9499</v>
      </c>
      <c r="I1994" t="s">
        <v>31</v>
      </c>
    </row>
    <row r="1995" spans="1:10" x14ac:dyDescent="0.3">
      <c r="A1995" t="str">
        <f>"21398615"</f>
        <v>21398615</v>
      </c>
      <c r="B1995" t="s">
        <v>4180</v>
      </c>
      <c r="C1995" t="str">
        <f t="shared" si="142"/>
        <v>706</v>
      </c>
      <c r="D1995" t="s">
        <v>28</v>
      </c>
      <c r="E1995" t="s">
        <v>29</v>
      </c>
      <c r="F1995" t="s">
        <v>775</v>
      </c>
      <c r="G1995" t="s">
        <v>4181</v>
      </c>
      <c r="H1995" t="str">
        <f>"9499"</f>
        <v>9499</v>
      </c>
      <c r="I1995" t="s">
        <v>31</v>
      </c>
    </row>
    <row r="1996" spans="1:10" x14ac:dyDescent="0.3">
      <c r="A1996" t="str">
        <f>"22875930"</f>
        <v>22875930</v>
      </c>
      <c r="B1996" t="s">
        <v>4182</v>
      </c>
      <c r="C1996" t="str">
        <f t="shared" si="142"/>
        <v>706</v>
      </c>
      <c r="D1996" t="s">
        <v>28</v>
      </c>
      <c r="E1996" t="s">
        <v>23</v>
      </c>
      <c r="F1996" t="s">
        <v>99</v>
      </c>
      <c r="G1996" t="s">
        <v>4183</v>
      </c>
      <c r="H1996" t="str">
        <f>"94996"</f>
        <v>94996</v>
      </c>
      <c r="I1996" t="s">
        <v>47</v>
      </c>
    </row>
    <row r="1997" spans="1:10" x14ac:dyDescent="0.3">
      <c r="A1997" t="str">
        <f>"22755608"</f>
        <v>22755608</v>
      </c>
      <c r="B1997" t="s">
        <v>4184</v>
      </c>
      <c r="C1997" t="str">
        <f t="shared" si="142"/>
        <v>706</v>
      </c>
      <c r="D1997" t="s">
        <v>28</v>
      </c>
      <c r="E1997" t="s">
        <v>83</v>
      </c>
      <c r="F1997" t="s">
        <v>1425</v>
      </c>
      <c r="G1997" t="s">
        <v>4185</v>
      </c>
      <c r="H1997" t="str">
        <f>"9499"</f>
        <v>9499</v>
      </c>
      <c r="I1997" t="s">
        <v>31</v>
      </c>
    </row>
    <row r="1998" spans="1:10" x14ac:dyDescent="0.3">
      <c r="A1998" t="str">
        <f>"22823328"</f>
        <v>22823328</v>
      </c>
      <c r="B1998" t="s">
        <v>4186</v>
      </c>
      <c r="C1998" t="str">
        <f t="shared" si="142"/>
        <v>706</v>
      </c>
      <c r="D1998" t="s">
        <v>28</v>
      </c>
      <c r="E1998" t="s">
        <v>83</v>
      </c>
      <c r="F1998" t="s">
        <v>1425</v>
      </c>
      <c r="G1998" t="s">
        <v>4187</v>
      </c>
      <c r="H1998" t="str">
        <f>"94993"</f>
        <v>94993</v>
      </c>
      <c r="I1998" t="s">
        <v>50</v>
      </c>
    </row>
    <row r="1999" spans="1:10" x14ac:dyDescent="0.3">
      <c r="A1999" t="str">
        <f>"05925291"</f>
        <v>05925291</v>
      </c>
      <c r="B1999" t="s">
        <v>4188</v>
      </c>
      <c r="C1999" t="str">
        <f t="shared" si="142"/>
        <v>706</v>
      </c>
      <c r="D1999" t="s">
        <v>28</v>
      </c>
      <c r="E1999" t="s">
        <v>29</v>
      </c>
      <c r="F1999" t="s">
        <v>681</v>
      </c>
      <c r="G1999" t="s">
        <v>4189</v>
      </c>
      <c r="H1999" t="str">
        <f>"9499"</f>
        <v>9499</v>
      </c>
      <c r="I1999" t="s">
        <v>31</v>
      </c>
    </row>
    <row r="2000" spans="1:10" x14ac:dyDescent="0.3">
      <c r="A2000" t="str">
        <f>"22874372"</f>
        <v>22874372</v>
      </c>
      <c r="B2000" t="s">
        <v>4190</v>
      </c>
      <c r="C2000" t="str">
        <f t="shared" si="142"/>
        <v>706</v>
      </c>
      <c r="D2000" t="s">
        <v>28</v>
      </c>
      <c r="E2000" t="s">
        <v>83</v>
      </c>
      <c r="F2000" t="s">
        <v>230</v>
      </c>
      <c r="G2000" t="s">
        <v>4191</v>
      </c>
      <c r="H2000" t="str">
        <f>"94991"</f>
        <v>94991</v>
      </c>
      <c r="I2000" t="s">
        <v>433</v>
      </c>
    </row>
    <row r="2001" spans="1:13" x14ac:dyDescent="0.3">
      <c r="A2001" t="str">
        <f>"21696497"</f>
        <v>21696497</v>
      </c>
      <c r="B2001" t="s">
        <v>4192</v>
      </c>
      <c r="C2001" t="str">
        <f t="shared" si="142"/>
        <v>706</v>
      </c>
      <c r="D2001" t="s">
        <v>28</v>
      </c>
      <c r="E2001" t="s">
        <v>29</v>
      </c>
      <c r="F2001" t="s">
        <v>38</v>
      </c>
      <c r="G2001" t="s">
        <v>4193</v>
      </c>
      <c r="H2001" t="str">
        <f>"9499"</f>
        <v>9499</v>
      </c>
      <c r="I2001" t="s">
        <v>31</v>
      </c>
      <c r="J2001" t="s">
        <v>258</v>
      </c>
      <c r="K2001" t="s">
        <v>146</v>
      </c>
      <c r="L2001" t="s">
        <v>163</v>
      </c>
      <c r="M2001" t="s">
        <v>59</v>
      </c>
    </row>
    <row r="2002" spans="1:13" x14ac:dyDescent="0.3">
      <c r="A2002" t="str">
        <f>"05499852"</f>
        <v>05499852</v>
      </c>
      <c r="B2002" t="s">
        <v>4194</v>
      </c>
      <c r="C2002" t="str">
        <f t="shared" si="142"/>
        <v>706</v>
      </c>
      <c r="D2002" t="s">
        <v>28</v>
      </c>
      <c r="E2002" t="s">
        <v>83</v>
      </c>
      <c r="F2002" t="s">
        <v>409</v>
      </c>
      <c r="G2002" t="s">
        <v>4195</v>
      </c>
      <c r="H2002" t="str">
        <f>"93190"</f>
        <v>93190</v>
      </c>
      <c r="I2002" t="s">
        <v>59</v>
      </c>
    </row>
    <row r="2003" spans="1:13" x14ac:dyDescent="0.3">
      <c r="A2003" t="str">
        <f>"09168214"</f>
        <v>09168214</v>
      </c>
      <c r="B2003" t="s">
        <v>4196</v>
      </c>
      <c r="C2003" t="str">
        <f t="shared" si="142"/>
        <v>706</v>
      </c>
      <c r="D2003" t="s">
        <v>28</v>
      </c>
      <c r="E2003" t="s">
        <v>23</v>
      </c>
      <c r="F2003" t="s">
        <v>23</v>
      </c>
      <c r="G2003" t="s">
        <v>4197</v>
      </c>
      <c r="H2003" t="str">
        <f>"9499"</f>
        <v>9499</v>
      </c>
      <c r="I2003" t="s">
        <v>31</v>
      </c>
    </row>
    <row r="2004" spans="1:13" x14ac:dyDescent="0.3">
      <c r="A2004" t="str">
        <f>"22819321"</f>
        <v>22819321</v>
      </c>
      <c r="B2004" t="s">
        <v>4198</v>
      </c>
      <c r="C2004" t="str">
        <f t="shared" si="142"/>
        <v>706</v>
      </c>
      <c r="D2004" t="s">
        <v>28</v>
      </c>
      <c r="E2004" t="s">
        <v>52</v>
      </c>
      <c r="F2004" t="s">
        <v>1212</v>
      </c>
      <c r="G2004" t="s">
        <v>1213</v>
      </c>
      <c r="H2004" t="str">
        <f>"9499"</f>
        <v>9499</v>
      </c>
      <c r="I2004" t="s">
        <v>31</v>
      </c>
    </row>
    <row r="2005" spans="1:13" x14ac:dyDescent="0.3">
      <c r="A2005" t="str">
        <f>"22819096"</f>
        <v>22819096</v>
      </c>
      <c r="B2005" t="s">
        <v>4199</v>
      </c>
      <c r="C2005" t="str">
        <f t="shared" si="142"/>
        <v>706</v>
      </c>
      <c r="D2005" t="s">
        <v>28</v>
      </c>
      <c r="E2005" t="s">
        <v>52</v>
      </c>
      <c r="F2005" t="s">
        <v>52</v>
      </c>
      <c r="G2005" t="s">
        <v>4200</v>
      </c>
      <c r="H2005" t="str">
        <f>"94995"</f>
        <v>94995</v>
      </c>
      <c r="I2005" t="s">
        <v>232</v>
      </c>
    </row>
    <row r="2006" spans="1:13" x14ac:dyDescent="0.3">
      <c r="A2006" t="str">
        <f>"01356224"</f>
        <v>01356224</v>
      </c>
      <c r="B2006" t="s">
        <v>4201</v>
      </c>
      <c r="C2006" t="str">
        <f t="shared" si="142"/>
        <v>706</v>
      </c>
      <c r="D2006" t="s">
        <v>28</v>
      </c>
      <c r="E2006" t="s">
        <v>52</v>
      </c>
      <c r="F2006" t="s">
        <v>3423</v>
      </c>
      <c r="G2006" t="s">
        <v>4202</v>
      </c>
      <c r="H2006" t="str">
        <f>"94995"</f>
        <v>94995</v>
      </c>
      <c r="I2006" t="s">
        <v>232</v>
      </c>
    </row>
    <row r="2007" spans="1:13" x14ac:dyDescent="0.3">
      <c r="A2007" t="str">
        <f>"00425419"</f>
        <v>00425419</v>
      </c>
      <c r="B2007" t="s">
        <v>4203</v>
      </c>
      <c r="C2007" t="str">
        <f>"736"</f>
        <v>736</v>
      </c>
      <c r="D2007" t="s">
        <v>22</v>
      </c>
      <c r="E2007" t="s">
        <v>23</v>
      </c>
      <c r="F2007" t="s">
        <v>23</v>
      </c>
      <c r="G2007" t="s">
        <v>267</v>
      </c>
      <c r="H2007" t="str">
        <f>"9499"</f>
        <v>9499</v>
      </c>
      <c r="I2007" t="s">
        <v>31</v>
      </c>
    </row>
    <row r="2008" spans="1:13" x14ac:dyDescent="0.3">
      <c r="A2008" t="str">
        <f>"75020114"</f>
        <v>75020114</v>
      </c>
      <c r="B2008" t="s">
        <v>4204</v>
      </c>
      <c r="C2008" t="str">
        <f>"736"</f>
        <v>736</v>
      </c>
      <c r="D2008" t="s">
        <v>22</v>
      </c>
      <c r="E2008" t="s">
        <v>23</v>
      </c>
      <c r="F2008" t="s">
        <v>23</v>
      </c>
      <c r="G2008" t="s">
        <v>4205</v>
      </c>
      <c r="H2008" t="str">
        <f>"9499"</f>
        <v>9499</v>
      </c>
      <c r="I2008" t="s">
        <v>31</v>
      </c>
    </row>
    <row r="2009" spans="1:13" x14ac:dyDescent="0.3">
      <c r="A2009" t="str">
        <f>"70930139"</f>
        <v>70930139</v>
      </c>
      <c r="B2009" t="s">
        <v>4206</v>
      </c>
      <c r="C2009" t="str">
        <f>"736"</f>
        <v>736</v>
      </c>
      <c r="D2009" t="s">
        <v>22</v>
      </c>
      <c r="E2009" t="s">
        <v>83</v>
      </c>
      <c r="F2009" t="s">
        <v>183</v>
      </c>
      <c r="G2009" t="s">
        <v>2214</v>
      </c>
      <c r="H2009" t="str">
        <f>"9311"</f>
        <v>9311</v>
      </c>
      <c r="I2009" t="s">
        <v>92</v>
      </c>
    </row>
    <row r="2010" spans="1:13" x14ac:dyDescent="0.3">
      <c r="A2010" t="str">
        <f>"02250365"</f>
        <v>02250365</v>
      </c>
      <c r="B2010" t="s">
        <v>4207</v>
      </c>
      <c r="C2010" t="str">
        <f>"736"</f>
        <v>736</v>
      </c>
      <c r="D2010" t="s">
        <v>22</v>
      </c>
      <c r="E2010" t="s">
        <v>23</v>
      </c>
      <c r="F2010" t="s">
        <v>23</v>
      </c>
      <c r="G2010" t="s">
        <v>4208</v>
      </c>
      <c r="H2010" t="str">
        <f>"9499"</f>
        <v>9499</v>
      </c>
      <c r="I2010" t="s">
        <v>31</v>
      </c>
    </row>
    <row r="2011" spans="1:13" x14ac:dyDescent="0.3">
      <c r="A2011" t="str">
        <f>"28297504"</f>
        <v>28297504</v>
      </c>
      <c r="B2011" t="s">
        <v>4209</v>
      </c>
      <c r="C2011" t="str">
        <f>"141"</f>
        <v>141</v>
      </c>
      <c r="D2011" t="s">
        <v>112</v>
      </c>
      <c r="E2011" t="s">
        <v>52</v>
      </c>
      <c r="F2011" t="s">
        <v>113</v>
      </c>
      <c r="G2011" t="s">
        <v>4210</v>
      </c>
      <c r="H2011" t="str">
        <f>"8559"</f>
        <v>8559</v>
      </c>
      <c r="I2011" t="s">
        <v>115</v>
      </c>
      <c r="J2011" t="s">
        <v>423</v>
      </c>
      <c r="K2011" t="s">
        <v>1496</v>
      </c>
      <c r="L2011" t="s">
        <v>4211</v>
      </c>
    </row>
    <row r="2012" spans="1:13" x14ac:dyDescent="0.3">
      <c r="A2012" t="str">
        <f>"70864276"</f>
        <v>70864276</v>
      </c>
      <c r="B2012" t="s">
        <v>4212</v>
      </c>
      <c r="C2012" t="str">
        <f>"706"</f>
        <v>706</v>
      </c>
      <c r="D2012" t="s">
        <v>28</v>
      </c>
      <c r="E2012" t="s">
        <v>23</v>
      </c>
      <c r="F2012" t="s">
        <v>23</v>
      </c>
      <c r="G2012" t="s">
        <v>204</v>
      </c>
      <c r="H2012" t="str">
        <f>"94993"</f>
        <v>94993</v>
      </c>
      <c r="I2012" t="s">
        <v>50</v>
      </c>
    </row>
    <row r="2013" spans="1:13" x14ac:dyDescent="0.3">
      <c r="A2013" t="str">
        <f>"05440912"</f>
        <v>05440912</v>
      </c>
      <c r="B2013" t="s">
        <v>4213</v>
      </c>
      <c r="C2013" t="str">
        <f>"736"</f>
        <v>736</v>
      </c>
      <c r="D2013" t="s">
        <v>22</v>
      </c>
      <c r="E2013" t="s">
        <v>23</v>
      </c>
      <c r="F2013" t="s">
        <v>24</v>
      </c>
      <c r="G2013" t="s">
        <v>4214</v>
      </c>
      <c r="H2013" t="str">
        <f>"931"</f>
        <v>931</v>
      </c>
      <c r="I2013" t="s">
        <v>26</v>
      </c>
    </row>
    <row r="2014" spans="1:13" x14ac:dyDescent="0.3">
      <c r="A2014" t="str">
        <f>"22746471"</f>
        <v>22746471</v>
      </c>
      <c r="B2014" t="s">
        <v>4215</v>
      </c>
      <c r="C2014" t="str">
        <f>"736"</f>
        <v>736</v>
      </c>
      <c r="D2014" t="s">
        <v>22</v>
      </c>
      <c r="E2014" t="s">
        <v>23</v>
      </c>
      <c r="F2014" t="s">
        <v>23</v>
      </c>
      <c r="G2014" t="s">
        <v>971</v>
      </c>
      <c r="H2014" t="str">
        <f>"93110"</f>
        <v>93110</v>
      </c>
      <c r="I2014" t="s">
        <v>92</v>
      </c>
    </row>
    <row r="2015" spans="1:13" x14ac:dyDescent="0.3">
      <c r="A2015" t="str">
        <f>"04477723"</f>
        <v>04477723</v>
      </c>
      <c r="B2015" t="s">
        <v>4216</v>
      </c>
      <c r="C2015" t="str">
        <f>"706"</f>
        <v>706</v>
      </c>
      <c r="D2015" t="s">
        <v>28</v>
      </c>
      <c r="E2015" t="s">
        <v>83</v>
      </c>
      <c r="F2015" t="s">
        <v>83</v>
      </c>
      <c r="G2015" t="s">
        <v>2122</v>
      </c>
      <c r="H2015" t="str">
        <f>"93190"</f>
        <v>93190</v>
      </c>
      <c r="I2015" t="s">
        <v>59</v>
      </c>
    </row>
    <row r="2016" spans="1:13" x14ac:dyDescent="0.3">
      <c r="A2016" t="str">
        <f>"05136687"</f>
        <v>05136687</v>
      </c>
      <c r="B2016" t="s">
        <v>4217</v>
      </c>
      <c r="C2016" t="str">
        <f>"736"</f>
        <v>736</v>
      </c>
      <c r="D2016" t="s">
        <v>22</v>
      </c>
      <c r="E2016" t="s">
        <v>29</v>
      </c>
      <c r="F2016" t="s">
        <v>38</v>
      </c>
      <c r="G2016" t="s">
        <v>4218</v>
      </c>
      <c r="H2016" t="str">
        <f>"93190"</f>
        <v>93190</v>
      </c>
      <c r="I2016" t="s">
        <v>59</v>
      </c>
    </row>
    <row r="2017" spans="1:13" x14ac:dyDescent="0.3">
      <c r="A2017" t="str">
        <f>"13695967"</f>
        <v>13695967</v>
      </c>
      <c r="B2017" t="s">
        <v>4219</v>
      </c>
      <c r="C2017" t="str">
        <f>"736"</f>
        <v>736</v>
      </c>
      <c r="D2017" t="s">
        <v>22</v>
      </c>
      <c r="E2017" t="s">
        <v>83</v>
      </c>
      <c r="F2017" t="s">
        <v>409</v>
      </c>
      <c r="G2017" t="s">
        <v>4220</v>
      </c>
      <c r="H2017" t="str">
        <f>"93110"</f>
        <v>93110</v>
      </c>
      <c r="I2017" t="s">
        <v>92</v>
      </c>
    </row>
    <row r="2018" spans="1:13" x14ac:dyDescent="0.3">
      <c r="A2018" t="str">
        <f>"09782001"</f>
        <v>09782001</v>
      </c>
      <c r="B2018" t="s">
        <v>4221</v>
      </c>
      <c r="C2018" t="str">
        <f>"736"</f>
        <v>736</v>
      </c>
      <c r="D2018" t="s">
        <v>22</v>
      </c>
      <c r="E2018" t="s">
        <v>23</v>
      </c>
      <c r="F2018" t="s">
        <v>23</v>
      </c>
      <c r="G2018" t="s">
        <v>204</v>
      </c>
      <c r="H2018" t="str">
        <f>"9319"</f>
        <v>9319</v>
      </c>
      <c r="I2018" t="s">
        <v>59</v>
      </c>
    </row>
    <row r="2019" spans="1:13" x14ac:dyDescent="0.3">
      <c r="A2019" t="str">
        <f>"08555125"</f>
        <v>08555125</v>
      </c>
      <c r="B2019" t="s">
        <v>4222</v>
      </c>
      <c r="C2019" t="str">
        <f t="shared" ref="C2019:C2027" si="143">"706"</f>
        <v>706</v>
      </c>
      <c r="D2019" t="s">
        <v>28</v>
      </c>
      <c r="E2019" t="s">
        <v>23</v>
      </c>
      <c r="F2019" t="s">
        <v>23</v>
      </c>
      <c r="G2019" t="s">
        <v>4223</v>
      </c>
      <c r="H2019" t="str">
        <f>"9499"</f>
        <v>9499</v>
      </c>
      <c r="I2019" t="s">
        <v>31</v>
      </c>
    </row>
    <row r="2020" spans="1:13" x14ac:dyDescent="0.3">
      <c r="A2020" t="str">
        <f>"06857183"</f>
        <v>06857183</v>
      </c>
      <c r="B2020" t="s">
        <v>4224</v>
      </c>
      <c r="C2020" t="str">
        <f t="shared" si="143"/>
        <v>706</v>
      </c>
      <c r="D2020" t="s">
        <v>28</v>
      </c>
      <c r="E2020" t="s">
        <v>23</v>
      </c>
      <c r="F2020" t="s">
        <v>107</v>
      </c>
      <c r="G2020" t="s">
        <v>4225</v>
      </c>
      <c r="H2020" t="str">
        <f>"93190"</f>
        <v>93190</v>
      </c>
      <c r="I2020" t="s">
        <v>59</v>
      </c>
    </row>
    <row r="2021" spans="1:13" x14ac:dyDescent="0.3">
      <c r="A2021" t="str">
        <f>"22889434"</f>
        <v>22889434</v>
      </c>
      <c r="B2021" t="s">
        <v>4226</v>
      </c>
      <c r="C2021" t="str">
        <f t="shared" si="143"/>
        <v>706</v>
      </c>
      <c r="D2021" t="s">
        <v>28</v>
      </c>
      <c r="E2021" t="s">
        <v>52</v>
      </c>
      <c r="F2021" t="s">
        <v>1027</v>
      </c>
      <c r="G2021" t="s">
        <v>4227</v>
      </c>
      <c r="H2021" t="str">
        <f>"9499"</f>
        <v>9499</v>
      </c>
      <c r="I2021" t="s">
        <v>31</v>
      </c>
      <c r="J2021" t="s">
        <v>146</v>
      </c>
      <c r="K2021" t="s">
        <v>126</v>
      </c>
    </row>
    <row r="2022" spans="1:13" x14ac:dyDescent="0.3">
      <c r="A2022" t="str">
        <f>"04986318"</f>
        <v>04986318</v>
      </c>
      <c r="B2022" t="s">
        <v>4228</v>
      </c>
      <c r="C2022" t="str">
        <f t="shared" si="143"/>
        <v>706</v>
      </c>
      <c r="D2022" t="s">
        <v>28</v>
      </c>
      <c r="E2022" t="s">
        <v>23</v>
      </c>
      <c r="F2022" t="s">
        <v>23</v>
      </c>
      <c r="G2022" t="s">
        <v>4229</v>
      </c>
      <c r="H2022" t="str">
        <f>"9499"</f>
        <v>9499</v>
      </c>
      <c r="I2022" t="s">
        <v>31</v>
      </c>
    </row>
    <row r="2023" spans="1:13" x14ac:dyDescent="0.3">
      <c r="A2023" t="str">
        <f>"07448244"</f>
        <v>07448244</v>
      </c>
      <c r="B2023" t="s">
        <v>4230</v>
      </c>
      <c r="C2023" t="str">
        <f t="shared" si="143"/>
        <v>706</v>
      </c>
      <c r="D2023" t="s">
        <v>28</v>
      </c>
      <c r="E2023" t="s">
        <v>52</v>
      </c>
      <c r="F2023" t="s">
        <v>612</v>
      </c>
      <c r="G2023" t="s">
        <v>4231</v>
      </c>
      <c r="H2023" t="str">
        <f>"90010"</f>
        <v>90010</v>
      </c>
      <c r="I2023" t="s">
        <v>2014</v>
      </c>
    </row>
    <row r="2024" spans="1:13" x14ac:dyDescent="0.3">
      <c r="A2024" t="str">
        <f>"22610715"</f>
        <v>22610715</v>
      </c>
      <c r="B2024" t="s">
        <v>4232</v>
      </c>
      <c r="C2024" t="str">
        <f t="shared" si="143"/>
        <v>706</v>
      </c>
      <c r="D2024" t="s">
        <v>28</v>
      </c>
      <c r="E2024" t="s">
        <v>83</v>
      </c>
      <c r="F2024" t="s">
        <v>895</v>
      </c>
      <c r="G2024" t="s">
        <v>4233</v>
      </c>
      <c r="H2024" t="str">
        <f>"9499"</f>
        <v>9499</v>
      </c>
      <c r="I2024" t="s">
        <v>31</v>
      </c>
    </row>
    <row r="2025" spans="1:13" x14ac:dyDescent="0.3">
      <c r="A2025" t="str">
        <f>"22664823"</f>
        <v>22664823</v>
      </c>
      <c r="B2025" t="s">
        <v>4234</v>
      </c>
      <c r="C2025" t="str">
        <f t="shared" si="143"/>
        <v>706</v>
      </c>
      <c r="D2025" t="s">
        <v>28</v>
      </c>
      <c r="E2025" t="s">
        <v>83</v>
      </c>
      <c r="F2025" t="s">
        <v>1576</v>
      </c>
      <c r="G2025" t="s">
        <v>4235</v>
      </c>
      <c r="H2025" t="str">
        <f>"9499"</f>
        <v>9499</v>
      </c>
      <c r="I2025" t="s">
        <v>31</v>
      </c>
      <c r="J2025" t="s">
        <v>238</v>
      </c>
      <c r="K2025" t="s">
        <v>498</v>
      </c>
      <c r="L2025" t="s">
        <v>4236</v>
      </c>
    </row>
    <row r="2026" spans="1:13" x14ac:dyDescent="0.3">
      <c r="A2026" t="str">
        <f>"22763015"</f>
        <v>22763015</v>
      </c>
      <c r="B2026" t="s">
        <v>4237</v>
      </c>
      <c r="C2026" t="str">
        <f t="shared" si="143"/>
        <v>706</v>
      </c>
      <c r="D2026" t="s">
        <v>28</v>
      </c>
      <c r="E2026" t="s">
        <v>83</v>
      </c>
      <c r="F2026" t="s">
        <v>83</v>
      </c>
      <c r="G2026" t="s">
        <v>4238</v>
      </c>
      <c r="H2026" t="str">
        <f>"93110"</f>
        <v>93110</v>
      </c>
      <c r="I2026" t="s">
        <v>92</v>
      </c>
    </row>
    <row r="2027" spans="1:13" x14ac:dyDescent="0.3">
      <c r="A2027" t="str">
        <f>"02093359"</f>
        <v>02093359</v>
      </c>
      <c r="B2027" t="s">
        <v>4239</v>
      </c>
      <c r="C2027" t="str">
        <f t="shared" si="143"/>
        <v>706</v>
      </c>
      <c r="D2027" t="s">
        <v>28</v>
      </c>
      <c r="E2027" t="s">
        <v>83</v>
      </c>
      <c r="F2027" t="s">
        <v>83</v>
      </c>
      <c r="G2027" t="s">
        <v>3104</v>
      </c>
      <c r="H2027" t="str">
        <f>"93110"</f>
        <v>93110</v>
      </c>
      <c r="I2027" t="s">
        <v>92</v>
      </c>
    </row>
    <row r="2028" spans="1:13" x14ac:dyDescent="0.3">
      <c r="A2028" t="str">
        <f>"27726444"</f>
        <v>27726444</v>
      </c>
      <c r="B2028" t="s">
        <v>4240</v>
      </c>
      <c r="C2028" t="str">
        <f>"141"</f>
        <v>141</v>
      </c>
      <c r="D2028" t="s">
        <v>112</v>
      </c>
      <c r="E2028" t="s">
        <v>83</v>
      </c>
      <c r="F2028" t="s">
        <v>83</v>
      </c>
      <c r="G2028" t="s">
        <v>4241</v>
      </c>
      <c r="H2028" t="str">
        <f>"9499"</f>
        <v>9499</v>
      </c>
      <c r="I2028" t="s">
        <v>31</v>
      </c>
      <c r="J2028" t="s">
        <v>258</v>
      </c>
      <c r="K2028" t="s">
        <v>146</v>
      </c>
      <c r="L2028" t="s">
        <v>989</v>
      </c>
      <c r="M2028" t="s">
        <v>262</v>
      </c>
    </row>
    <row r="2029" spans="1:13" x14ac:dyDescent="0.3">
      <c r="A2029" t="str">
        <f>"60575654"</f>
        <v>60575654</v>
      </c>
      <c r="B2029" t="s">
        <v>4242</v>
      </c>
      <c r="C2029" t="str">
        <f t="shared" ref="C2029:C2035" si="144">"706"</f>
        <v>706</v>
      </c>
      <c r="D2029" t="s">
        <v>28</v>
      </c>
      <c r="E2029" t="s">
        <v>83</v>
      </c>
      <c r="F2029" t="s">
        <v>83</v>
      </c>
      <c r="G2029" t="s">
        <v>4241</v>
      </c>
      <c r="H2029" t="str">
        <f>"9499"</f>
        <v>9499</v>
      </c>
      <c r="I2029" t="s">
        <v>31</v>
      </c>
    </row>
    <row r="2030" spans="1:13" x14ac:dyDescent="0.3">
      <c r="A2030" t="str">
        <f>"22903127"</f>
        <v>22903127</v>
      </c>
      <c r="B2030" t="s">
        <v>4243</v>
      </c>
      <c r="C2030" t="str">
        <f t="shared" si="144"/>
        <v>706</v>
      </c>
      <c r="D2030" t="s">
        <v>28</v>
      </c>
      <c r="E2030" t="s">
        <v>83</v>
      </c>
      <c r="F2030" t="s">
        <v>83</v>
      </c>
      <c r="G2030" t="s">
        <v>4244</v>
      </c>
      <c r="H2030" t="str">
        <f>"94993"</f>
        <v>94993</v>
      </c>
      <c r="I2030" t="s">
        <v>50</v>
      </c>
    </row>
    <row r="2031" spans="1:13" x14ac:dyDescent="0.3">
      <c r="A2031" t="str">
        <f>"08515697"</f>
        <v>08515697</v>
      </c>
      <c r="B2031" t="s">
        <v>4245</v>
      </c>
      <c r="C2031" t="str">
        <f t="shared" si="144"/>
        <v>706</v>
      </c>
      <c r="D2031" t="s">
        <v>28</v>
      </c>
      <c r="E2031" t="s">
        <v>83</v>
      </c>
      <c r="F2031" t="s">
        <v>175</v>
      </c>
      <c r="G2031" t="s">
        <v>3102</v>
      </c>
      <c r="H2031" t="str">
        <f>"93120"</f>
        <v>93120</v>
      </c>
      <c r="I2031" t="s">
        <v>54</v>
      </c>
    </row>
    <row r="2032" spans="1:13" x14ac:dyDescent="0.3">
      <c r="A2032" t="str">
        <f>"65270134"</f>
        <v>65270134</v>
      </c>
      <c r="B2032" t="s">
        <v>4246</v>
      </c>
      <c r="C2032" t="str">
        <f t="shared" si="144"/>
        <v>706</v>
      </c>
      <c r="D2032" t="s">
        <v>28</v>
      </c>
      <c r="E2032" t="s">
        <v>83</v>
      </c>
      <c r="F2032" t="s">
        <v>83</v>
      </c>
      <c r="G2032" t="s">
        <v>4247</v>
      </c>
      <c r="H2032" t="str">
        <f>"9499"</f>
        <v>9499</v>
      </c>
      <c r="I2032" t="s">
        <v>31</v>
      </c>
    </row>
    <row r="2033" spans="1:9" x14ac:dyDescent="0.3">
      <c r="A2033" t="str">
        <f>"66597714"</f>
        <v>66597714</v>
      </c>
      <c r="B2033" t="s">
        <v>4248</v>
      </c>
      <c r="C2033" t="str">
        <f t="shared" si="144"/>
        <v>706</v>
      </c>
      <c r="D2033" t="s">
        <v>28</v>
      </c>
      <c r="E2033" t="s">
        <v>23</v>
      </c>
      <c r="F2033" t="s">
        <v>1657</v>
      </c>
      <c r="G2033" t="s">
        <v>4249</v>
      </c>
      <c r="H2033" t="str">
        <f>"90010"</f>
        <v>90010</v>
      </c>
      <c r="I2033" t="s">
        <v>2014</v>
      </c>
    </row>
    <row r="2034" spans="1:9" x14ac:dyDescent="0.3">
      <c r="A2034" t="str">
        <f>"19467940"</f>
        <v>19467940</v>
      </c>
      <c r="B2034" t="s">
        <v>4250</v>
      </c>
      <c r="C2034" t="str">
        <f t="shared" si="144"/>
        <v>706</v>
      </c>
      <c r="D2034" t="s">
        <v>28</v>
      </c>
      <c r="E2034" t="s">
        <v>23</v>
      </c>
      <c r="F2034" t="s">
        <v>710</v>
      </c>
      <c r="G2034" t="s">
        <v>4251</v>
      </c>
      <c r="H2034" t="str">
        <f>"9499"</f>
        <v>9499</v>
      </c>
      <c r="I2034" t="s">
        <v>31</v>
      </c>
    </row>
    <row r="2035" spans="1:9" x14ac:dyDescent="0.3">
      <c r="A2035" t="str">
        <f>"19843216"</f>
        <v>19843216</v>
      </c>
      <c r="B2035" t="s">
        <v>4252</v>
      </c>
      <c r="C2035" t="str">
        <f t="shared" si="144"/>
        <v>706</v>
      </c>
      <c r="D2035" t="s">
        <v>28</v>
      </c>
      <c r="E2035" t="s">
        <v>52</v>
      </c>
      <c r="F2035" t="s">
        <v>739</v>
      </c>
      <c r="G2035" t="s">
        <v>4253</v>
      </c>
      <c r="H2035" t="str">
        <f>"9499"</f>
        <v>9499</v>
      </c>
      <c r="I2035" t="s">
        <v>31</v>
      </c>
    </row>
    <row r="2036" spans="1:9" x14ac:dyDescent="0.3">
      <c r="A2036" t="str">
        <f>"02015048"</f>
        <v>02015048</v>
      </c>
      <c r="B2036" t="s">
        <v>4254</v>
      </c>
      <c r="C2036" t="str">
        <f>"118"</f>
        <v>118</v>
      </c>
      <c r="D2036" t="s">
        <v>337</v>
      </c>
      <c r="E2036" t="s">
        <v>29</v>
      </c>
      <c r="F2036" t="s">
        <v>1266</v>
      </c>
      <c r="G2036" t="s">
        <v>4255</v>
      </c>
      <c r="H2036" t="str">
        <f>"9499"</f>
        <v>9499</v>
      </c>
      <c r="I2036" t="s">
        <v>31</v>
      </c>
    </row>
    <row r="2037" spans="1:9" x14ac:dyDescent="0.3">
      <c r="A2037" t="str">
        <f>"68686528"</f>
        <v>68686528</v>
      </c>
      <c r="B2037" t="s">
        <v>4256</v>
      </c>
      <c r="C2037" t="str">
        <f t="shared" ref="C2037:C2045" si="145">"706"</f>
        <v>706</v>
      </c>
      <c r="D2037" t="s">
        <v>28</v>
      </c>
      <c r="E2037" t="s">
        <v>52</v>
      </c>
      <c r="F2037" t="s">
        <v>362</v>
      </c>
      <c r="G2037" t="s">
        <v>4257</v>
      </c>
      <c r="H2037" t="str">
        <f>"9499"</f>
        <v>9499</v>
      </c>
      <c r="I2037" t="s">
        <v>31</v>
      </c>
    </row>
    <row r="2038" spans="1:9" x14ac:dyDescent="0.3">
      <c r="A2038" t="str">
        <f>"66743583"</f>
        <v>66743583</v>
      </c>
      <c r="B2038" t="s">
        <v>4258</v>
      </c>
      <c r="C2038" t="str">
        <f t="shared" si="145"/>
        <v>706</v>
      </c>
      <c r="D2038" t="s">
        <v>28</v>
      </c>
      <c r="E2038" t="s">
        <v>23</v>
      </c>
      <c r="F2038" t="s">
        <v>1885</v>
      </c>
      <c r="G2038" t="s">
        <v>4259</v>
      </c>
      <c r="H2038" t="str">
        <f>"94991"</f>
        <v>94991</v>
      </c>
      <c r="I2038" t="s">
        <v>433</v>
      </c>
    </row>
    <row r="2039" spans="1:9" x14ac:dyDescent="0.3">
      <c r="A2039" t="str">
        <f>"26535114"</f>
        <v>26535114</v>
      </c>
      <c r="B2039" t="s">
        <v>4260</v>
      </c>
      <c r="C2039" t="str">
        <f t="shared" si="145"/>
        <v>706</v>
      </c>
      <c r="D2039" t="s">
        <v>28</v>
      </c>
      <c r="E2039" t="s">
        <v>23</v>
      </c>
      <c r="F2039" t="s">
        <v>23</v>
      </c>
      <c r="G2039" t="s">
        <v>4261</v>
      </c>
      <c r="H2039" t="str">
        <f t="shared" ref="H2039:H2046" si="146">"9499"</f>
        <v>9499</v>
      </c>
      <c r="I2039" t="s">
        <v>31</v>
      </c>
    </row>
    <row r="2040" spans="1:9" x14ac:dyDescent="0.3">
      <c r="A2040" t="str">
        <f>"26608006"</f>
        <v>26608006</v>
      </c>
      <c r="B2040" t="s">
        <v>4262</v>
      </c>
      <c r="C2040" t="str">
        <f t="shared" si="145"/>
        <v>706</v>
      </c>
      <c r="D2040" t="s">
        <v>28</v>
      </c>
      <c r="E2040" t="s">
        <v>83</v>
      </c>
      <c r="F2040" t="s">
        <v>183</v>
      </c>
      <c r="G2040" t="s">
        <v>4263</v>
      </c>
      <c r="H2040" t="str">
        <f t="shared" si="146"/>
        <v>9499</v>
      </c>
      <c r="I2040" t="s">
        <v>31</v>
      </c>
    </row>
    <row r="2041" spans="1:9" x14ac:dyDescent="0.3">
      <c r="A2041" t="str">
        <f>"70879958"</f>
        <v>70879958</v>
      </c>
      <c r="B2041" t="s">
        <v>4264</v>
      </c>
      <c r="C2041" t="str">
        <f t="shared" si="145"/>
        <v>706</v>
      </c>
      <c r="D2041" t="s">
        <v>28</v>
      </c>
      <c r="E2041" t="s">
        <v>52</v>
      </c>
      <c r="F2041" t="s">
        <v>52</v>
      </c>
      <c r="G2041" t="s">
        <v>1240</v>
      </c>
      <c r="H2041" t="str">
        <f t="shared" si="146"/>
        <v>9499</v>
      </c>
      <c r="I2041" t="s">
        <v>31</v>
      </c>
    </row>
    <row r="2042" spans="1:9" x14ac:dyDescent="0.3">
      <c r="A2042" t="str">
        <f>"03529576"</f>
        <v>03529576</v>
      </c>
      <c r="B2042" t="s">
        <v>4265</v>
      </c>
      <c r="C2042" t="str">
        <f t="shared" si="145"/>
        <v>706</v>
      </c>
      <c r="D2042" t="s">
        <v>28</v>
      </c>
      <c r="E2042" t="s">
        <v>23</v>
      </c>
      <c r="F2042" t="s">
        <v>23</v>
      </c>
      <c r="G2042" t="s">
        <v>3112</v>
      </c>
      <c r="H2042" t="str">
        <f t="shared" si="146"/>
        <v>9499</v>
      </c>
      <c r="I2042" t="s">
        <v>31</v>
      </c>
    </row>
    <row r="2043" spans="1:9" x14ac:dyDescent="0.3">
      <c r="A2043" t="str">
        <f>"65399242"</f>
        <v>65399242</v>
      </c>
      <c r="B2043" t="s">
        <v>4266</v>
      </c>
      <c r="C2043" t="str">
        <f t="shared" si="145"/>
        <v>706</v>
      </c>
      <c r="D2043" t="s">
        <v>28</v>
      </c>
      <c r="E2043" t="s">
        <v>29</v>
      </c>
      <c r="F2043" t="s">
        <v>29</v>
      </c>
      <c r="G2043" t="s">
        <v>4267</v>
      </c>
      <c r="H2043" t="str">
        <f t="shared" si="146"/>
        <v>9499</v>
      </c>
      <c r="I2043" t="s">
        <v>31</v>
      </c>
    </row>
    <row r="2044" spans="1:9" x14ac:dyDescent="0.3">
      <c r="A2044" t="str">
        <f>"70877432"</f>
        <v>70877432</v>
      </c>
      <c r="B2044" t="s">
        <v>4268</v>
      </c>
      <c r="C2044" t="str">
        <f t="shared" si="145"/>
        <v>706</v>
      </c>
      <c r="D2044" t="s">
        <v>28</v>
      </c>
      <c r="E2044" t="s">
        <v>29</v>
      </c>
      <c r="F2044" t="s">
        <v>29</v>
      </c>
      <c r="G2044" t="s">
        <v>4269</v>
      </c>
      <c r="H2044" t="str">
        <f t="shared" si="146"/>
        <v>9499</v>
      </c>
      <c r="I2044" t="s">
        <v>31</v>
      </c>
    </row>
    <row r="2045" spans="1:9" x14ac:dyDescent="0.3">
      <c r="A2045" t="str">
        <f>"62180193"</f>
        <v>62180193</v>
      </c>
      <c r="B2045" t="s">
        <v>4270</v>
      </c>
      <c r="C2045" t="str">
        <f t="shared" si="145"/>
        <v>706</v>
      </c>
      <c r="D2045" t="s">
        <v>28</v>
      </c>
      <c r="E2045" t="s">
        <v>23</v>
      </c>
      <c r="F2045" t="s">
        <v>1555</v>
      </c>
      <c r="G2045" t="s">
        <v>4271</v>
      </c>
      <c r="H2045" t="str">
        <f t="shared" si="146"/>
        <v>9499</v>
      </c>
      <c r="I2045" t="s">
        <v>31</v>
      </c>
    </row>
    <row r="2046" spans="1:9" x14ac:dyDescent="0.3">
      <c r="A2046" t="str">
        <f>"65891091"</f>
        <v>65891091</v>
      </c>
      <c r="B2046" t="s">
        <v>4272</v>
      </c>
      <c r="C2046" t="str">
        <f>"736"</f>
        <v>736</v>
      </c>
      <c r="D2046" t="s">
        <v>22</v>
      </c>
      <c r="E2046" t="s">
        <v>29</v>
      </c>
      <c r="F2046" t="s">
        <v>29</v>
      </c>
      <c r="G2046" t="s">
        <v>4273</v>
      </c>
      <c r="H2046" t="str">
        <f t="shared" si="146"/>
        <v>9499</v>
      </c>
      <c r="I2046" t="s">
        <v>31</v>
      </c>
    </row>
    <row r="2047" spans="1:9" x14ac:dyDescent="0.3">
      <c r="A2047" t="str">
        <f>"70238600"</f>
        <v>70238600</v>
      </c>
      <c r="B2047" t="s">
        <v>4275</v>
      </c>
      <c r="C2047" t="str">
        <f>"722"</f>
        <v>722</v>
      </c>
      <c r="D2047" t="s">
        <v>315</v>
      </c>
      <c r="E2047" t="s">
        <v>29</v>
      </c>
      <c r="F2047" t="s">
        <v>2220</v>
      </c>
      <c r="G2047" t="s">
        <v>4276</v>
      </c>
      <c r="H2047" t="str">
        <f>"94910"</f>
        <v>94910</v>
      </c>
      <c r="I2047" t="s">
        <v>316</v>
      </c>
    </row>
    <row r="2048" spans="1:9" x14ac:dyDescent="0.3">
      <c r="A2048" t="str">
        <f>"07016638"</f>
        <v>07016638</v>
      </c>
      <c r="B2048" t="s">
        <v>4277</v>
      </c>
      <c r="C2048" t="str">
        <f>"722"</f>
        <v>722</v>
      </c>
      <c r="D2048" t="s">
        <v>315</v>
      </c>
      <c r="E2048" t="s">
        <v>23</v>
      </c>
      <c r="F2048" t="s">
        <v>306</v>
      </c>
      <c r="G2048" t="s">
        <v>4278</v>
      </c>
      <c r="H2048" t="str">
        <f>"94910"</f>
        <v>94910</v>
      </c>
      <c r="I2048" t="s">
        <v>316</v>
      </c>
    </row>
    <row r="2049" spans="1:9" x14ac:dyDescent="0.3">
      <c r="A2049" t="str">
        <f>"26522900"</f>
        <v>26522900</v>
      </c>
      <c r="B2049" t="s">
        <v>4279</v>
      </c>
      <c r="C2049" t="str">
        <f>"722"</f>
        <v>722</v>
      </c>
      <c r="D2049" t="s">
        <v>315</v>
      </c>
      <c r="E2049" t="s">
        <v>29</v>
      </c>
      <c r="F2049" t="s">
        <v>29</v>
      </c>
      <c r="G2049" t="s">
        <v>4280</v>
      </c>
      <c r="H2049" t="str">
        <f>"94910"</f>
        <v>94910</v>
      </c>
      <c r="I2049" t="s">
        <v>316</v>
      </c>
    </row>
    <row r="2050" spans="1:9" x14ac:dyDescent="0.3">
      <c r="A2050" t="str">
        <f>"70418985"</f>
        <v>70418985</v>
      </c>
      <c r="B2050" t="s">
        <v>4281</v>
      </c>
      <c r="C2050" t="str">
        <f>"722"</f>
        <v>722</v>
      </c>
      <c r="D2050" t="s">
        <v>315</v>
      </c>
      <c r="E2050" t="s">
        <v>23</v>
      </c>
      <c r="F2050" t="s">
        <v>23</v>
      </c>
      <c r="G2050" t="s">
        <v>1437</v>
      </c>
      <c r="H2050" t="str">
        <f>"94910"</f>
        <v>94910</v>
      </c>
      <c r="I2050" t="s">
        <v>316</v>
      </c>
    </row>
    <row r="2051" spans="1:9" x14ac:dyDescent="0.3">
      <c r="A2051" t="str">
        <f>"08049661"</f>
        <v>08049661</v>
      </c>
      <c r="B2051" t="s">
        <v>4282</v>
      </c>
      <c r="C2051" t="str">
        <f>"118"</f>
        <v>118</v>
      </c>
      <c r="D2051" t="s">
        <v>337</v>
      </c>
      <c r="E2051" t="s">
        <v>23</v>
      </c>
      <c r="F2051" t="s">
        <v>23</v>
      </c>
      <c r="G2051" t="s">
        <v>4283</v>
      </c>
      <c r="H2051" t="str">
        <f>"9499"</f>
        <v>9499</v>
      </c>
      <c r="I2051" t="s">
        <v>31</v>
      </c>
    </row>
    <row r="2052" spans="1:9" x14ac:dyDescent="0.3">
      <c r="A2052" t="str">
        <f>"26592401"</f>
        <v>26592401</v>
      </c>
      <c r="B2052" t="s">
        <v>4284</v>
      </c>
      <c r="C2052" t="str">
        <f>"706"</f>
        <v>706</v>
      </c>
      <c r="D2052" t="s">
        <v>28</v>
      </c>
      <c r="E2052" t="s">
        <v>29</v>
      </c>
      <c r="F2052" t="s">
        <v>195</v>
      </c>
      <c r="G2052" t="s">
        <v>4285</v>
      </c>
      <c r="H2052" t="str">
        <f>"93110"</f>
        <v>93110</v>
      </c>
      <c r="I2052" t="s">
        <v>92</v>
      </c>
    </row>
    <row r="2053" spans="1:9" x14ac:dyDescent="0.3">
      <c r="A2053" t="str">
        <f>"19733232"</f>
        <v>19733232</v>
      </c>
      <c r="B2053" t="s">
        <v>4286</v>
      </c>
      <c r="C2053" t="str">
        <f>"706"</f>
        <v>706</v>
      </c>
      <c r="D2053" t="s">
        <v>28</v>
      </c>
      <c r="E2053" t="s">
        <v>83</v>
      </c>
      <c r="F2053" t="s">
        <v>1545</v>
      </c>
      <c r="G2053" t="s">
        <v>4287</v>
      </c>
      <c r="H2053" t="str">
        <f>"93190"</f>
        <v>93190</v>
      </c>
      <c r="I2053" t="s">
        <v>59</v>
      </c>
    </row>
    <row r="2054" spans="1:9" x14ac:dyDescent="0.3">
      <c r="A2054" t="str">
        <f>"26992345"</f>
        <v>26992345</v>
      </c>
      <c r="B2054" t="s">
        <v>4288</v>
      </c>
      <c r="C2054" t="str">
        <f>"706"</f>
        <v>706</v>
      </c>
      <c r="D2054" t="s">
        <v>28</v>
      </c>
      <c r="E2054" t="s">
        <v>83</v>
      </c>
      <c r="F2054" t="s">
        <v>183</v>
      </c>
      <c r="G2054" t="s">
        <v>4289</v>
      </c>
      <c r="H2054" t="str">
        <f>"93110"</f>
        <v>93110</v>
      </c>
      <c r="I2054" t="s">
        <v>92</v>
      </c>
    </row>
    <row r="2055" spans="1:9" x14ac:dyDescent="0.3">
      <c r="A2055" t="str">
        <f>"49157523"</f>
        <v>49157523</v>
      </c>
      <c r="B2055" t="s">
        <v>4290</v>
      </c>
      <c r="C2055" t="str">
        <f>"706"</f>
        <v>706</v>
      </c>
      <c r="D2055" t="s">
        <v>28</v>
      </c>
      <c r="E2055" t="s">
        <v>23</v>
      </c>
      <c r="F2055" t="s">
        <v>23</v>
      </c>
      <c r="G2055" t="s">
        <v>204</v>
      </c>
      <c r="H2055" t="str">
        <f>"93120"</f>
        <v>93120</v>
      </c>
      <c r="I2055" t="s">
        <v>54</v>
      </c>
    </row>
    <row r="2056" spans="1:9" x14ac:dyDescent="0.3">
      <c r="A2056" t="str">
        <f>"18044816"</f>
        <v>18044816</v>
      </c>
      <c r="B2056" t="s">
        <v>4291</v>
      </c>
      <c r="C2056" t="str">
        <f>"706"</f>
        <v>706</v>
      </c>
      <c r="D2056" t="s">
        <v>28</v>
      </c>
      <c r="E2056" t="s">
        <v>52</v>
      </c>
      <c r="F2056" t="s">
        <v>113</v>
      </c>
      <c r="G2056" t="s">
        <v>4292</v>
      </c>
      <c r="H2056" t="str">
        <f>"93190"</f>
        <v>93190</v>
      </c>
      <c r="I2056" t="s">
        <v>59</v>
      </c>
    </row>
    <row r="2057" spans="1:9" x14ac:dyDescent="0.3">
      <c r="A2057" t="str">
        <f>"02350998"</f>
        <v>02350998</v>
      </c>
      <c r="B2057" t="s">
        <v>4293</v>
      </c>
      <c r="C2057" t="str">
        <f>"141"</f>
        <v>141</v>
      </c>
      <c r="D2057" t="s">
        <v>112</v>
      </c>
      <c r="E2057" t="s">
        <v>23</v>
      </c>
      <c r="F2057" t="s">
        <v>688</v>
      </c>
      <c r="G2057" t="s">
        <v>4294</v>
      </c>
      <c r="H2057" t="str">
        <f>"91030"</f>
        <v>91030</v>
      </c>
      <c r="I2057" t="s">
        <v>4295</v>
      </c>
    </row>
    <row r="2058" spans="1:9" x14ac:dyDescent="0.3">
      <c r="A2058" t="str">
        <f>"22894080"</f>
        <v>22894080</v>
      </c>
      <c r="B2058" t="s">
        <v>4296</v>
      </c>
      <c r="C2058" t="str">
        <f t="shared" ref="C2058:C2068" si="147">"706"</f>
        <v>706</v>
      </c>
      <c r="D2058" t="s">
        <v>28</v>
      </c>
      <c r="E2058" t="s">
        <v>23</v>
      </c>
      <c r="F2058" t="s">
        <v>23</v>
      </c>
      <c r="G2058" t="s">
        <v>4297</v>
      </c>
      <c r="H2058" t="str">
        <f>"9499"</f>
        <v>9499</v>
      </c>
      <c r="I2058" t="s">
        <v>31</v>
      </c>
    </row>
    <row r="2059" spans="1:9" x14ac:dyDescent="0.3">
      <c r="A2059" t="str">
        <f>"10814060"</f>
        <v>10814060</v>
      </c>
      <c r="B2059" t="s">
        <v>4298</v>
      </c>
      <c r="C2059" t="str">
        <f t="shared" si="147"/>
        <v>706</v>
      </c>
      <c r="D2059" t="s">
        <v>28</v>
      </c>
      <c r="E2059" t="s">
        <v>83</v>
      </c>
      <c r="F2059" t="s">
        <v>1718</v>
      </c>
      <c r="G2059" t="s">
        <v>4299</v>
      </c>
      <c r="H2059" t="str">
        <f>"93190"</f>
        <v>93190</v>
      </c>
      <c r="I2059" t="s">
        <v>59</v>
      </c>
    </row>
    <row r="2060" spans="1:9" x14ac:dyDescent="0.3">
      <c r="A2060" t="str">
        <f>"65822625"</f>
        <v>65822625</v>
      </c>
      <c r="B2060" t="s">
        <v>4300</v>
      </c>
      <c r="C2060" t="str">
        <f t="shared" si="147"/>
        <v>706</v>
      </c>
      <c r="D2060" t="s">
        <v>28</v>
      </c>
      <c r="E2060" t="s">
        <v>23</v>
      </c>
      <c r="F2060" t="s">
        <v>23</v>
      </c>
      <c r="G2060" t="s">
        <v>204</v>
      </c>
      <c r="H2060" t="str">
        <f>"9499"</f>
        <v>9499</v>
      </c>
      <c r="I2060" t="s">
        <v>31</v>
      </c>
    </row>
    <row r="2061" spans="1:9" x14ac:dyDescent="0.3">
      <c r="A2061" t="str">
        <f>"06322280"</f>
        <v>06322280</v>
      </c>
      <c r="B2061" t="s">
        <v>4301</v>
      </c>
      <c r="C2061" t="str">
        <f t="shared" si="147"/>
        <v>706</v>
      </c>
      <c r="D2061" t="s">
        <v>28</v>
      </c>
      <c r="E2061" t="s">
        <v>83</v>
      </c>
      <c r="F2061" t="s">
        <v>83</v>
      </c>
      <c r="G2061" t="s">
        <v>4302</v>
      </c>
      <c r="H2061" t="str">
        <f>"93190"</f>
        <v>93190</v>
      </c>
      <c r="I2061" t="s">
        <v>59</v>
      </c>
    </row>
    <row r="2062" spans="1:9" x14ac:dyDescent="0.3">
      <c r="A2062" t="str">
        <f>"07619146"</f>
        <v>07619146</v>
      </c>
      <c r="B2062" t="s">
        <v>4303</v>
      </c>
      <c r="C2062" t="str">
        <f t="shared" si="147"/>
        <v>706</v>
      </c>
      <c r="D2062" t="s">
        <v>28</v>
      </c>
      <c r="E2062" t="s">
        <v>83</v>
      </c>
      <c r="F2062" t="s">
        <v>1691</v>
      </c>
      <c r="G2062" t="s">
        <v>4304</v>
      </c>
      <c r="H2062" t="str">
        <f>"93190"</f>
        <v>93190</v>
      </c>
      <c r="I2062" t="s">
        <v>59</v>
      </c>
    </row>
    <row r="2063" spans="1:9" x14ac:dyDescent="0.3">
      <c r="A2063" t="str">
        <f>"14097435"</f>
        <v>14097435</v>
      </c>
      <c r="B2063" t="s">
        <v>4305</v>
      </c>
      <c r="C2063" t="str">
        <f t="shared" si="147"/>
        <v>706</v>
      </c>
      <c r="D2063" t="s">
        <v>28</v>
      </c>
      <c r="E2063" t="s">
        <v>83</v>
      </c>
      <c r="F2063" t="s">
        <v>83</v>
      </c>
      <c r="G2063" t="s">
        <v>4306</v>
      </c>
      <c r="H2063" t="str">
        <f>"9499"</f>
        <v>9499</v>
      </c>
      <c r="I2063" t="s">
        <v>31</v>
      </c>
    </row>
    <row r="2064" spans="1:9" x14ac:dyDescent="0.3">
      <c r="A2064" t="str">
        <f>"08242925"</f>
        <v>08242925</v>
      </c>
      <c r="B2064" t="s">
        <v>4307</v>
      </c>
      <c r="C2064" t="str">
        <f t="shared" si="147"/>
        <v>706</v>
      </c>
      <c r="D2064" t="s">
        <v>28</v>
      </c>
      <c r="E2064" t="s">
        <v>83</v>
      </c>
      <c r="F2064" t="s">
        <v>520</v>
      </c>
      <c r="G2064" t="s">
        <v>4308</v>
      </c>
      <c r="H2064" t="str">
        <f>"9499"</f>
        <v>9499</v>
      </c>
      <c r="I2064" t="s">
        <v>31</v>
      </c>
    </row>
    <row r="2065" spans="1:16" x14ac:dyDescent="0.3">
      <c r="A2065" t="str">
        <f>"06933327"</f>
        <v>06933327</v>
      </c>
      <c r="B2065" t="s">
        <v>4309</v>
      </c>
      <c r="C2065" t="str">
        <f t="shared" si="147"/>
        <v>706</v>
      </c>
      <c r="D2065" t="s">
        <v>28</v>
      </c>
      <c r="E2065" t="s">
        <v>52</v>
      </c>
      <c r="F2065" t="s">
        <v>234</v>
      </c>
      <c r="G2065" t="s">
        <v>1414</v>
      </c>
      <c r="H2065" t="str">
        <f>"93190"</f>
        <v>93190</v>
      </c>
      <c r="I2065" t="s">
        <v>59</v>
      </c>
    </row>
    <row r="2066" spans="1:16" x14ac:dyDescent="0.3">
      <c r="A2066" t="str">
        <f>"26612674"</f>
        <v>26612674</v>
      </c>
      <c r="B2066" t="s">
        <v>4310</v>
      </c>
      <c r="C2066" t="str">
        <f t="shared" si="147"/>
        <v>706</v>
      </c>
      <c r="D2066" t="s">
        <v>28</v>
      </c>
      <c r="E2066" t="s">
        <v>29</v>
      </c>
      <c r="F2066" t="s">
        <v>38</v>
      </c>
      <c r="G2066" t="s">
        <v>2360</v>
      </c>
      <c r="H2066" t="str">
        <f t="shared" ref="H2066:H2073" si="148">"9499"</f>
        <v>9499</v>
      </c>
      <c r="I2066" t="s">
        <v>31</v>
      </c>
      <c r="J2066" t="s">
        <v>4311</v>
      </c>
      <c r="K2066" t="s">
        <v>258</v>
      </c>
      <c r="L2066" t="s">
        <v>312</v>
      </c>
      <c r="M2066" t="s">
        <v>2350</v>
      </c>
      <c r="N2066" t="s">
        <v>1160</v>
      </c>
      <c r="O2066" t="s">
        <v>2300</v>
      </c>
      <c r="P2066" t="s">
        <v>163</v>
      </c>
    </row>
    <row r="2067" spans="1:16" x14ac:dyDescent="0.3">
      <c r="A2067" t="str">
        <f>"70838518"</f>
        <v>70838518</v>
      </c>
      <c r="B2067" t="s">
        <v>4312</v>
      </c>
      <c r="C2067" t="str">
        <f t="shared" si="147"/>
        <v>706</v>
      </c>
      <c r="D2067" t="s">
        <v>28</v>
      </c>
      <c r="E2067" t="s">
        <v>52</v>
      </c>
      <c r="F2067" t="s">
        <v>1027</v>
      </c>
      <c r="G2067" t="s">
        <v>2108</v>
      </c>
      <c r="H2067" t="str">
        <f t="shared" si="148"/>
        <v>9499</v>
      </c>
      <c r="I2067" t="s">
        <v>31</v>
      </c>
    </row>
    <row r="2068" spans="1:16" x14ac:dyDescent="0.3">
      <c r="A2068" t="str">
        <f>"01875906"</f>
        <v>01875906</v>
      </c>
      <c r="B2068" t="s">
        <v>4313</v>
      </c>
      <c r="C2068" t="str">
        <f t="shared" si="147"/>
        <v>706</v>
      </c>
      <c r="D2068" t="s">
        <v>28</v>
      </c>
      <c r="E2068" t="s">
        <v>23</v>
      </c>
      <c r="F2068" t="s">
        <v>99</v>
      </c>
      <c r="G2068" t="s">
        <v>1849</v>
      </c>
      <c r="H2068" t="str">
        <f t="shared" si="148"/>
        <v>9499</v>
      </c>
      <c r="I2068" t="s">
        <v>31</v>
      </c>
    </row>
    <row r="2069" spans="1:16" x14ac:dyDescent="0.3">
      <c r="A2069" t="str">
        <f>"47930187"</f>
        <v>47930187</v>
      </c>
      <c r="B2069" t="s">
        <v>4314</v>
      </c>
      <c r="C2069" t="str">
        <f>"118"</f>
        <v>118</v>
      </c>
      <c r="D2069" t="s">
        <v>337</v>
      </c>
      <c r="E2069" t="s">
        <v>83</v>
      </c>
      <c r="F2069" t="s">
        <v>175</v>
      </c>
      <c r="G2069" t="s">
        <v>4080</v>
      </c>
      <c r="H2069" t="str">
        <f t="shared" si="148"/>
        <v>9499</v>
      </c>
      <c r="I2069" t="s">
        <v>31</v>
      </c>
    </row>
    <row r="2070" spans="1:16" x14ac:dyDescent="0.3">
      <c r="A2070" t="str">
        <f>"02040654"</f>
        <v>02040654</v>
      </c>
      <c r="B2070" t="s">
        <v>4315</v>
      </c>
      <c r="C2070" t="str">
        <f t="shared" ref="C2070:C2088" si="149">"706"</f>
        <v>706</v>
      </c>
      <c r="D2070" t="s">
        <v>28</v>
      </c>
      <c r="E2070" t="s">
        <v>52</v>
      </c>
      <c r="F2070" t="s">
        <v>344</v>
      </c>
      <c r="G2070" t="s">
        <v>4316</v>
      </c>
      <c r="H2070" t="str">
        <f t="shared" si="148"/>
        <v>9499</v>
      </c>
      <c r="I2070" t="s">
        <v>31</v>
      </c>
    </row>
    <row r="2071" spans="1:16" x14ac:dyDescent="0.3">
      <c r="A2071" t="str">
        <f>"27058735"</f>
        <v>27058735</v>
      </c>
      <c r="B2071" t="s">
        <v>4317</v>
      </c>
      <c r="C2071" t="str">
        <f t="shared" si="149"/>
        <v>706</v>
      </c>
      <c r="D2071" t="s">
        <v>28</v>
      </c>
      <c r="E2071" t="s">
        <v>83</v>
      </c>
      <c r="F2071" t="s">
        <v>3361</v>
      </c>
      <c r="G2071" t="s">
        <v>4318</v>
      </c>
      <c r="H2071" t="str">
        <f t="shared" si="148"/>
        <v>9499</v>
      </c>
      <c r="I2071" t="s">
        <v>31</v>
      </c>
    </row>
    <row r="2072" spans="1:16" x14ac:dyDescent="0.3">
      <c r="A2072" t="str">
        <f>"22849513"</f>
        <v>22849513</v>
      </c>
      <c r="B2072" t="s">
        <v>4319</v>
      </c>
      <c r="C2072" t="str">
        <f t="shared" si="149"/>
        <v>706</v>
      </c>
      <c r="D2072" t="s">
        <v>28</v>
      </c>
      <c r="E2072" t="s">
        <v>83</v>
      </c>
      <c r="F2072" t="s">
        <v>183</v>
      </c>
      <c r="G2072" t="s">
        <v>4320</v>
      </c>
      <c r="H2072" t="str">
        <f t="shared" si="148"/>
        <v>9499</v>
      </c>
      <c r="I2072" t="s">
        <v>31</v>
      </c>
    </row>
    <row r="2073" spans="1:16" x14ac:dyDescent="0.3">
      <c r="A2073" t="str">
        <f>"22848690"</f>
        <v>22848690</v>
      </c>
      <c r="B2073" t="s">
        <v>4321</v>
      </c>
      <c r="C2073" t="str">
        <f t="shared" si="149"/>
        <v>706</v>
      </c>
      <c r="D2073" t="s">
        <v>28</v>
      </c>
      <c r="E2073" t="s">
        <v>29</v>
      </c>
      <c r="F2073" t="s">
        <v>45</v>
      </c>
      <c r="G2073" t="s">
        <v>4322</v>
      </c>
      <c r="H2073" t="str">
        <f t="shared" si="148"/>
        <v>9499</v>
      </c>
      <c r="I2073" t="s">
        <v>31</v>
      </c>
    </row>
    <row r="2074" spans="1:16" x14ac:dyDescent="0.3">
      <c r="A2074" t="str">
        <f>"22890611"</f>
        <v>22890611</v>
      </c>
      <c r="B2074" t="s">
        <v>4323</v>
      </c>
      <c r="C2074" t="str">
        <f t="shared" si="149"/>
        <v>706</v>
      </c>
      <c r="D2074" t="s">
        <v>28</v>
      </c>
      <c r="E2074" t="s">
        <v>83</v>
      </c>
      <c r="F2074" t="s">
        <v>4323</v>
      </c>
      <c r="G2074" t="s">
        <v>4324</v>
      </c>
      <c r="H2074" t="str">
        <f>"94995"</f>
        <v>94995</v>
      </c>
      <c r="I2074" t="s">
        <v>232</v>
      </c>
    </row>
    <row r="2075" spans="1:16" x14ac:dyDescent="0.3">
      <c r="A2075" t="str">
        <f>"22890483"</f>
        <v>22890483</v>
      </c>
      <c r="B2075" t="s">
        <v>4325</v>
      </c>
      <c r="C2075" t="str">
        <f t="shared" si="149"/>
        <v>706</v>
      </c>
      <c r="D2075" t="s">
        <v>28</v>
      </c>
      <c r="E2075" t="s">
        <v>52</v>
      </c>
      <c r="F2075" t="s">
        <v>864</v>
      </c>
      <c r="G2075" t="s">
        <v>4326</v>
      </c>
      <c r="H2075" t="str">
        <f>"9499"</f>
        <v>9499</v>
      </c>
      <c r="I2075" t="s">
        <v>31</v>
      </c>
    </row>
    <row r="2076" spans="1:16" x14ac:dyDescent="0.3">
      <c r="A2076" t="str">
        <f>"70901309"</f>
        <v>70901309</v>
      </c>
      <c r="B2076" t="s">
        <v>4327</v>
      </c>
      <c r="C2076" t="str">
        <f t="shared" si="149"/>
        <v>706</v>
      </c>
      <c r="D2076" t="s">
        <v>28</v>
      </c>
      <c r="E2076" t="s">
        <v>52</v>
      </c>
      <c r="F2076" t="s">
        <v>234</v>
      </c>
      <c r="G2076" t="s">
        <v>4328</v>
      </c>
      <c r="H2076" t="str">
        <f>"9499"</f>
        <v>9499</v>
      </c>
      <c r="I2076" t="s">
        <v>31</v>
      </c>
    </row>
    <row r="2077" spans="1:16" x14ac:dyDescent="0.3">
      <c r="A2077" t="str">
        <f>"22860754"</f>
        <v>22860754</v>
      </c>
      <c r="B2077" t="s">
        <v>4329</v>
      </c>
      <c r="C2077" t="str">
        <f t="shared" si="149"/>
        <v>706</v>
      </c>
      <c r="D2077" t="s">
        <v>28</v>
      </c>
      <c r="E2077" t="s">
        <v>52</v>
      </c>
      <c r="F2077" t="s">
        <v>234</v>
      </c>
      <c r="G2077" t="s">
        <v>4330</v>
      </c>
      <c r="H2077" t="str">
        <f>"90010"</f>
        <v>90010</v>
      </c>
      <c r="I2077" t="s">
        <v>2014</v>
      </c>
    </row>
    <row r="2078" spans="1:16" x14ac:dyDescent="0.3">
      <c r="A2078" t="str">
        <f>"17978491"</f>
        <v>17978491</v>
      </c>
      <c r="B2078" t="s">
        <v>4331</v>
      </c>
      <c r="C2078" t="str">
        <f t="shared" si="149"/>
        <v>706</v>
      </c>
      <c r="D2078" t="s">
        <v>28</v>
      </c>
      <c r="E2078" t="s">
        <v>83</v>
      </c>
      <c r="F2078" t="s">
        <v>175</v>
      </c>
      <c r="G2078" t="s">
        <v>4332</v>
      </c>
      <c r="H2078" t="str">
        <f>"9499"</f>
        <v>9499</v>
      </c>
      <c r="I2078" t="s">
        <v>31</v>
      </c>
    </row>
    <row r="2079" spans="1:16" x14ac:dyDescent="0.3">
      <c r="A2079" t="str">
        <f>"01543024"</f>
        <v>01543024</v>
      </c>
      <c r="B2079" t="s">
        <v>4333</v>
      </c>
      <c r="C2079" t="str">
        <f t="shared" si="149"/>
        <v>706</v>
      </c>
      <c r="D2079" t="s">
        <v>28</v>
      </c>
      <c r="E2079" t="s">
        <v>83</v>
      </c>
      <c r="F2079" t="s">
        <v>83</v>
      </c>
      <c r="G2079" t="s">
        <v>4302</v>
      </c>
      <c r="H2079" t="str">
        <f>"9499"</f>
        <v>9499</v>
      </c>
      <c r="I2079" t="s">
        <v>31</v>
      </c>
    </row>
    <row r="2080" spans="1:16" x14ac:dyDescent="0.3">
      <c r="A2080" t="str">
        <f>"48471038"</f>
        <v>48471038</v>
      </c>
      <c r="B2080" t="s">
        <v>4334</v>
      </c>
      <c r="C2080" t="str">
        <f t="shared" si="149"/>
        <v>706</v>
      </c>
      <c r="D2080" t="s">
        <v>28</v>
      </c>
      <c r="E2080" t="s">
        <v>23</v>
      </c>
      <c r="F2080" t="s">
        <v>23</v>
      </c>
      <c r="G2080" t="s">
        <v>204</v>
      </c>
      <c r="H2080" t="str">
        <f>"9499"</f>
        <v>9499</v>
      </c>
      <c r="I2080" t="s">
        <v>31</v>
      </c>
    </row>
    <row r="2081" spans="1:9" x14ac:dyDescent="0.3">
      <c r="A2081" t="str">
        <f>"26585561"</f>
        <v>26585561</v>
      </c>
      <c r="B2081" t="s">
        <v>4335</v>
      </c>
      <c r="C2081" t="str">
        <f t="shared" si="149"/>
        <v>706</v>
      </c>
      <c r="D2081" t="s">
        <v>28</v>
      </c>
      <c r="E2081" t="s">
        <v>83</v>
      </c>
      <c r="F2081" t="s">
        <v>83</v>
      </c>
      <c r="G2081" t="s">
        <v>4336</v>
      </c>
      <c r="H2081" t="str">
        <f>"93110"</f>
        <v>93110</v>
      </c>
      <c r="I2081" t="s">
        <v>92</v>
      </c>
    </row>
    <row r="2082" spans="1:9" x14ac:dyDescent="0.3">
      <c r="A2082" t="str">
        <f>"22730583"</f>
        <v>22730583</v>
      </c>
      <c r="B2082" t="s">
        <v>4337</v>
      </c>
      <c r="C2082" t="str">
        <f t="shared" si="149"/>
        <v>706</v>
      </c>
      <c r="D2082" t="s">
        <v>28</v>
      </c>
      <c r="E2082" t="s">
        <v>23</v>
      </c>
      <c r="F2082" t="s">
        <v>350</v>
      </c>
      <c r="G2082" t="s">
        <v>4338</v>
      </c>
      <c r="H2082" t="str">
        <f>"93120"</f>
        <v>93120</v>
      </c>
      <c r="I2082" t="s">
        <v>54</v>
      </c>
    </row>
    <row r="2083" spans="1:9" x14ac:dyDescent="0.3">
      <c r="A2083" t="str">
        <f>"02039371"</f>
        <v>02039371</v>
      </c>
      <c r="B2083" t="s">
        <v>4339</v>
      </c>
      <c r="C2083" t="str">
        <f t="shared" si="149"/>
        <v>706</v>
      </c>
      <c r="D2083" t="s">
        <v>28</v>
      </c>
      <c r="E2083" t="s">
        <v>83</v>
      </c>
      <c r="F2083" t="s">
        <v>537</v>
      </c>
      <c r="G2083" t="s">
        <v>4340</v>
      </c>
      <c r="H2083" t="str">
        <f>"9499"</f>
        <v>9499</v>
      </c>
      <c r="I2083" t="s">
        <v>31</v>
      </c>
    </row>
    <row r="2084" spans="1:9" x14ac:dyDescent="0.3">
      <c r="A2084" t="str">
        <f>"26535424"</f>
        <v>26535424</v>
      </c>
      <c r="B2084" t="s">
        <v>4341</v>
      </c>
      <c r="C2084" t="str">
        <f t="shared" si="149"/>
        <v>706</v>
      </c>
      <c r="D2084" t="s">
        <v>28</v>
      </c>
      <c r="E2084" t="s">
        <v>23</v>
      </c>
      <c r="F2084" t="s">
        <v>141</v>
      </c>
      <c r="G2084" t="s">
        <v>4342</v>
      </c>
      <c r="H2084" t="str">
        <f>"9499"</f>
        <v>9499</v>
      </c>
      <c r="I2084" t="s">
        <v>31</v>
      </c>
    </row>
    <row r="2085" spans="1:9" x14ac:dyDescent="0.3">
      <c r="A2085" t="str">
        <f>"02042070"</f>
        <v>02042070</v>
      </c>
      <c r="B2085" t="s">
        <v>4343</v>
      </c>
      <c r="C2085" t="str">
        <f t="shared" si="149"/>
        <v>706</v>
      </c>
      <c r="D2085" t="s">
        <v>28</v>
      </c>
      <c r="E2085" t="s">
        <v>23</v>
      </c>
      <c r="F2085" t="s">
        <v>1418</v>
      </c>
      <c r="G2085" t="s">
        <v>4344</v>
      </c>
      <c r="H2085" t="str">
        <f>"9499"</f>
        <v>9499</v>
      </c>
      <c r="I2085" t="s">
        <v>31</v>
      </c>
    </row>
    <row r="2086" spans="1:9" x14ac:dyDescent="0.3">
      <c r="A2086" t="str">
        <f>"07108729"</f>
        <v>07108729</v>
      </c>
      <c r="B2086" t="s">
        <v>4345</v>
      </c>
      <c r="C2086" t="str">
        <f t="shared" si="149"/>
        <v>706</v>
      </c>
      <c r="D2086" t="s">
        <v>28</v>
      </c>
      <c r="E2086" t="s">
        <v>23</v>
      </c>
      <c r="F2086" t="s">
        <v>35</v>
      </c>
      <c r="G2086" t="s">
        <v>700</v>
      </c>
      <c r="H2086" t="str">
        <f>"93190"</f>
        <v>93190</v>
      </c>
      <c r="I2086" t="s">
        <v>59</v>
      </c>
    </row>
    <row r="2087" spans="1:9" x14ac:dyDescent="0.3">
      <c r="A2087" t="str">
        <f>"22666052"</f>
        <v>22666052</v>
      </c>
      <c r="B2087" t="s">
        <v>4346</v>
      </c>
      <c r="C2087" t="str">
        <f t="shared" si="149"/>
        <v>706</v>
      </c>
      <c r="D2087" t="s">
        <v>28</v>
      </c>
      <c r="E2087" t="s">
        <v>29</v>
      </c>
      <c r="F2087" t="s">
        <v>38</v>
      </c>
      <c r="G2087" t="s">
        <v>4347</v>
      </c>
      <c r="H2087" t="str">
        <f>"9499"</f>
        <v>9499</v>
      </c>
      <c r="I2087" t="s">
        <v>31</v>
      </c>
    </row>
    <row r="2088" spans="1:9" x14ac:dyDescent="0.3">
      <c r="A2088" t="str">
        <f>"21000166"</f>
        <v>21000166</v>
      </c>
      <c r="B2088" t="s">
        <v>4348</v>
      </c>
      <c r="C2088" t="str">
        <f t="shared" si="149"/>
        <v>706</v>
      </c>
      <c r="D2088" t="s">
        <v>28</v>
      </c>
      <c r="E2088" t="s">
        <v>83</v>
      </c>
      <c r="F2088" t="s">
        <v>83</v>
      </c>
      <c r="G2088" t="s">
        <v>4349</v>
      </c>
      <c r="H2088" t="str">
        <f>"9499"</f>
        <v>9499</v>
      </c>
      <c r="I2088" t="s">
        <v>31</v>
      </c>
    </row>
    <row r="2089" spans="1:9" x14ac:dyDescent="0.3">
      <c r="A2089" t="str">
        <f>"22891293"</f>
        <v>22891293</v>
      </c>
      <c r="B2089" t="s">
        <v>4350</v>
      </c>
      <c r="C2089" t="str">
        <f>"736"</f>
        <v>736</v>
      </c>
      <c r="D2089" t="s">
        <v>22</v>
      </c>
      <c r="E2089" t="s">
        <v>83</v>
      </c>
      <c r="F2089" t="s">
        <v>83</v>
      </c>
      <c r="G2089" t="s">
        <v>1572</v>
      </c>
      <c r="H2089" t="str">
        <f>"9499"</f>
        <v>9499</v>
      </c>
      <c r="I2089" t="s">
        <v>31</v>
      </c>
    </row>
    <row r="2090" spans="1:9" x14ac:dyDescent="0.3">
      <c r="A2090" t="str">
        <f>"71184236"</f>
        <v>71184236</v>
      </c>
      <c r="B2090" t="s">
        <v>4351</v>
      </c>
      <c r="C2090" t="str">
        <f>"736"</f>
        <v>736</v>
      </c>
      <c r="D2090" t="s">
        <v>22</v>
      </c>
      <c r="E2090" t="s">
        <v>52</v>
      </c>
      <c r="F2090" t="s">
        <v>612</v>
      </c>
      <c r="G2090" t="s">
        <v>4352</v>
      </c>
      <c r="H2090" t="str">
        <f>"9499"</f>
        <v>9499</v>
      </c>
      <c r="I2090" t="s">
        <v>31</v>
      </c>
    </row>
    <row r="2091" spans="1:9" x14ac:dyDescent="0.3">
      <c r="A2091" t="str">
        <f>"47934964"</f>
        <v>47934964</v>
      </c>
      <c r="B2091" t="s">
        <v>4353</v>
      </c>
      <c r="C2091" t="str">
        <f>"736"</f>
        <v>736</v>
      </c>
      <c r="D2091" t="s">
        <v>22</v>
      </c>
      <c r="E2091" t="s">
        <v>83</v>
      </c>
      <c r="F2091" t="s">
        <v>183</v>
      </c>
      <c r="G2091" t="s">
        <v>4354</v>
      </c>
      <c r="H2091" t="str">
        <f>"9499"</f>
        <v>9499</v>
      </c>
      <c r="I2091" t="s">
        <v>31</v>
      </c>
    </row>
    <row r="2092" spans="1:9" x14ac:dyDescent="0.3">
      <c r="A2092" t="str">
        <f>"05710138"</f>
        <v>05710138</v>
      </c>
      <c r="B2092" t="s">
        <v>4355</v>
      </c>
      <c r="C2092" t="str">
        <f>"706"</f>
        <v>706</v>
      </c>
      <c r="D2092" t="s">
        <v>28</v>
      </c>
      <c r="E2092" t="s">
        <v>23</v>
      </c>
      <c r="F2092" t="s">
        <v>1815</v>
      </c>
      <c r="G2092" t="s">
        <v>4356</v>
      </c>
      <c r="H2092" t="str">
        <f>"94993"</f>
        <v>94993</v>
      </c>
      <c r="I2092" t="s">
        <v>50</v>
      </c>
    </row>
    <row r="2093" spans="1:9" x14ac:dyDescent="0.3">
      <c r="A2093" t="str">
        <f>"71166254"</f>
        <v>71166254</v>
      </c>
      <c r="B2093" t="s">
        <v>4357</v>
      </c>
      <c r="C2093" t="str">
        <f>"736"</f>
        <v>736</v>
      </c>
      <c r="D2093" t="s">
        <v>22</v>
      </c>
      <c r="E2093" t="s">
        <v>23</v>
      </c>
      <c r="F2093" t="s">
        <v>1555</v>
      </c>
      <c r="G2093" t="s">
        <v>4358</v>
      </c>
      <c r="H2093" t="str">
        <f t="shared" ref="H2093:H2099" si="150">"9499"</f>
        <v>9499</v>
      </c>
      <c r="I2093" t="s">
        <v>31</v>
      </c>
    </row>
    <row r="2094" spans="1:9" x14ac:dyDescent="0.3">
      <c r="A2094" t="str">
        <f>"67025455"</f>
        <v>67025455</v>
      </c>
      <c r="B2094" t="s">
        <v>4359</v>
      </c>
      <c r="C2094" t="str">
        <f>"706"</f>
        <v>706</v>
      </c>
      <c r="D2094" t="s">
        <v>28</v>
      </c>
      <c r="E2094" t="s">
        <v>83</v>
      </c>
      <c r="F2094" t="s">
        <v>1425</v>
      </c>
      <c r="G2094" t="s">
        <v>1425</v>
      </c>
      <c r="H2094" t="str">
        <f t="shared" si="150"/>
        <v>9499</v>
      </c>
      <c r="I2094" t="s">
        <v>31</v>
      </c>
    </row>
    <row r="2095" spans="1:9" x14ac:dyDescent="0.3">
      <c r="A2095" t="str">
        <f>"63414384"</f>
        <v>63414384</v>
      </c>
      <c r="B2095" t="s">
        <v>4360</v>
      </c>
      <c r="C2095" t="str">
        <f>"736"</f>
        <v>736</v>
      </c>
      <c r="D2095" t="s">
        <v>22</v>
      </c>
      <c r="E2095" t="s">
        <v>83</v>
      </c>
      <c r="F2095" t="s">
        <v>130</v>
      </c>
      <c r="G2095" t="s">
        <v>4361</v>
      </c>
      <c r="H2095" t="str">
        <f t="shared" si="150"/>
        <v>9499</v>
      </c>
      <c r="I2095" t="s">
        <v>31</v>
      </c>
    </row>
    <row r="2096" spans="1:9" x14ac:dyDescent="0.3">
      <c r="A2096" t="str">
        <f>"70846626"</f>
        <v>70846626</v>
      </c>
      <c r="B2096" t="s">
        <v>4362</v>
      </c>
      <c r="C2096" t="str">
        <f>"706"</f>
        <v>706</v>
      </c>
      <c r="D2096" t="s">
        <v>28</v>
      </c>
      <c r="E2096" t="s">
        <v>23</v>
      </c>
      <c r="F2096" t="s">
        <v>2717</v>
      </c>
      <c r="G2096" t="s">
        <v>4363</v>
      </c>
      <c r="H2096" t="str">
        <f t="shared" si="150"/>
        <v>9499</v>
      </c>
      <c r="I2096" t="s">
        <v>31</v>
      </c>
    </row>
    <row r="2097" spans="1:11" x14ac:dyDescent="0.3">
      <c r="A2097" t="str">
        <f>"65792289"</f>
        <v>65792289</v>
      </c>
      <c r="B2097" t="s">
        <v>4364</v>
      </c>
      <c r="C2097" t="str">
        <f>"736"</f>
        <v>736</v>
      </c>
      <c r="D2097" t="s">
        <v>22</v>
      </c>
      <c r="E2097" t="s">
        <v>23</v>
      </c>
      <c r="F2097" t="s">
        <v>1492</v>
      </c>
      <c r="G2097" t="s">
        <v>4365</v>
      </c>
      <c r="H2097" t="str">
        <f t="shared" si="150"/>
        <v>9499</v>
      </c>
      <c r="I2097" t="s">
        <v>31</v>
      </c>
    </row>
    <row r="2098" spans="1:11" x14ac:dyDescent="0.3">
      <c r="A2098" t="str">
        <f>"22749667"</f>
        <v>22749667</v>
      </c>
      <c r="B2098" t="s">
        <v>4366</v>
      </c>
      <c r="C2098" t="str">
        <f>"736"</f>
        <v>736</v>
      </c>
      <c r="D2098" t="s">
        <v>22</v>
      </c>
      <c r="E2098" t="s">
        <v>52</v>
      </c>
      <c r="F2098" t="s">
        <v>612</v>
      </c>
      <c r="G2098" t="s">
        <v>963</v>
      </c>
      <c r="H2098" t="str">
        <f t="shared" si="150"/>
        <v>9499</v>
      </c>
      <c r="I2098" t="s">
        <v>31</v>
      </c>
    </row>
    <row r="2099" spans="1:11" x14ac:dyDescent="0.3">
      <c r="A2099" t="str">
        <f>"26582732"</f>
        <v>26582732</v>
      </c>
      <c r="B2099" t="s">
        <v>4367</v>
      </c>
      <c r="C2099" t="str">
        <f t="shared" ref="C2099:C2104" si="151">"706"</f>
        <v>706</v>
      </c>
      <c r="D2099" t="s">
        <v>28</v>
      </c>
      <c r="E2099" t="s">
        <v>23</v>
      </c>
      <c r="F2099" t="s">
        <v>23</v>
      </c>
      <c r="G2099" t="s">
        <v>4368</v>
      </c>
      <c r="H2099" t="str">
        <f t="shared" si="150"/>
        <v>9499</v>
      </c>
      <c r="I2099" t="s">
        <v>31</v>
      </c>
    </row>
    <row r="2100" spans="1:11" x14ac:dyDescent="0.3">
      <c r="A2100" t="str">
        <f>"07980141"</f>
        <v>07980141</v>
      </c>
      <c r="B2100" t="s">
        <v>4369</v>
      </c>
      <c r="C2100" t="str">
        <f t="shared" si="151"/>
        <v>706</v>
      </c>
      <c r="D2100" t="s">
        <v>28</v>
      </c>
      <c r="E2100" t="s">
        <v>23</v>
      </c>
      <c r="F2100" t="s">
        <v>1631</v>
      </c>
      <c r="G2100" t="s">
        <v>4370</v>
      </c>
      <c r="H2100" t="str">
        <f>"94993"</f>
        <v>94993</v>
      </c>
      <c r="I2100" t="s">
        <v>50</v>
      </c>
    </row>
    <row r="2101" spans="1:11" x14ac:dyDescent="0.3">
      <c r="A2101" t="str">
        <f>"10749594"</f>
        <v>10749594</v>
      </c>
      <c r="B2101" t="s">
        <v>4371</v>
      </c>
      <c r="C2101" t="str">
        <f t="shared" si="151"/>
        <v>706</v>
      </c>
      <c r="D2101" t="s">
        <v>28</v>
      </c>
      <c r="E2101" t="s">
        <v>23</v>
      </c>
      <c r="F2101" t="s">
        <v>3332</v>
      </c>
      <c r="G2101" t="s">
        <v>4372</v>
      </c>
      <c r="H2101" t="str">
        <f>"9499"</f>
        <v>9499</v>
      </c>
      <c r="I2101" t="s">
        <v>31</v>
      </c>
    </row>
    <row r="2102" spans="1:11" x14ac:dyDescent="0.3">
      <c r="A2102" t="str">
        <f>"03589668"</f>
        <v>03589668</v>
      </c>
      <c r="B2102" t="s">
        <v>4373</v>
      </c>
      <c r="C2102" t="str">
        <f t="shared" si="151"/>
        <v>706</v>
      </c>
      <c r="D2102" t="s">
        <v>28</v>
      </c>
      <c r="E2102" t="s">
        <v>83</v>
      </c>
      <c r="F2102" t="s">
        <v>4374</v>
      </c>
      <c r="G2102" t="s">
        <v>4375</v>
      </c>
      <c r="H2102" t="str">
        <f>"94993"</f>
        <v>94993</v>
      </c>
      <c r="I2102" t="s">
        <v>50</v>
      </c>
    </row>
    <row r="2103" spans="1:11" x14ac:dyDescent="0.3">
      <c r="A2103" t="str">
        <f>"26536366"</f>
        <v>26536366</v>
      </c>
      <c r="B2103" t="s">
        <v>4376</v>
      </c>
      <c r="C2103" t="str">
        <f t="shared" si="151"/>
        <v>706</v>
      </c>
      <c r="D2103" t="s">
        <v>28</v>
      </c>
      <c r="E2103" t="s">
        <v>23</v>
      </c>
      <c r="F2103" t="s">
        <v>350</v>
      </c>
      <c r="G2103" t="s">
        <v>4377</v>
      </c>
      <c r="H2103" t="str">
        <f>"93110"</f>
        <v>93110</v>
      </c>
      <c r="I2103" t="s">
        <v>92</v>
      </c>
    </row>
    <row r="2104" spans="1:11" x14ac:dyDescent="0.3">
      <c r="A2104" t="str">
        <f>"05721253"</f>
        <v>05721253</v>
      </c>
      <c r="B2104" t="s">
        <v>4378</v>
      </c>
      <c r="C2104" t="str">
        <f t="shared" si="151"/>
        <v>706</v>
      </c>
      <c r="D2104" t="s">
        <v>28</v>
      </c>
      <c r="E2104" t="s">
        <v>29</v>
      </c>
      <c r="F2104" t="s">
        <v>38</v>
      </c>
      <c r="G2104" t="s">
        <v>4379</v>
      </c>
      <c r="H2104" t="str">
        <f t="shared" ref="H2104:H2108" si="152">"9499"</f>
        <v>9499</v>
      </c>
      <c r="I2104" t="s">
        <v>31</v>
      </c>
    </row>
    <row r="2105" spans="1:11" x14ac:dyDescent="0.3">
      <c r="A2105" t="str">
        <f>"01606468"</f>
        <v>01606468</v>
      </c>
      <c r="B2105" t="s">
        <v>4380</v>
      </c>
      <c r="C2105" t="str">
        <f t="shared" ref="C2105:C2112" si="153">"706"</f>
        <v>706</v>
      </c>
      <c r="D2105" t="s">
        <v>28</v>
      </c>
      <c r="E2105" t="s">
        <v>29</v>
      </c>
      <c r="F2105" t="s">
        <v>1836</v>
      </c>
      <c r="G2105" t="s">
        <v>1837</v>
      </c>
      <c r="H2105" t="str">
        <f t="shared" si="152"/>
        <v>9499</v>
      </c>
      <c r="I2105" t="s">
        <v>31</v>
      </c>
    </row>
    <row r="2106" spans="1:11" x14ac:dyDescent="0.3">
      <c r="A2106" t="str">
        <f>"04403355"</f>
        <v>04403355</v>
      </c>
      <c r="B2106" t="s">
        <v>4381</v>
      </c>
      <c r="C2106" t="str">
        <f t="shared" si="153"/>
        <v>706</v>
      </c>
      <c r="D2106" t="s">
        <v>28</v>
      </c>
      <c r="E2106" t="s">
        <v>29</v>
      </c>
      <c r="F2106" t="s">
        <v>117</v>
      </c>
      <c r="G2106" t="s">
        <v>4382</v>
      </c>
      <c r="H2106" t="str">
        <f t="shared" si="152"/>
        <v>9499</v>
      </c>
      <c r="I2106" t="s">
        <v>31</v>
      </c>
    </row>
    <row r="2107" spans="1:11" x14ac:dyDescent="0.3">
      <c r="A2107" t="str">
        <f>"27052117"</f>
        <v>27052117</v>
      </c>
      <c r="B2107" t="s">
        <v>4383</v>
      </c>
      <c r="C2107" t="str">
        <f t="shared" si="153"/>
        <v>706</v>
      </c>
      <c r="D2107" t="s">
        <v>28</v>
      </c>
      <c r="E2107" t="s">
        <v>52</v>
      </c>
      <c r="F2107" t="s">
        <v>1625</v>
      </c>
      <c r="G2107" t="s">
        <v>4384</v>
      </c>
      <c r="H2107" t="str">
        <f t="shared" si="152"/>
        <v>9499</v>
      </c>
      <c r="I2107" t="s">
        <v>31</v>
      </c>
    </row>
    <row r="2108" spans="1:11" x14ac:dyDescent="0.3">
      <c r="A2108" t="str">
        <f>"26609886"</f>
        <v>26609886</v>
      </c>
      <c r="B2108" t="s">
        <v>4385</v>
      </c>
      <c r="C2108" t="str">
        <f t="shared" si="153"/>
        <v>706</v>
      </c>
      <c r="D2108" t="s">
        <v>28</v>
      </c>
      <c r="E2108" t="s">
        <v>83</v>
      </c>
      <c r="F2108" t="s">
        <v>83</v>
      </c>
      <c r="G2108" t="s">
        <v>557</v>
      </c>
      <c r="H2108" t="str">
        <f t="shared" si="152"/>
        <v>9499</v>
      </c>
      <c r="I2108" t="s">
        <v>31</v>
      </c>
    </row>
    <row r="2109" spans="1:11" x14ac:dyDescent="0.3">
      <c r="A2109" t="str">
        <f>"08944784"</f>
        <v>08944784</v>
      </c>
      <c r="B2109" t="s">
        <v>4386</v>
      </c>
      <c r="C2109" t="str">
        <f t="shared" si="153"/>
        <v>706</v>
      </c>
      <c r="D2109" t="s">
        <v>28</v>
      </c>
      <c r="E2109" t="s">
        <v>23</v>
      </c>
      <c r="F2109" t="s">
        <v>23</v>
      </c>
      <c r="G2109" t="s">
        <v>4387</v>
      </c>
      <c r="H2109" t="str">
        <f>"94996"</f>
        <v>94996</v>
      </c>
      <c r="I2109" t="s">
        <v>47</v>
      </c>
    </row>
    <row r="2110" spans="1:11" x14ac:dyDescent="0.3">
      <c r="A2110" t="str">
        <f>"26569949"</f>
        <v>26569949</v>
      </c>
      <c r="B2110" t="s">
        <v>4388</v>
      </c>
      <c r="C2110" t="str">
        <f t="shared" si="153"/>
        <v>706</v>
      </c>
      <c r="D2110" t="s">
        <v>28</v>
      </c>
      <c r="E2110" t="s">
        <v>29</v>
      </c>
      <c r="F2110" t="s">
        <v>1445</v>
      </c>
      <c r="G2110" t="s">
        <v>4389</v>
      </c>
      <c r="H2110" t="str">
        <f>"9499"</f>
        <v>9499</v>
      </c>
      <c r="I2110" t="s">
        <v>31</v>
      </c>
    </row>
    <row r="2111" spans="1:11" x14ac:dyDescent="0.3">
      <c r="A2111" t="str">
        <f>"01238922"</f>
        <v>01238922</v>
      </c>
      <c r="B2111" t="s">
        <v>4390</v>
      </c>
      <c r="C2111" t="str">
        <f t="shared" si="153"/>
        <v>706</v>
      </c>
      <c r="D2111" t="s">
        <v>28</v>
      </c>
      <c r="E2111" t="s">
        <v>52</v>
      </c>
      <c r="F2111" t="s">
        <v>65</v>
      </c>
      <c r="G2111" t="s">
        <v>4391</v>
      </c>
      <c r="H2111" t="str">
        <f>"9499"</f>
        <v>9499</v>
      </c>
      <c r="I2111" t="s">
        <v>31</v>
      </c>
    </row>
    <row r="2112" spans="1:11" x14ac:dyDescent="0.3">
      <c r="A2112" t="str">
        <f>"26609207"</f>
        <v>26609207</v>
      </c>
      <c r="B2112" t="s">
        <v>4392</v>
      </c>
      <c r="C2112" t="str">
        <f t="shared" si="153"/>
        <v>706</v>
      </c>
      <c r="D2112" t="s">
        <v>28</v>
      </c>
      <c r="E2112" t="s">
        <v>83</v>
      </c>
      <c r="F2112" t="s">
        <v>1425</v>
      </c>
      <c r="G2112" t="s">
        <v>4393</v>
      </c>
      <c r="H2112" t="str">
        <f>"93120"</f>
        <v>93120</v>
      </c>
      <c r="I2112" t="s">
        <v>54</v>
      </c>
      <c r="J2112" t="s">
        <v>146</v>
      </c>
      <c r="K2112" t="s">
        <v>162</v>
      </c>
    </row>
    <row r="2113" spans="1:16" x14ac:dyDescent="0.3">
      <c r="A2113" t="str">
        <f>"29188172"</f>
        <v>29188172</v>
      </c>
      <c r="B2113" t="s">
        <v>4394</v>
      </c>
      <c r="C2113" t="str">
        <f>"141"</f>
        <v>141</v>
      </c>
      <c r="D2113" t="s">
        <v>112</v>
      </c>
      <c r="E2113" t="s">
        <v>23</v>
      </c>
      <c r="F2113" t="s">
        <v>99</v>
      </c>
      <c r="G2113" t="s">
        <v>4395</v>
      </c>
      <c r="H2113" t="str">
        <f t="shared" ref="H2113:H2117" si="154">"9499"</f>
        <v>9499</v>
      </c>
      <c r="I2113" t="s">
        <v>31</v>
      </c>
      <c r="J2113" t="s">
        <v>2630</v>
      </c>
      <c r="K2113" t="s">
        <v>4396</v>
      </c>
      <c r="L2113" t="s">
        <v>595</v>
      </c>
      <c r="M2113" t="s">
        <v>598</v>
      </c>
      <c r="N2113" t="s">
        <v>499</v>
      </c>
      <c r="O2113" t="s">
        <v>4397</v>
      </c>
      <c r="P2113" t="s">
        <v>126</v>
      </c>
    </row>
    <row r="2114" spans="1:16" x14ac:dyDescent="0.3">
      <c r="A2114" t="str">
        <f>"27020720"</f>
        <v>27020720</v>
      </c>
      <c r="B2114" t="s">
        <v>4398</v>
      </c>
      <c r="C2114" t="str">
        <f t="shared" ref="C2114:C2126" si="155">"706"</f>
        <v>706</v>
      </c>
      <c r="D2114" t="s">
        <v>28</v>
      </c>
      <c r="E2114" t="s">
        <v>23</v>
      </c>
      <c r="F2114" t="s">
        <v>23</v>
      </c>
      <c r="G2114" t="s">
        <v>4399</v>
      </c>
      <c r="H2114" t="str">
        <f t="shared" si="154"/>
        <v>9499</v>
      </c>
      <c r="I2114" t="s">
        <v>31</v>
      </c>
    </row>
    <row r="2115" spans="1:16" x14ac:dyDescent="0.3">
      <c r="A2115" t="str">
        <f>"04711033"</f>
        <v>04711033</v>
      </c>
      <c r="B2115" t="s">
        <v>4400</v>
      </c>
      <c r="C2115" t="str">
        <f t="shared" si="155"/>
        <v>706</v>
      </c>
      <c r="D2115" t="s">
        <v>28</v>
      </c>
      <c r="E2115" t="s">
        <v>83</v>
      </c>
      <c r="F2115" t="s">
        <v>944</v>
      </c>
      <c r="G2115" t="s">
        <v>3232</v>
      </c>
      <c r="H2115" t="str">
        <f t="shared" si="154"/>
        <v>9499</v>
      </c>
      <c r="I2115" t="s">
        <v>31</v>
      </c>
    </row>
    <row r="2116" spans="1:16" x14ac:dyDescent="0.3">
      <c r="A2116" t="str">
        <f>"21319685"</f>
        <v>21319685</v>
      </c>
      <c r="B2116" t="s">
        <v>4401</v>
      </c>
      <c r="C2116" t="str">
        <f t="shared" si="155"/>
        <v>706</v>
      </c>
      <c r="D2116" t="s">
        <v>28</v>
      </c>
      <c r="E2116" t="s">
        <v>23</v>
      </c>
      <c r="F2116" t="s">
        <v>23</v>
      </c>
      <c r="G2116" t="s">
        <v>4402</v>
      </c>
      <c r="H2116" t="str">
        <f t="shared" si="154"/>
        <v>9499</v>
      </c>
      <c r="I2116" t="s">
        <v>31</v>
      </c>
    </row>
    <row r="2117" spans="1:16" x14ac:dyDescent="0.3">
      <c r="A2117" t="str">
        <f>"22769480"</f>
        <v>22769480</v>
      </c>
      <c r="B2117" t="s">
        <v>4403</v>
      </c>
      <c r="C2117" t="str">
        <f t="shared" si="155"/>
        <v>706</v>
      </c>
      <c r="D2117" t="s">
        <v>28</v>
      </c>
      <c r="E2117" t="s">
        <v>23</v>
      </c>
      <c r="F2117" t="s">
        <v>1880</v>
      </c>
      <c r="G2117" t="s">
        <v>4404</v>
      </c>
      <c r="H2117" t="str">
        <f t="shared" si="154"/>
        <v>9499</v>
      </c>
      <c r="I2117" t="s">
        <v>31</v>
      </c>
    </row>
    <row r="2118" spans="1:16" x14ac:dyDescent="0.3">
      <c r="A2118" t="str">
        <f>"09267964"</f>
        <v>09267964</v>
      </c>
      <c r="B2118" t="s">
        <v>4405</v>
      </c>
      <c r="C2118" t="str">
        <f t="shared" si="155"/>
        <v>706</v>
      </c>
      <c r="D2118" t="s">
        <v>28</v>
      </c>
      <c r="E2118" t="s">
        <v>23</v>
      </c>
      <c r="F2118" t="s">
        <v>1657</v>
      </c>
      <c r="G2118" t="s">
        <v>4406</v>
      </c>
      <c r="H2118" t="str">
        <f>"94996"</f>
        <v>94996</v>
      </c>
      <c r="I2118" t="s">
        <v>47</v>
      </c>
    </row>
    <row r="2119" spans="1:16" x14ac:dyDescent="0.3">
      <c r="A2119" t="str">
        <f>"04118871"</f>
        <v>04118871</v>
      </c>
      <c r="B2119" t="s">
        <v>4407</v>
      </c>
      <c r="C2119" t="str">
        <f t="shared" si="155"/>
        <v>706</v>
      </c>
      <c r="D2119" t="s">
        <v>28</v>
      </c>
      <c r="E2119" t="s">
        <v>52</v>
      </c>
      <c r="F2119" t="s">
        <v>52</v>
      </c>
      <c r="G2119" t="s">
        <v>2371</v>
      </c>
      <c r="H2119" t="str">
        <f>"94993"</f>
        <v>94993</v>
      </c>
      <c r="I2119" t="s">
        <v>50</v>
      </c>
      <c r="J2119" t="s">
        <v>31</v>
      </c>
      <c r="K2119" t="s">
        <v>241</v>
      </c>
    </row>
    <row r="2120" spans="1:16" x14ac:dyDescent="0.3">
      <c r="A2120" t="str">
        <f>"09833633"</f>
        <v>09833633</v>
      </c>
      <c r="B2120" t="s">
        <v>4408</v>
      </c>
      <c r="C2120" t="str">
        <f t="shared" si="155"/>
        <v>706</v>
      </c>
      <c r="D2120" t="s">
        <v>28</v>
      </c>
      <c r="E2120" t="s">
        <v>23</v>
      </c>
      <c r="F2120" t="s">
        <v>23</v>
      </c>
      <c r="G2120" t="s">
        <v>590</v>
      </c>
      <c r="H2120" t="str">
        <f>"94996"</f>
        <v>94996</v>
      </c>
      <c r="I2120" t="s">
        <v>47</v>
      </c>
    </row>
    <row r="2121" spans="1:16" x14ac:dyDescent="0.3">
      <c r="A2121" t="str">
        <f>"01546783"</f>
        <v>01546783</v>
      </c>
      <c r="B2121" t="s">
        <v>4409</v>
      </c>
      <c r="C2121" t="str">
        <f t="shared" si="155"/>
        <v>706</v>
      </c>
      <c r="D2121" t="s">
        <v>28</v>
      </c>
      <c r="E2121" t="s">
        <v>83</v>
      </c>
      <c r="F2121" t="s">
        <v>4374</v>
      </c>
      <c r="G2121" t="s">
        <v>4410</v>
      </c>
      <c r="H2121" t="str">
        <f>"9499"</f>
        <v>9499</v>
      </c>
      <c r="I2121" t="s">
        <v>31</v>
      </c>
    </row>
    <row r="2122" spans="1:16" x14ac:dyDescent="0.3">
      <c r="A2122" t="str">
        <f>"60371781"</f>
        <v>60371781</v>
      </c>
      <c r="B2122" t="s">
        <v>4411</v>
      </c>
      <c r="C2122" t="str">
        <f t="shared" si="155"/>
        <v>706</v>
      </c>
      <c r="D2122" t="s">
        <v>28</v>
      </c>
      <c r="E2122" t="s">
        <v>52</v>
      </c>
      <c r="F2122" t="s">
        <v>113</v>
      </c>
      <c r="G2122" t="s">
        <v>4412</v>
      </c>
      <c r="H2122" t="str">
        <f>"9499"</f>
        <v>9499</v>
      </c>
      <c r="I2122" t="s">
        <v>31</v>
      </c>
    </row>
    <row r="2123" spans="1:16" x14ac:dyDescent="0.3">
      <c r="A2123" t="str">
        <f>"08335125"</f>
        <v>08335125</v>
      </c>
      <c r="B2123" t="s">
        <v>4413</v>
      </c>
      <c r="C2123" t="str">
        <f t="shared" si="155"/>
        <v>706</v>
      </c>
      <c r="D2123" t="s">
        <v>28</v>
      </c>
      <c r="E2123" t="s">
        <v>23</v>
      </c>
      <c r="F2123" t="s">
        <v>23</v>
      </c>
      <c r="G2123" t="s">
        <v>4414</v>
      </c>
      <c r="H2123" t="str">
        <f>"9499"</f>
        <v>9499</v>
      </c>
      <c r="I2123" t="s">
        <v>31</v>
      </c>
    </row>
    <row r="2124" spans="1:16" x14ac:dyDescent="0.3">
      <c r="A2124" t="str">
        <f>"05047994"</f>
        <v>05047994</v>
      </c>
      <c r="B2124" t="s">
        <v>4415</v>
      </c>
      <c r="C2124" t="str">
        <f t="shared" si="155"/>
        <v>706</v>
      </c>
      <c r="D2124" t="s">
        <v>28</v>
      </c>
      <c r="E2124" t="s">
        <v>29</v>
      </c>
      <c r="F2124" t="s">
        <v>1810</v>
      </c>
      <c r="G2124" t="s">
        <v>4416</v>
      </c>
      <c r="H2124" t="str">
        <f>"9499"</f>
        <v>9499</v>
      </c>
      <c r="I2124" t="s">
        <v>31</v>
      </c>
    </row>
    <row r="2125" spans="1:16" x14ac:dyDescent="0.3">
      <c r="A2125" t="str">
        <f>"21366292"</f>
        <v>21366292</v>
      </c>
      <c r="B2125" t="s">
        <v>4417</v>
      </c>
      <c r="C2125" t="str">
        <f t="shared" si="155"/>
        <v>706</v>
      </c>
      <c r="D2125" t="s">
        <v>28</v>
      </c>
      <c r="E2125" t="s">
        <v>23</v>
      </c>
      <c r="F2125" t="s">
        <v>107</v>
      </c>
      <c r="G2125" t="s">
        <v>4418</v>
      </c>
      <c r="H2125" t="str">
        <f>"9499"</f>
        <v>9499</v>
      </c>
      <c r="I2125" t="s">
        <v>31</v>
      </c>
    </row>
    <row r="2126" spans="1:16" x14ac:dyDescent="0.3">
      <c r="A2126" t="str">
        <f>"08773629"</f>
        <v>08773629</v>
      </c>
      <c r="B2126" t="s">
        <v>4419</v>
      </c>
      <c r="C2126" t="str">
        <f t="shared" si="155"/>
        <v>706</v>
      </c>
      <c r="D2126" t="s">
        <v>28</v>
      </c>
      <c r="E2126" t="s">
        <v>23</v>
      </c>
      <c r="F2126" t="s">
        <v>23</v>
      </c>
      <c r="G2126" t="s">
        <v>564</v>
      </c>
      <c r="H2126" t="str">
        <f>"855"</f>
        <v>855</v>
      </c>
      <c r="I2126" t="s">
        <v>146</v>
      </c>
    </row>
    <row r="2127" spans="1:16" x14ac:dyDescent="0.3">
      <c r="A2127" t="str">
        <f>"06393691"</f>
        <v>06393691</v>
      </c>
      <c r="B2127" t="s">
        <v>4420</v>
      </c>
      <c r="C2127" t="str">
        <f>"161"</f>
        <v>161</v>
      </c>
      <c r="D2127" t="s">
        <v>152</v>
      </c>
      <c r="E2127" t="s">
        <v>52</v>
      </c>
      <c r="F2127" t="s">
        <v>52</v>
      </c>
      <c r="G2127" t="s">
        <v>1447</v>
      </c>
      <c r="H2127" t="str">
        <f>"85100"</f>
        <v>85100</v>
      </c>
      <c r="I2127" t="s">
        <v>1309</v>
      </c>
      <c r="J2127" t="s">
        <v>1310</v>
      </c>
    </row>
    <row r="2128" spans="1:16" x14ac:dyDescent="0.3">
      <c r="A2128" t="str">
        <f>"27018644"</f>
        <v>27018644</v>
      </c>
      <c r="B2128" t="s">
        <v>4422</v>
      </c>
      <c r="C2128" t="str">
        <f t="shared" ref="C2128:C2143" si="156">"706"</f>
        <v>706</v>
      </c>
      <c r="D2128" t="s">
        <v>28</v>
      </c>
      <c r="E2128" t="s">
        <v>23</v>
      </c>
      <c r="F2128" t="s">
        <v>1880</v>
      </c>
      <c r="G2128" t="s">
        <v>4423</v>
      </c>
      <c r="H2128" t="str">
        <f>"9499"</f>
        <v>9499</v>
      </c>
      <c r="I2128" t="s">
        <v>31</v>
      </c>
    </row>
    <row r="2129" spans="1:14" x14ac:dyDescent="0.3">
      <c r="A2129" t="str">
        <f>"46311211"</f>
        <v>46311211</v>
      </c>
      <c r="B2129" t="s">
        <v>4424</v>
      </c>
      <c r="C2129" t="str">
        <f t="shared" si="156"/>
        <v>706</v>
      </c>
      <c r="D2129" t="s">
        <v>28</v>
      </c>
      <c r="E2129" t="s">
        <v>23</v>
      </c>
      <c r="F2129" t="s">
        <v>1773</v>
      </c>
      <c r="G2129" t="s">
        <v>1773</v>
      </c>
      <c r="H2129" t="str">
        <f>"9499"</f>
        <v>9499</v>
      </c>
      <c r="I2129" t="s">
        <v>31</v>
      </c>
    </row>
    <row r="2130" spans="1:14" x14ac:dyDescent="0.3">
      <c r="A2130" t="str">
        <f>"46311203"</f>
        <v>46311203</v>
      </c>
      <c r="B2130" t="s">
        <v>4425</v>
      </c>
      <c r="C2130" t="str">
        <f t="shared" si="156"/>
        <v>706</v>
      </c>
      <c r="D2130" t="s">
        <v>28</v>
      </c>
      <c r="E2130" t="s">
        <v>23</v>
      </c>
      <c r="F2130" t="s">
        <v>1773</v>
      </c>
      <c r="G2130" t="s">
        <v>4426</v>
      </c>
      <c r="H2130" t="str">
        <f>"9499"</f>
        <v>9499</v>
      </c>
      <c r="I2130" t="s">
        <v>31</v>
      </c>
    </row>
    <row r="2131" spans="1:14" x14ac:dyDescent="0.3">
      <c r="A2131" t="str">
        <f>"48473880"</f>
        <v>48473880</v>
      </c>
      <c r="B2131" t="s">
        <v>4427</v>
      </c>
      <c r="C2131" t="str">
        <f t="shared" si="156"/>
        <v>706</v>
      </c>
      <c r="D2131" t="s">
        <v>28</v>
      </c>
      <c r="E2131" t="s">
        <v>23</v>
      </c>
      <c r="F2131" t="s">
        <v>1555</v>
      </c>
      <c r="G2131" t="s">
        <v>4271</v>
      </c>
      <c r="H2131" t="str">
        <f>"02400"</f>
        <v>02400</v>
      </c>
      <c r="I2131" t="s">
        <v>4428</v>
      </c>
    </row>
    <row r="2132" spans="1:14" x14ac:dyDescent="0.3">
      <c r="A2132" t="str">
        <f>"06259715"</f>
        <v>06259715</v>
      </c>
      <c r="B2132" t="s">
        <v>4429</v>
      </c>
      <c r="C2132" t="str">
        <f t="shared" si="156"/>
        <v>706</v>
      </c>
      <c r="D2132" t="s">
        <v>28</v>
      </c>
      <c r="E2132" t="s">
        <v>23</v>
      </c>
      <c r="F2132" t="s">
        <v>1581</v>
      </c>
      <c r="G2132" t="s">
        <v>4430</v>
      </c>
      <c r="H2132" t="str">
        <f>"9499"</f>
        <v>9499</v>
      </c>
      <c r="I2132" t="s">
        <v>31</v>
      </c>
    </row>
    <row r="2133" spans="1:14" x14ac:dyDescent="0.3">
      <c r="A2133" t="str">
        <f>"47935073"</f>
        <v>47935073</v>
      </c>
      <c r="B2133" t="s">
        <v>4431</v>
      </c>
      <c r="C2133" t="str">
        <f t="shared" si="156"/>
        <v>706</v>
      </c>
      <c r="D2133" t="s">
        <v>28</v>
      </c>
      <c r="E2133" t="s">
        <v>83</v>
      </c>
      <c r="F2133" t="s">
        <v>83</v>
      </c>
      <c r="G2133" t="s">
        <v>4432</v>
      </c>
      <c r="H2133" t="str">
        <f>"9499"</f>
        <v>9499</v>
      </c>
      <c r="I2133" t="s">
        <v>31</v>
      </c>
    </row>
    <row r="2134" spans="1:14" x14ac:dyDescent="0.3">
      <c r="A2134" t="str">
        <f>"08408840"</f>
        <v>08408840</v>
      </c>
      <c r="B2134" t="s">
        <v>4433</v>
      </c>
      <c r="C2134" t="str">
        <f t="shared" si="156"/>
        <v>706</v>
      </c>
      <c r="D2134" t="s">
        <v>28</v>
      </c>
      <c r="E2134" t="s">
        <v>23</v>
      </c>
      <c r="F2134" t="s">
        <v>1758</v>
      </c>
      <c r="G2134" t="s">
        <v>4434</v>
      </c>
      <c r="H2134" t="str">
        <f>"9499"</f>
        <v>9499</v>
      </c>
      <c r="I2134" t="s">
        <v>31</v>
      </c>
    </row>
    <row r="2135" spans="1:14" x14ac:dyDescent="0.3">
      <c r="A2135" t="str">
        <f>"22857851"</f>
        <v>22857851</v>
      </c>
      <c r="B2135" t="s">
        <v>4435</v>
      </c>
      <c r="C2135" t="str">
        <f t="shared" si="156"/>
        <v>706</v>
      </c>
      <c r="D2135" t="s">
        <v>28</v>
      </c>
      <c r="E2135" t="s">
        <v>29</v>
      </c>
      <c r="F2135" t="s">
        <v>1874</v>
      </c>
      <c r="G2135" t="s">
        <v>1875</v>
      </c>
      <c r="H2135" t="str">
        <f>"9499"</f>
        <v>9499</v>
      </c>
      <c r="I2135" t="s">
        <v>31</v>
      </c>
    </row>
    <row r="2136" spans="1:14" x14ac:dyDescent="0.3">
      <c r="A2136" t="str">
        <f>"08653691"</f>
        <v>08653691</v>
      </c>
      <c r="B2136" t="s">
        <v>4436</v>
      </c>
      <c r="C2136" t="str">
        <f t="shared" si="156"/>
        <v>706</v>
      </c>
      <c r="D2136" t="s">
        <v>28</v>
      </c>
      <c r="E2136" t="s">
        <v>23</v>
      </c>
      <c r="F2136" t="s">
        <v>68</v>
      </c>
      <c r="G2136" t="s">
        <v>4437</v>
      </c>
      <c r="H2136" t="str">
        <f>"94995"</f>
        <v>94995</v>
      </c>
      <c r="I2136" t="s">
        <v>232</v>
      </c>
    </row>
    <row r="2137" spans="1:14" x14ac:dyDescent="0.3">
      <c r="A2137" t="str">
        <f>"48472191"</f>
        <v>48472191</v>
      </c>
      <c r="B2137" t="s">
        <v>4438</v>
      </c>
      <c r="C2137" t="str">
        <f t="shared" si="156"/>
        <v>706</v>
      </c>
      <c r="D2137" t="s">
        <v>28</v>
      </c>
      <c r="E2137" t="s">
        <v>23</v>
      </c>
      <c r="F2137" t="s">
        <v>87</v>
      </c>
      <c r="G2137" t="s">
        <v>4439</v>
      </c>
      <c r="H2137" t="str">
        <f>"9499"</f>
        <v>9499</v>
      </c>
      <c r="I2137" t="s">
        <v>31</v>
      </c>
    </row>
    <row r="2138" spans="1:14" x14ac:dyDescent="0.3">
      <c r="A2138" t="str">
        <f>"49157400"</f>
        <v>49157400</v>
      </c>
      <c r="B2138" t="s">
        <v>4440</v>
      </c>
      <c r="C2138" t="str">
        <f t="shared" si="156"/>
        <v>706</v>
      </c>
      <c r="D2138" t="s">
        <v>28</v>
      </c>
      <c r="E2138" t="s">
        <v>23</v>
      </c>
      <c r="F2138" t="s">
        <v>4441</v>
      </c>
      <c r="G2138" t="s">
        <v>4442</v>
      </c>
      <c r="H2138" t="str">
        <f>"9499"</f>
        <v>9499</v>
      </c>
      <c r="I2138" t="s">
        <v>31</v>
      </c>
    </row>
    <row r="2139" spans="1:14" x14ac:dyDescent="0.3">
      <c r="A2139" t="str">
        <f>"04255976"</f>
        <v>04255976</v>
      </c>
      <c r="B2139" t="s">
        <v>4443</v>
      </c>
      <c r="C2139" t="str">
        <f t="shared" si="156"/>
        <v>706</v>
      </c>
      <c r="D2139" t="s">
        <v>28</v>
      </c>
      <c r="E2139" t="s">
        <v>29</v>
      </c>
      <c r="F2139" t="s">
        <v>195</v>
      </c>
      <c r="G2139" t="s">
        <v>4444</v>
      </c>
      <c r="H2139" t="str">
        <f>"9499"</f>
        <v>9499</v>
      </c>
      <c r="I2139" t="s">
        <v>31</v>
      </c>
    </row>
    <row r="2140" spans="1:14" x14ac:dyDescent="0.3">
      <c r="A2140" t="str">
        <f>"07164084"</f>
        <v>07164084</v>
      </c>
      <c r="B2140" t="s">
        <v>4445</v>
      </c>
      <c r="C2140" t="str">
        <f t="shared" si="156"/>
        <v>706</v>
      </c>
      <c r="D2140" t="s">
        <v>28</v>
      </c>
      <c r="E2140" t="s">
        <v>23</v>
      </c>
      <c r="F2140" t="s">
        <v>695</v>
      </c>
      <c r="G2140" t="s">
        <v>1034</v>
      </c>
      <c r="H2140" t="str">
        <f>"9499"</f>
        <v>9499</v>
      </c>
      <c r="I2140" t="s">
        <v>31</v>
      </c>
    </row>
    <row r="2141" spans="1:14" x14ac:dyDescent="0.3">
      <c r="A2141" t="str">
        <f>"08148970"</f>
        <v>08148970</v>
      </c>
      <c r="B2141" t="s">
        <v>4446</v>
      </c>
      <c r="C2141" t="str">
        <f t="shared" si="156"/>
        <v>706</v>
      </c>
      <c r="D2141" t="s">
        <v>28</v>
      </c>
      <c r="E2141" t="s">
        <v>29</v>
      </c>
      <c r="F2141" t="s">
        <v>38</v>
      </c>
      <c r="G2141" t="s">
        <v>1601</v>
      </c>
      <c r="H2141" t="str">
        <f>"9499"</f>
        <v>9499</v>
      </c>
      <c r="I2141" t="s">
        <v>31</v>
      </c>
    </row>
    <row r="2142" spans="1:14" x14ac:dyDescent="0.3">
      <c r="A2142" t="str">
        <f>"05071810"</f>
        <v>05071810</v>
      </c>
      <c r="B2142" t="s">
        <v>4447</v>
      </c>
      <c r="C2142" t="str">
        <f t="shared" si="156"/>
        <v>706</v>
      </c>
      <c r="D2142" t="s">
        <v>28</v>
      </c>
      <c r="E2142" t="s">
        <v>83</v>
      </c>
      <c r="F2142" t="s">
        <v>183</v>
      </c>
      <c r="G2142" t="s">
        <v>4448</v>
      </c>
      <c r="H2142" t="str">
        <f>"855"</f>
        <v>855</v>
      </c>
      <c r="I2142" t="s">
        <v>146</v>
      </c>
    </row>
    <row r="2143" spans="1:14" x14ac:dyDescent="0.3">
      <c r="A2143" t="str">
        <f>"06252451"</f>
        <v>06252451</v>
      </c>
      <c r="B2143" t="s">
        <v>4449</v>
      </c>
      <c r="C2143" t="str">
        <f t="shared" si="156"/>
        <v>706</v>
      </c>
      <c r="D2143" t="s">
        <v>28</v>
      </c>
      <c r="E2143" t="s">
        <v>52</v>
      </c>
      <c r="F2143" t="s">
        <v>612</v>
      </c>
      <c r="G2143" t="s">
        <v>4450</v>
      </c>
      <c r="H2143" t="str">
        <f>"9499"</f>
        <v>9499</v>
      </c>
      <c r="I2143" t="s">
        <v>31</v>
      </c>
    </row>
    <row r="2144" spans="1:14" x14ac:dyDescent="0.3">
      <c r="A2144" t="str">
        <f>"05675171"</f>
        <v>05675171</v>
      </c>
      <c r="B2144" t="s">
        <v>4451</v>
      </c>
      <c r="C2144" t="str">
        <f>"736"</f>
        <v>736</v>
      </c>
      <c r="D2144" t="s">
        <v>22</v>
      </c>
      <c r="E2144" t="s">
        <v>52</v>
      </c>
      <c r="F2144" t="s">
        <v>234</v>
      </c>
      <c r="G2144" t="s">
        <v>4452</v>
      </c>
      <c r="H2144" t="str">
        <f>"9499"</f>
        <v>9499</v>
      </c>
      <c r="I2144" t="s">
        <v>31</v>
      </c>
      <c r="J2144" t="s">
        <v>155</v>
      </c>
      <c r="K2144" t="s">
        <v>258</v>
      </c>
      <c r="L2144" t="s">
        <v>262</v>
      </c>
      <c r="M2144" t="s">
        <v>2300</v>
      </c>
      <c r="N2144" t="s">
        <v>163</v>
      </c>
    </row>
    <row r="2145" spans="1:12" x14ac:dyDescent="0.3">
      <c r="A2145" t="str">
        <f>"67025889"</f>
        <v>67025889</v>
      </c>
      <c r="B2145" t="s">
        <v>4453</v>
      </c>
      <c r="C2145" t="str">
        <f>"736"</f>
        <v>736</v>
      </c>
      <c r="D2145" t="s">
        <v>22</v>
      </c>
      <c r="E2145" t="s">
        <v>83</v>
      </c>
      <c r="F2145" t="s">
        <v>183</v>
      </c>
      <c r="G2145" t="s">
        <v>3147</v>
      </c>
      <c r="H2145" t="str">
        <f>"9499"</f>
        <v>9499</v>
      </c>
      <c r="I2145" t="s">
        <v>31</v>
      </c>
    </row>
    <row r="2146" spans="1:12" x14ac:dyDescent="0.3">
      <c r="A2146" t="str">
        <f>"75134489"</f>
        <v>75134489</v>
      </c>
      <c r="B2146" t="s">
        <v>4454</v>
      </c>
      <c r="C2146" t="str">
        <f>"736"</f>
        <v>736</v>
      </c>
      <c r="D2146" t="s">
        <v>22</v>
      </c>
      <c r="E2146" t="s">
        <v>23</v>
      </c>
      <c r="F2146" t="s">
        <v>1418</v>
      </c>
      <c r="G2146" t="s">
        <v>4455</v>
      </c>
      <c r="H2146" t="str">
        <f>"9499"</f>
        <v>9499</v>
      </c>
      <c r="I2146" t="s">
        <v>31</v>
      </c>
    </row>
    <row r="2147" spans="1:12" x14ac:dyDescent="0.3">
      <c r="A2147" t="str">
        <f>"75145332"</f>
        <v>75145332</v>
      </c>
      <c r="B2147" t="s">
        <v>4456</v>
      </c>
      <c r="C2147" t="str">
        <f>"736"</f>
        <v>736</v>
      </c>
      <c r="D2147" t="s">
        <v>22</v>
      </c>
      <c r="E2147" t="s">
        <v>83</v>
      </c>
      <c r="F2147" t="s">
        <v>230</v>
      </c>
      <c r="G2147" t="s">
        <v>4457</v>
      </c>
      <c r="H2147" t="str">
        <f>"9499"</f>
        <v>9499</v>
      </c>
      <c r="I2147" t="s">
        <v>31</v>
      </c>
    </row>
    <row r="2148" spans="1:12" x14ac:dyDescent="0.3">
      <c r="A2148" t="str">
        <f>"60382996"</f>
        <v>60382996</v>
      </c>
      <c r="B2148" t="s">
        <v>4458</v>
      </c>
      <c r="C2148" t="str">
        <f>"736"</f>
        <v>736</v>
      </c>
      <c r="D2148" t="s">
        <v>22</v>
      </c>
      <c r="E2148" t="s">
        <v>83</v>
      </c>
      <c r="F2148" t="s">
        <v>83</v>
      </c>
      <c r="G2148" t="s">
        <v>4459</v>
      </c>
      <c r="H2148" t="str">
        <f>"94993"</f>
        <v>94993</v>
      </c>
      <c r="I2148" t="s">
        <v>50</v>
      </c>
    </row>
    <row r="2149" spans="1:12" x14ac:dyDescent="0.3">
      <c r="A2149" t="str">
        <f>"19225504"</f>
        <v>19225504</v>
      </c>
      <c r="B2149" t="s">
        <v>4460</v>
      </c>
      <c r="C2149" t="str">
        <f>"706"</f>
        <v>706</v>
      </c>
      <c r="D2149" t="s">
        <v>28</v>
      </c>
      <c r="E2149" t="s">
        <v>29</v>
      </c>
      <c r="F2149" t="s">
        <v>195</v>
      </c>
      <c r="G2149" t="s">
        <v>4461</v>
      </c>
      <c r="H2149" t="str">
        <f>"94993"</f>
        <v>94993</v>
      </c>
      <c r="I2149" t="s">
        <v>50</v>
      </c>
    </row>
    <row r="2150" spans="1:12" x14ac:dyDescent="0.3">
      <c r="A2150" t="str">
        <f>"09560459"</f>
        <v>09560459</v>
      </c>
      <c r="B2150" t="s">
        <v>4462</v>
      </c>
      <c r="C2150" t="str">
        <f>"706"</f>
        <v>706</v>
      </c>
      <c r="D2150" t="s">
        <v>28</v>
      </c>
      <c r="E2150" t="s">
        <v>29</v>
      </c>
      <c r="F2150" t="s">
        <v>306</v>
      </c>
      <c r="G2150" t="s">
        <v>4463</v>
      </c>
      <c r="H2150" t="str">
        <f>"9499"</f>
        <v>9499</v>
      </c>
      <c r="I2150" t="s">
        <v>31</v>
      </c>
    </row>
    <row r="2151" spans="1:12" x14ac:dyDescent="0.3">
      <c r="A2151" t="str">
        <f>"26870011"</f>
        <v>26870011</v>
      </c>
      <c r="B2151" t="s">
        <v>4464</v>
      </c>
      <c r="C2151" t="str">
        <f>"141"</f>
        <v>141</v>
      </c>
      <c r="D2151" t="s">
        <v>112</v>
      </c>
      <c r="E2151" t="s">
        <v>29</v>
      </c>
      <c r="F2151" t="s">
        <v>29</v>
      </c>
      <c r="G2151" t="s">
        <v>76</v>
      </c>
      <c r="H2151" t="str">
        <f>"88"</f>
        <v>88</v>
      </c>
      <c r="I2151" t="s">
        <v>154</v>
      </c>
    </row>
    <row r="2152" spans="1:12" x14ac:dyDescent="0.3">
      <c r="A2152" t="str">
        <f>"27024989"</f>
        <v>27024989</v>
      </c>
      <c r="B2152" t="s">
        <v>4465</v>
      </c>
      <c r="C2152" t="str">
        <f>"706"</f>
        <v>706</v>
      </c>
      <c r="D2152" t="s">
        <v>28</v>
      </c>
      <c r="E2152" t="s">
        <v>23</v>
      </c>
      <c r="F2152" t="s">
        <v>23</v>
      </c>
      <c r="G2152" t="s">
        <v>4466</v>
      </c>
      <c r="H2152" t="str">
        <f>"93110"</f>
        <v>93110</v>
      </c>
      <c r="I2152" t="s">
        <v>92</v>
      </c>
    </row>
    <row r="2153" spans="1:12" x14ac:dyDescent="0.3">
      <c r="A2153" t="str">
        <f>"27037452"</f>
        <v>27037452</v>
      </c>
      <c r="B2153" t="s">
        <v>4467</v>
      </c>
      <c r="C2153" t="str">
        <f>"706"</f>
        <v>706</v>
      </c>
      <c r="D2153" t="s">
        <v>28</v>
      </c>
      <c r="E2153" t="s">
        <v>29</v>
      </c>
      <c r="F2153" t="s">
        <v>702</v>
      </c>
      <c r="G2153" t="s">
        <v>1844</v>
      </c>
      <c r="H2153" t="str">
        <f>"93110"</f>
        <v>93110</v>
      </c>
      <c r="I2153" t="s">
        <v>92</v>
      </c>
    </row>
    <row r="2154" spans="1:12" x14ac:dyDescent="0.3">
      <c r="A2154" t="str">
        <f>"26645289"</f>
        <v>26645289</v>
      </c>
      <c r="B2154" t="s">
        <v>4468</v>
      </c>
      <c r="C2154" t="str">
        <f>"706"</f>
        <v>706</v>
      </c>
      <c r="D2154" t="s">
        <v>28</v>
      </c>
      <c r="E2154" t="s">
        <v>29</v>
      </c>
      <c r="F2154" t="s">
        <v>45</v>
      </c>
      <c r="G2154" t="s">
        <v>4469</v>
      </c>
      <c r="H2154" t="str">
        <f>"9499"</f>
        <v>9499</v>
      </c>
      <c r="I2154" t="s">
        <v>31</v>
      </c>
    </row>
    <row r="2155" spans="1:12" x14ac:dyDescent="0.3">
      <c r="A2155" t="str">
        <f>"63458501"</f>
        <v>63458501</v>
      </c>
      <c r="B2155" t="s">
        <v>4470</v>
      </c>
      <c r="C2155" t="str">
        <f>"706"</f>
        <v>706</v>
      </c>
      <c r="D2155" t="s">
        <v>28</v>
      </c>
      <c r="E2155" t="s">
        <v>83</v>
      </c>
      <c r="F2155" t="s">
        <v>4471</v>
      </c>
      <c r="G2155" t="s">
        <v>4472</v>
      </c>
      <c r="H2155" t="str">
        <f>"01700"</f>
        <v>01700</v>
      </c>
      <c r="I2155" t="s">
        <v>1501</v>
      </c>
    </row>
    <row r="2156" spans="1:12" x14ac:dyDescent="0.3">
      <c r="A2156" t="str">
        <f>"28309146"</f>
        <v>28309146</v>
      </c>
      <c r="B2156" t="s">
        <v>4473</v>
      </c>
      <c r="C2156" t="str">
        <f>"141"</f>
        <v>141</v>
      </c>
      <c r="D2156" t="s">
        <v>112</v>
      </c>
      <c r="E2156" t="s">
        <v>52</v>
      </c>
      <c r="F2156" t="s">
        <v>94</v>
      </c>
      <c r="G2156" t="s">
        <v>4474</v>
      </c>
      <c r="H2156" t="str">
        <f>"9499"</f>
        <v>9499</v>
      </c>
      <c r="I2156" t="s">
        <v>31</v>
      </c>
      <c r="J2156" t="s">
        <v>4475</v>
      </c>
      <c r="K2156" t="s">
        <v>4476</v>
      </c>
      <c r="L2156" t="s">
        <v>126</v>
      </c>
    </row>
    <row r="2157" spans="1:12" x14ac:dyDescent="0.3">
      <c r="A2157" t="str">
        <f>"02434679"</f>
        <v>02434679</v>
      </c>
      <c r="B2157" t="s">
        <v>4477</v>
      </c>
      <c r="C2157" t="str">
        <f>"706"</f>
        <v>706</v>
      </c>
      <c r="D2157" t="s">
        <v>28</v>
      </c>
      <c r="E2157" t="s">
        <v>52</v>
      </c>
      <c r="F2157" t="s">
        <v>1765</v>
      </c>
      <c r="G2157" t="s">
        <v>1765</v>
      </c>
      <c r="H2157" t="str">
        <f>"9499"</f>
        <v>9499</v>
      </c>
      <c r="I2157" t="s">
        <v>31</v>
      </c>
    </row>
    <row r="2158" spans="1:12" x14ac:dyDescent="0.3">
      <c r="A2158" t="str">
        <f>"05979170"</f>
        <v>05979170</v>
      </c>
      <c r="B2158" t="s">
        <v>4478</v>
      </c>
      <c r="C2158" t="str">
        <f>"706"</f>
        <v>706</v>
      </c>
      <c r="D2158" t="s">
        <v>28</v>
      </c>
      <c r="E2158" t="s">
        <v>23</v>
      </c>
      <c r="F2158" t="s">
        <v>4479</v>
      </c>
      <c r="G2158" t="s">
        <v>4480</v>
      </c>
      <c r="H2158" t="str">
        <f>"9499"</f>
        <v>9499</v>
      </c>
      <c r="I2158" t="s">
        <v>31</v>
      </c>
    </row>
    <row r="2159" spans="1:12" x14ac:dyDescent="0.3">
      <c r="A2159" t="str">
        <f>"03675432"</f>
        <v>03675432</v>
      </c>
      <c r="B2159" t="s">
        <v>4481</v>
      </c>
      <c r="C2159" t="str">
        <f>"161"</f>
        <v>161</v>
      </c>
      <c r="D2159" t="s">
        <v>152</v>
      </c>
      <c r="E2159" t="s">
        <v>52</v>
      </c>
      <c r="F2159" t="s">
        <v>344</v>
      </c>
      <c r="G2159" t="s">
        <v>4482</v>
      </c>
      <c r="H2159" t="str">
        <f>"9499"</f>
        <v>9499</v>
      </c>
      <c r="I2159" t="s">
        <v>31</v>
      </c>
    </row>
    <row r="2160" spans="1:12" x14ac:dyDescent="0.3">
      <c r="A2160" t="str">
        <f>"22871241"</f>
        <v>22871241</v>
      </c>
      <c r="B2160" t="s">
        <v>4483</v>
      </c>
      <c r="C2160" t="str">
        <f>"706"</f>
        <v>706</v>
      </c>
      <c r="D2160" t="s">
        <v>28</v>
      </c>
      <c r="E2160" t="s">
        <v>23</v>
      </c>
      <c r="F2160" t="s">
        <v>23</v>
      </c>
      <c r="G2160" t="s">
        <v>279</v>
      </c>
      <c r="H2160" t="str">
        <f>"93190"</f>
        <v>93190</v>
      </c>
      <c r="I2160" t="s">
        <v>59</v>
      </c>
      <c r="J2160" t="s">
        <v>759</v>
      </c>
    </row>
    <row r="2161" spans="1:11" x14ac:dyDescent="0.3">
      <c r="A2161" t="str">
        <f>"70435111"</f>
        <v>70435111</v>
      </c>
      <c r="B2161" t="s">
        <v>4484</v>
      </c>
      <c r="C2161" t="str">
        <f>"736"</f>
        <v>736</v>
      </c>
      <c r="D2161" t="s">
        <v>22</v>
      </c>
      <c r="E2161" t="s">
        <v>52</v>
      </c>
      <c r="F2161" t="s">
        <v>52</v>
      </c>
      <c r="G2161" t="s">
        <v>4485</v>
      </c>
      <c r="H2161" t="str">
        <f>"9499"</f>
        <v>9499</v>
      </c>
      <c r="I2161" t="s">
        <v>31</v>
      </c>
    </row>
    <row r="2162" spans="1:11" x14ac:dyDescent="0.3">
      <c r="A2162" t="str">
        <f>"62182749"</f>
        <v>62182749</v>
      </c>
      <c r="B2162" t="s">
        <v>4486</v>
      </c>
      <c r="C2162" t="str">
        <f>"736"</f>
        <v>736</v>
      </c>
      <c r="D2162" t="s">
        <v>22</v>
      </c>
      <c r="E2162" t="s">
        <v>23</v>
      </c>
      <c r="F2162" t="s">
        <v>23</v>
      </c>
      <c r="G2162" t="s">
        <v>4487</v>
      </c>
      <c r="H2162" t="str">
        <f>"9499"</f>
        <v>9499</v>
      </c>
      <c r="I2162" t="s">
        <v>31</v>
      </c>
    </row>
    <row r="2163" spans="1:11" x14ac:dyDescent="0.3">
      <c r="A2163" t="str">
        <f>"23102110"</f>
        <v>23102110</v>
      </c>
      <c r="B2163" t="s">
        <v>4488</v>
      </c>
      <c r="C2163" t="str">
        <f t="shared" ref="C2163:C2171" si="157">"706"</f>
        <v>706</v>
      </c>
      <c r="D2163" t="s">
        <v>28</v>
      </c>
      <c r="E2163" t="s">
        <v>23</v>
      </c>
      <c r="F2163" t="s">
        <v>23</v>
      </c>
      <c r="G2163" t="s">
        <v>416</v>
      </c>
      <c r="H2163" t="str">
        <f>"94991"</f>
        <v>94991</v>
      </c>
      <c r="I2163" t="s">
        <v>433</v>
      </c>
      <c r="J2163" t="s">
        <v>146</v>
      </c>
    </row>
    <row r="2164" spans="1:11" x14ac:dyDescent="0.3">
      <c r="A2164" t="str">
        <f>"07364997"</f>
        <v>07364997</v>
      </c>
      <c r="B2164" t="s">
        <v>4489</v>
      </c>
      <c r="C2164" t="str">
        <f t="shared" si="157"/>
        <v>706</v>
      </c>
      <c r="D2164" t="s">
        <v>28</v>
      </c>
      <c r="E2164" t="s">
        <v>23</v>
      </c>
      <c r="F2164" t="s">
        <v>978</v>
      </c>
      <c r="G2164" t="s">
        <v>4490</v>
      </c>
      <c r="H2164" t="str">
        <f>"93190"</f>
        <v>93190</v>
      </c>
      <c r="I2164" t="s">
        <v>59</v>
      </c>
    </row>
    <row r="2165" spans="1:11" x14ac:dyDescent="0.3">
      <c r="A2165" t="str">
        <f>"22689729"</f>
        <v>22689729</v>
      </c>
      <c r="B2165" t="s">
        <v>4491</v>
      </c>
      <c r="C2165" t="str">
        <f t="shared" si="157"/>
        <v>706</v>
      </c>
      <c r="D2165" t="s">
        <v>28</v>
      </c>
      <c r="E2165" t="s">
        <v>83</v>
      </c>
      <c r="F2165" t="s">
        <v>183</v>
      </c>
      <c r="G2165" t="s">
        <v>4492</v>
      </c>
      <c r="H2165" t="str">
        <f>"9499"</f>
        <v>9499</v>
      </c>
      <c r="I2165" t="s">
        <v>31</v>
      </c>
    </row>
    <row r="2166" spans="1:11" x14ac:dyDescent="0.3">
      <c r="A2166" t="str">
        <f>"03876454"</f>
        <v>03876454</v>
      </c>
      <c r="B2166" t="s">
        <v>4493</v>
      </c>
      <c r="C2166" t="str">
        <f t="shared" si="157"/>
        <v>706</v>
      </c>
      <c r="D2166" t="s">
        <v>28</v>
      </c>
      <c r="E2166" t="s">
        <v>23</v>
      </c>
      <c r="F2166" t="s">
        <v>1581</v>
      </c>
      <c r="G2166" t="s">
        <v>4430</v>
      </c>
      <c r="H2166" t="str">
        <f>"9499"</f>
        <v>9499</v>
      </c>
      <c r="I2166" t="s">
        <v>31</v>
      </c>
      <c r="J2166" t="s">
        <v>498</v>
      </c>
      <c r="K2166" t="s">
        <v>161</v>
      </c>
    </row>
    <row r="2167" spans="1:11" x14ac:dyDescent="0.3">
      <c r="A2167" t="str">
        <f>"28558863"</f>
        <v>28558863</v>
      </c>
      <c r="B2167" t="s">
        <v>4494</v>
      </c>
      <c r="C2167" t="str">
        <f t="shared" si="157"/>
        <v>706</v>
      </c>
      <c r="D2167" t="s">
        <v>28</v>
      </c>
      <c r="E2167" t="s">
        <v>29</v>
      </c>
      <c r="F2167" t="s">
        <v>29</v>
      </c>
      <c r="G2167" t="s">
        <v>4495</v>
      </c>
      <c r="H2167" t="str">
        <f>"94995"</f>
        <v>94995</v>
      </c>
      <c r="I2167" t="s">
        <v>232</v>
      </c>
    </row>
    <row r="2168" spans="1:11" x14ac:dyDescent="0.3">
      <c r="A2168" t="str">
        <f>"26656035"</f>
        <v>26656035</v>
      </c>
      <c r="B2168" t="s">
        <v>4496</v>
      </c>
      <c r="C2168" t="str">
        <f t="shared" si="157"/>
        <v>706</v>
      </c>
      <c r="D2168" t="s">
        <v>28</v>
      </c>
      <c r="E2168" t="s">
        <v>23</v>
      </c>
      <c r="F2168" t="s">
        <v>24</v>
      </c>
      <c r="G2168" t="s">
        <v>4497</v>
      </c>
      <c r="H2168" t="str">
        <f>"9499"</f>
        <v>9499</v>
      </c>
      <c r="I2168" t="s">
        <v>31</v>
      </c>
    </row>
    <row r="2169" spans="1:11" x14ac:dyDescent="0.3">
      <c r="A2169" t="str">
        <f>"09340360"</f>
        <v>09340360</v>
      </c>
      <c r="B2169" t="s">
        <v>4498</v>
      </c>
      <c r="C2169" t="str">
        <f t="shared" si="157"/>
        <v>706</v>
      </c>
      <c r="D2169" t="s">
        <v>28</v>
      </c>
      <c r="E2169" t="s">
        <v>52</v>
      </c>
      <c r="F2169" t="s">
        <v>3833</v>
      </c>
      <c r="G2169" t="s">
        <v>4499</v>
      </c>
      <c r="H2169" t="str">
        <f>"9499"</f>
        <v>9499</v>
      </c>
      <c r="I2169" t="s">
        <v>31</v>
      </c>
    </row>
    <row r="2170" spans="1:11" x14ac:dyDescent="0.3">
      <c r="A2170" t="str">
        <f>"09513418"</f>
        <v>09513418</v>
      </c>
      <c r="B2170" t="s">
        <v>4500</v>
      </c>
      <c r="C2170" t="str">
        <f t="shared" si="157"/>
        <v>706</v>
      </c>
      <c r="D2170" t="s">
        <v>28</v>
      </c>
      <c r="E2170" t="s">
        <v>29</v>
      </c>
      <c r="F2170" t="s">
        <v>195</v>
      </c>
      <c r="G2170" t="s">
        <v>4501</v>
      </c>
      <c r="H2170" t="str">
        <f>"9499"</f>
        <v>9499</v>
      </c>
      <c r="I2170" t="s">
        <v>31</v>
      </c>
    </row>
    <row r="2171" spans="1:11" x14ac:dyDescent="0.3">
      <c r="A2171" t="str">
        <f>"04605314"</f>
        <v>04605314</v>
      </c>
      <c r="B2171" t="s">
        <v>4502</v>
      </c>
      <c r="C2171" t="str">
        <f t="shared" si="157"/>
        <v>706</v>
      </c>
      <c r="D2171" t="s">
        <v>28</v>
      </c>
      <c r="E2171" t="s">
        <v>29</v>
      </c>
      <c r="F2171" t="s">
        <v>38</v>
      </c>
      <c r="G2171" t="s">
        <v>4503</v>
      </c>
      <c r="H2171" t="str">
        <f>"93190"</f>
        <v>93190</v>
      </c>
      <c r="I2171" t="s">
        <v>59</v>
      </c>
    </row>
    <row r="2172" spans="1:11" x14ac:dyDescent="0.3">
      <c r="A2172" t="str">
        <f>"75093430"</f>
        <v>75093430</v>
      </c>
      <c r="B2172" t="s">
        <v>4504</v>
      </c>
      <c r="C2172" t="str">
        <f>"736"</f>
        <v>736</v>
      </c>
      <c r="D2172" t="s">
        <v>22</v>
      </c>
      <c r="E2172" t="s">
        <v>52</v>
      </c>
      <c r="F2172" t="s">
        <v>234</v>
      </c>
      <c r="G2172" t="s">
        <v>4505</v>
      </c>
      <c r="H2172" t="str">
        <f>"94993"</f>
        <v>94993</v>
      </c>
      <c r="I2172" t="s">
        <v>50</v>
      </c>
    </row>
    <row r="2173" spans="1:11" x14ac:dyDescent="0.3">
      <c r="A2173" t="str">
        <f>"01338781"</f>
        <v>01338781</v>
      </c>
      <c r="B2173" t="s">
        <v>4506</v>
      </c>
      <c r="C2173" t="str">
        <f>"736"</f>
        <v>736</v>
      </c>
      <c r="D2173" t="s">
        <v>22</v>
      </c>
      <c r="E2173" t="s">
        <v>52</v>
      </c>
      <c r="F2173" t="s">
        <v>234</v>
      </c>
      <c r="G2173" t="s">
        <v>3033</v>
      </c>
      <c r="H2173" t="str">
        <f>"9499"</f>
        <v>9499</v>
      </c>
      <c r="I2173" t="s">
        <v>31</v>
      </c>
    </row>
    <row r="2174" spans="1:11" x14ac:dyDescent="0.3">
      <c r="A2174" t="str">
        <f>"22608613"</f>
        <v>22608613</v>
      </c>
      <c r="B2174" t="s">
        <v>4507</v>
      </c>
      <c r="C2174" t="str">
        <f>"736"</f>
        <v>736</v>
      </c>
      <c r="D2174" t="s">
        <v>22</v>
      </c>
      <c r="E2174" t="s">
        <v>83</v>
      </c>
      <c r="F2174" t="s">
        <v>881</v>
      </c>
      <c r="G2174" t="s">
        <v>4508</v>
      </c>
      <c r="H2174" t="str">
        <f>"9499"</f>
        <v>9499</v>
      </c>
      <c r="I2174" t="s">
        <v>31</v>
      </c>
    </row>
    <row r="2175" spans="1:11" x14ac:dyDescent="0.3">
      <c r="A2175" t="str">
        <f>"26567181"</f>
        <v>26567181</v>
      </c>
      <c r="B2175" t="s">
        <v>4509</v>
      </c>
      <c r="C2175" t="str">
        <f>"706"</f>
        <v>706</v>
      </c>
      <c r="D2175" t="s">
        <v>28</v>
      </c>
      <c r="E2175" t="s">
        <v>52</v>
      </c>
      <c r="F2175" t="s">
        <v>1955</v>
      </c>
      <c r="G2175" t="s">
        <v>4510</v>
      </c>
      <c r="H2175" t="str">
        <f>"9499"</f>
        <v>9499</v>
      </c>
      <c r="I2175" t="s">
        <v>31</v>
      </c>
    </row>
    <row r="2176" spans="1:11" x14ac:dyDescent="0.3">
      <c r="A2176" t="str">
        <f>"19800291"</f>
        <v>19800291</v>
      </c>
      <c r="B2176" t="s">
        <v>4511</v>
      </c>
      <c r="C2176" t="str">
        <f>"736"</f>
        <v>736</v>
      </c>
      <c r="D2176" t="s">
        <v>22</v>
      </c>
      <c r="E2176" t="s">
        <v>23</v>
      </c>
      <c r="F2176" t="s">
        <v>957</v>
      </c>
      <c r="G2176" t="s">
        <v>4512</v>
      </c>
      <c r="H2176" t="str">
        <f>"9499"</f>
        <v>9499</v>
      </c>
      <c r="I2176" t="s">
        <v>31</v>
      </c>
    </row>
    <row r="2177" spans="1:11" x14ac:dyDescent="0.3">
      <c r="A2177" t="str">
        <f>"72027517"</f>
        <v>72027517</v>
      </c>
      <c r="B2177" t="s">
        <v>4513</v>
      </c>
      <c r="C2177" t="str">
        <f>"736"</f>
        <v>736</v>
      </c>
      <c r="D2177" t="s">
        <v>22</v>
      </c>
      <c r="E2177" t="s">
        <v>52</v>
      </c>
      <c r="F2177" t="s">
        <v>379</v>
      </c>
      <c r="G2177" t="s">
        <v>4514</v>
      </c>
      <c r="H2177" t="str">
        <f>"94993"</f>
        <v>94993</v>
      </c>
      <c r="I2177" t="s">
        <v>50</v>
      </c>
    </row>
    <row r="2178" spans="1:11" x14ac:dyDescent="0.3">
      <c r="A2178" t="str">
        <f>"09054073"</f>
        <v>09054073</v>
      </c>
      <c r="B2178" t="s">
        <v>4515</v>
      </c>
      <c r="C2178" t="str">
        <f>"736"</f>
        <v>736</v>
      </c>
      <c r="D2178" t="s">
        <v>22</v>
      </c>
      <c r="E2178" t="s">
        <v>52</v>
      </c>
      <c r="F2178" t="s">
        <v>379</v>
      </c>
      <c r="G2178" t="s">
        <v>4514</v>
      </c>
      <c r="H2178" t="str">
        <f>"9499"</f>
        <v>9499</v>
      </c>
      <c r="I2178" t="s">
        <v>31</v>
      </c>
    </row>
    <row r="2179" spans="1:11" x14ac:dyDescent="0.3">
      <c r="A2179" t="str">
        <f>"64467597"</f>
        <v>64467597</v>
      </c>
      <c r="B2179" t="s">
        <v>4516</v>
      </c>
      <c r="C2179" t="str">
        <f>"736"</f>
        <v>736</v>
      </c>
      <c r="D2179" t="s">
        <v>22</v>
      </c>
      <c r="E2179" t="s">
        <v>23</v>
      </c>
      <c r="F2179" t="s">
        <v>107</v>
      </c>
      <c r="G2179" t="s">
        <v>4517</v>
      </c>
      <c r="H2179" t="str">
        <f>"9499"</f>
        <v>9499</v>
      </c>
      <c r="I2179" t="s">
        <v>31</v>
      </c>
    </row>
    <row r="2180" spans="1:11" x14ac:dyDescent="0.3">
      <c r="A2180" t="str">
        <f>"75092875"</f>
        <v>75092875</v>
      </c>
      <c r="B2180" t="s">
        <v>4518</v>
      </c>
      <c r="C2180" t="str">
        <f>"736"</f>
        <v>736</v>
      </c>
      <c r="D2180" t="s">
        <v>22</v>
      </c>
      <c r="E2180" t="s">
        <v>52</v>
      </c>
      <c r="F2180" t="s">
        <v>1908</v>
      </c>
      <c r="G2180" t="s">
        <v>4519</v>
      </c>
      <c r="H2180" t="str">
        <f>"9499"</f>
        <v>9499</v>
      </c>
      <c r="I2180" t="s">
        <v>31</v>
      </c>
    </row>
    <row r="2181" spans="1:11" x14ac:dyDescent="0.3">
      <c r="A2181" t="str">
        <f>"21269190"</f>
        <v>21269190</v>
      </c>
      <c r="B2181" t="s">
        <v>4520</v>
      </c>
      <c r="C2181" t="str">
        <f t="shared" ref="C2181:C2188" si="158">"706"</f>
        <v>706</v>
      </c>
      <c r="D2181" t="s">
        <v>28</v>
      </c>
      <c r="E2181" t="s">
        <v>52</v>
      </c>
      <c r="F2181" t="s">
        <v>864</v>
      </c>
      <c r="G2181" t="s">
        <v>4521</v>
      </c>
      <c r="H2181" t="str">
        <f>"93190"</f>
        <v>93190</v>
      </c>
      <c r="I2181" t="s">
        <v>59</v>
      </c>
    </row>
    <row r="2182" spans="1:11" x14ac:dyDescent="0.3">
      <c r="A2182" t="str">
        <f>"22832025"</f>
        <v>22832025</v>
      </c>
      <c r="B2182" t="s">
        <v>4522</v>
      </c>
      <c r="C2182" t="str">
        <f t="shared" si="158"/>
        <v>706</v>
      </c>
      <c r="D2182" t="s">
        <v>28</v>
      </c>
      <c r="E2182" t="s">
        <v>52</v>
      </c>
      <c r="F2182" t="s">
        <v>379</v>
      </c>
      <c r="G2182" t="s">
        <v>4523</v>
      </c>
      <c r="H2182" t="str">
        <f>"94993"</f>
        <v>94993</v>
      </c>
      <c r="I2182" t="s">
        <v>50</v>
      </c>
    </row>
    <row r="2183" spans="1:11" x14ac:dyDescent="0.3">
      <c r="A2183" t="str">
        <f>"28554396"</f>
        <v>28554396</v>
      </c>
      <c r="B2183" t="s">
        <v>4524</v>
      </c>
      <c r="C2183" t="str">
        <f t="shared" si="158"/>
        <v>706</v>
      </c>
      <c r="D2183" t="s">
        <v>28</v>
      </c>
      <c r="E2183" t="s">
        <v>52</v>
      </c>
      <c r="F2183" t="s">
        <v>379</v>
      </c>
      <c r="G2183" t="s">
        <v>4525</v>
      </c>
      <c r="H2183" t="str">
        <f>"9499"</f>
        <v>9499</v>
      </c>
      <c r="I2183" t="s">
        <v>31</v>
      </c>
    </row>
    <row r="2184" spans="1:11" x14ac:dyDescent="0.3">
      <c r="A2184" t="str">
        <f>"18189911"</f>
        <v>18189911</v>
      </c>
      <c r="B2184" t="s">
        <v>4526</v>
      </c>
      <c r="C2184" t="str">
        <f t="shared" si="158"/>
        <v>706</v>
      </c>
      <c r="D2184" t="s">
        <v>28</v>
      </c>
      <c r="E2184" t="s">
        <v>83</v>
      </c>
      <c r="F2184" t="s">
        <v>83</v>
      </c>
      <c r="G2184" t="s">
        <v>4527</v>
      </c>
      <c r="H2184" t="str">
        <f>"93110"</f>
        <v>93110</v>
      </c>
      <c r="I2184" t="s">
        <v>92</v>
      </c>
    </row>
    <row r="2185" spans="1:11" x14ac:dyDescent="0.3">
      <c r="A2185" t="str">
        <f>"62180932"</f>
        <v>62180932</v>
      </c>
      <c r="B2185" t="s">
        <v>4528</v>
      </c>
      <c r="C2185" t="str">
        <f t="shared" si="158"/>
        <v>706</v>
      </c>
      <c r="D2185" t="s">
        <v>28</v>
      </c>
      <c r="E2185" t="s">
        <v>23</v>
      </c>
      <c r="F2185" t="s">
        <v>24</v>
      </c>
      <c r="G2185" t="s">
        <v>4529</v>
      </c>
      <c r="H2185" t="str">
        <f>"93120"</f>
        <v>93120</v>
      </c>
      <c r="I2185" t="s">
        <v>54</v>
      </c>
    </row>
    <row r="2186" spans="1:11" x14ac:dyDescent="0.3">
      <c r="A2186" t="str">
        <f>"17948185"</f>
        <v>17948185</v>
      </c>
      <c r="B2186" t="s">
        <v>4530</v>
      </c>
      <c r="C2186" t="str">
        <f t="shared" si="158"/>
        <v>706</v>
      </c>
      <c r="D2186" t="s">
        <v>28</v>
      </c>
      <c r="E2186" t="s">
        <v>23</v>
      </c>
      <c r="F2186" t="s">
        <v>23</v>
      </c>
      <c r="G2186" t="s">
        <v>279</v>
      </c>
      <c r="H2186" t="str">
        <f>"9499"</f>
        <v>9499</v>
      </c>
      <c r="I2186" t="s">
        <v>31</v>
      </c>
    </row>
    <row r="2187" spans="1:11" x14ac:dyDescent="0.3">
      <c r="A2187" t="str">
        <f>"22754504"</f>
        <v>22754504</v>
      </c>
      <c r="B2187" t="s">
        <v>4531</v>
      </c>
      <c r="C2187" t="str">
        <f t="shared" si="158"/>
        <v>706</v>
      </c>
      <c r="D2187" t="s">
        <v>28</v>
      </c>
      <c r="E2187" t="s">
        <v>23</v>
      </c>
      <c r="F2187" t="s">
        <v>23</v>
      </c>
      <c r="G2187" t="s">
        <v>4532</v>
      </c>
      <c r="H2187" t="str">
        <f>"93190"</f>
        <v>93190</v>
      </c>
      <c r="I2187" t="s">
        <v>59</v>
      </c>
    </row>
    <row r="2188" spans="1:11" x14ac:dyDescent="0.3">
      <c r="A2188" t="str">
        <f>"48773263"</f>
        <v>48773263</v>
      </c>
      <c r="B2188" t="s">
        <v>4533</v>
      </c>
      <c r="C2188" t="str">
        <f t="shared" si="158"/>
        <v>706</v>
      </c>
      <c r="D2188" t="s">
        <v>28</v>
      </c>
      <c r="E2188" t="s">
        <v>29</v>
      </c>
      <c r="F2188" t="s">
        <v>29</v>
      </c>
      <c r="G2188" t="s">
        <v>4534</v>
      </c>
      <c r="H2188" t="str">
        <f>"90010"</f>
        <v>90010</v>
      </c>
      <c r="I2188" t="s">
        <v>2014</v>
      </c>
    </row>
    <row r="2189" spans="1:11" x14ac:dyDescent="0.3">
      <c r="A2189" t="str">
        <f>"62831771"</f>
        <v>62831771</v>
      </c>
      <c r="B2189" t="s">
        <v>4535</v>
      </c>
      <c r="C2189" t="str">
        <f>"736"</f>
        <v>736</v>
      </c>
      <c r="D2189" t="s">
        <v>22</v>
      </c>
      <c r="E2189" t="s">
        <v>52</v>
      </c>
      <c r="F2189" t="s">
        <v>1955</v>
      </c>
      <c r="G2189" t="s">
        <v>4536</v>
      </c>
      <c r="H2189" t="str">
        <f>"94993"</f>
        <v>94993</v>
      </c>
      <c r="I2189" t="s">
        <v>50</v>
      </c>
    </row>
    <row r="2190" spans="1:11" x14ac:dyDescent="0.3">
      <c r="A2190" t="str">
        <f>"26608871"</f>
        <v>26608871</v>
      </c>
      <c r="B2190" t="s">
        <v>4537</v>
      </c>
      <c r="C2190" t="str">
        <f>"706"</f>
        <v>706</v>
      </c>
      <c r="D2190" t="s">
        <v>28</v>
      </c>
      <c r="E2190" t="s">
        <v>23</v>
      </c>
      <c r="F2190" t="s">
        <v>23</v>
      </c>
      <c r="G2190" t="s">
        <v>4538</v>
      </c>
      <c r="H2190" t="str">
        <f>"9499"</f>
        <v>9499</v>
      </c>
      <c r="I2190" t="s">
        <v>31</v>
      </c>
    </row>
    <row r="2191" spans="1:11" x14ac:dyDescent="0.3">
      <c r="A2191" t="str">
        <f>"21030529"</f>
        <v>21030529</v>
      </c>
      <c r="B2191" t="s">
        <v>4539</v>
      </c>
      <c r="C2191" t="str">
        <f>"706"</f>
        <v>706</v>
      </c>
      <c r="D2191" t="s">
        <v>28</v>
      </c>
      <c r="E2191" t="s">
        <v>23</v>
      </c>
      <c r="F2191" t="s">
        <v>23</v>
      </c>
      <c r="G2191" t="s">
        <v>4540</v>
      </c>
      <c r="H2191" t="str">
        <f>"93190"</f>
        <v>93190</v>
      </c>
      <c r="I2191" t="s">
        <v>59</v>
      </c>
      <c r="J2191" t="s">
        <v>31</v>
      </c>
      <c r="K2191" t="s">
        <v>163</v>
      </c>
    </row>
    <row r="2192" spans="1:11" x14ac:dyDescent="0.3">
      <c r="A2192" t="str">
        <f>"01383566"</f>
        <v>01383566</v>
      </c>
      <c r="B2192" t="s">
        <v>4541</v>
      </c>
      <c r="C2192" t="str">
        <f>"141"</f>
        <v>141</v>
      </c>
      <c r="D2192" t="s">
        <v>112</v>
      </c>
      <c r="E2192" t="s">
        <v>23</v>
      </c>
      <c r="F2192" t="s">
        <v>23</v>
      </c>
      <c r="G2192" t="s">
        <v>581</v>
      </c>
      <c r="H2192" t="str">
        <f>"8730"</f>
        <v>8730</v>
      </c>
      <c r="I2192" t="s">
        <v>1119</v>
      </c>
      <c r="J2192" t="s">
        <v>157</v>
      </c>
    </row>
    <row r="2193" spans="1:10" x14ac:dyDescent="0.3">
      <c r="A2193" t="str">
        <f>"22833528"</f>
        <v>22833528</v>
      </c>
      <c r="B2193" t="s">
        <v>4542</v>
      </c>
      <c r="C2193" t="str">
        <f>"706"</f>
        <v>706</v>
      </c>
      <c r="D2193" t="s">
        <v>28</v>
      </c>
      <c r="E2193" t="s">
        <v>23</v>
      </c>
      <c r="F2193" t="s">
        <v>99</v>
      </c>
      <c r="G2193" t="s">
        <v>3380</v>
      </c>
      <c r="H2193" t="str">
        <f>"9499"</f>
        <v>9499</v>
      </c>
      <c r="I2193" t="s">
        <v>31</v>
      </c>
    </row>
    <row r="2194" spans="1:10" x14ac:dyDescent="0.3">
      <c r="A2194" t="str">
        <f>"27735109"</f>
        <v>27735109</v>
      </c>
      <c r="B2194" t="s">
        <v>4543</v>
      </c>
      <c r="C2194" t="str">
        <f>"141"</f>
        <v>141</v>
      </c>
      <c r="D2194" t="s">
        <v>112</v>
      </c>
      <c r="E2194" t="s">
        <v>23</v>
      </c>
      <c r="F2194" t="s">
        <v>350</v>
      </c>
      <c r="G2194" t="s">
        <v>4544</v>
      </c>
      <c r="H2194" t="str">
        <f>"9499"</f>
        <v>9499</v>
      </c>
      <c r="I2194" t="s">
        <v>31</v>
      </c>
      <c r="J2194" t="s">
        <v>1496</v>
      </c>
    </row>
    <row r="2195" spans="1:10" x14ac:dyDescent="0.3">
      <c r="A2195" t="str">
        <f>"22831606"</f>
        <v>22831606</v>
      </c>
      <c r="B2195" t="s">
        <v>4545</v>
      </c>
      <c r="C2195" t="str">
        <f t="shared" ref="C2195:C2212" si="159">"706"</f>
        <v>706</v>
      </c>
      <c r="D2195" t="s">
        <v>28</v>
      </c>
      <c r="E2195" t="s">
        <v>23</v>
      </c>
      <c r="F2195" t="s">
        <v>99</v>
      </c>
      <c r="G2195" t="s">
        <v>4546</v>
      </c>
      <c r="H2195" t="str">
        <f>"9499"</f>
        <v>9499</v>
      </c>
      <c r="I2195" t="s">
        <v>31</v>
      </c>
    </row>
    <row r="2196" spans="1:10" x14ac:dyDescent="0.3">
      <c r="A2196" t="str">
        <f>"27030075"</f>
        <v>27030075</v>
      </c>
      <c r="B2196" t="s">
        <v>4547</v>
      </c>
      <c r="C2196" t="str">
        <f t="shared" si="159"/>
        <v>706</v>
      </c>
      <c r="D2196" t="s">
        <v>28</v>
      </c>
      <c r="E2196" t="s">
        <v>52</v>
      </c>
      <c r="F2196" t="s">
        <v>113</v>
      </c>
      <c r="G2196" t="s">
        <v>4548</v>
      </c>
      <c r="H2196" t="str">
        <f>"8899"</f>
        <v>8899</v>
      </c>
      <c r="I2196" t="s">
        <v>40</v>
      </c>
    </row>
    <row r="2197" spans="1:10" x14ac:dyDescent="0.3">
      <c r="A2197" t="str">
        <f>"07536224"</f>
        <v>07536224</v>
      </c>
      <c r="B2197" t="s">
        <v>4549</v>
      </c>
      <c r="C2197" t="str">
        <f t="shared" si="159"/>
        <v>706</v>
      </c>
      <c r="D2197" t="s">
        <v>28</v>
      </c>
      <c r="E2197" t="s">
        <v>83</v>
      </c>
      <c r="F2197" t="s">
        <v>83</v>
      </c>
      <c r="G2197" t="s">
        <v>4550</v>
      </c>
      <c r="H2197" t="str">
        <f>"93190"</f>
        <v>93190</v>
      </c>
      <c r="I2197" t="s">
        <v>59</v>
      </c>
    </row>
    <row r="2198" spans="1:10" x14ac:dyDescent="0.3">
      <c r="A2198" t="str">
        <f>"03037797"</f>
        <v>03037797</v>
      </c>
      <c r="B2198" t="s">
        <v>4551</v>
      </c>
      <c r="C2198" t="str">
        <f t="shared" si="159"/>
        <v>706</v>
      </c>
      <c r="D2198" t="s">
        <v>28</v>
      </c>
      <c r="E2198" t="s">
        <v>23</v>
      </c>
      <c r="F2198" t="s">
        <v>23</v>
      </c>
      <c r="G2198" t="s">
        <v>4552</v>
      </c>
      <c r="H2198" t="str">
        <f>"93190"</f>
        <v>93190</v>
      </c>
      <c r="I2198" t="s">
        <v>59</v>
      </c>
    </row>
    <row r="2199" spans="1:10" x14ac:dyDescent="0.3">
      <c r="A2199" t="str">
        <f>"26642701"</f>
        <v>26642701</v>
      </c>
      <c r="B2199" t="s">
        <v>4553</v>
      </c>
      <c r="C2199" t="str">
        <f t="shared" si="159"/>
        <v>706</v>
      </c>
      <c r="D2199" t="s">
        <v>28</v>
      </c>
      <c r="E2199" t="s">
        <v>83</v>
      </c>
      <c r="F2199" t="s">
        <v>175</v>
      </c>
      <c r="G2199" t="s">
        <v>4554</v>
      </c>
      <c r="H2199" t="str">
        <f>"93110"</f>
        <v>93110</v>
      </c>
      <c r="I2199" t="s">
        <v>92</v>
      </c>
    </row>
    <row r="2200" spans="1:10" x14ac:dyDescent="0.3">
      <c r="A2200" t="str">
        <f>"26602679"</f>
        <v>26602679</v>
      </c>
      <c r="B2200" t="s">
        <v>4555</v>
      </c>
      <c r="C2200" t="str">
        <f t="shared" si="159"/>
        <v>706</v>
      </c>
      <c r="D2200" t="s">
        <v>28</v>
      </c>
      <c r="E2200" t="s">
        <v>23</v>
      </c>
      <c r="F2200" t="s">
        <v>23</v>
      </c>
      <c r="G2200" t="s">
        <v>462</v>
      </c>
      <c r="H2200" t="str">
        <f>"9499"</f>
        <v>9499</v>
      </c>
      <c r="I2200" t="s">
        <v>31</v>
      </c>
    </row>
    <row r="2201" spans="1:10" x14ac:dyDescent="0.3">
      <c r="A2201" t="str">
        <f>"66184312"</f>
        <v>66184312</v>
      </c>
      <c r="B2201" t="s">
        <v>4556</v>
      </c>
      <c r="C2201" t="str">
        <f t="shared" si="159"/>
        <v>706</v>
      </c>
      <c r="D2201" t="s">
        <v>28</v>
      </c>
      <c r="E2201" t="s">
        <v>29</v>
      </c>
      <c r="F2201" t="s">
        <v>29</v>
      </c>
      <c r="G2201" t="s">
        <v>4557</v>
      </c>
      <c r="H2201" t="str">
        <f>"9499"</f>
        <v>9499</v>
      </c>
      <c r="I2201" t="s">
        <v>31</v>
      </c>
    </row>
    <row r="2202" spans="1:10" x14ac:dyDescent="0.3">
      <c r="A2202" t="str">
        <f>"01695941"</f>
        <v>01695941</v>
      </c>
      <c r="B2202" t="s">
        <v>4558</v>
      </c>
      <c r="C2202" t="str">
        <f t="shared" si="159"/>
        <v>706</v>
      </c>
      <c r="D2202" t="s">
        <v>28</v>
      </c>
      <c r="E2202" t="s">
        <v>83</v>
      </c>
      <c r="F2202" t="s">
        <v>83</v>
      </c>
      <c r="G2202" t="s">
        <v>3137</v>
      </c>
      <c r="H2202" t="str">
        <f>"9499"</f>
        <v>9499</v>
      </c>
      <c r="I2202" t="s">
        <v>31</v>
      </c>
    </row>
    <row r="2203" spans="1:10" x14ac:dyDescent="0.3">
      <c r="A2203" t="str">
        <f>"04103688"</f>
        <v>04103688</v>
      </c>
      <c r="B2203" t="s">
        <v>4559</v>
      </c>
      <c r="C2203" t="str">
        <f t="shared" si="159"/>
        <v>706</v>
      </c>
      <c r="D2203" t="s">
        <v>28</v>
      </c>
      <c r="E2203" t="s">
        <v>83</v>
      </c>
      <c r="F2203" t="s">
        <v>480</v>
      </c>
      <c r="G2203" t="s">
        <v>4560</v>
      </c>
      <c r="H2203" t="str">
        <f>"9499"</f>
        <v>9499</v>
      </c>
      <c r="I2203" t="s">
        <v>31</v>
      </c>
    </row>
    <row r="2204" spans="1:10" x14ac:dyDescent="0.3">
      <c r="A2204" t="str">
        <f>"17932726"</f>
        <v>17932726</v>
      </c>
      <c r="B2204" t="s">
        <v>4561</v>
      </c>
      <c r="C2204" t="str">
        <f t="shared" si="159"/>
        <v>706</v>
      </c>
      <c r="D2204" t="s">
        <v>28</v>
      </c>
      <c r="E2204" t="s">
        <v>83</v>
      </c>
      <c r="F2204" t="s">
        <v>4562</v>
      </c>
      <c r="G2204" t="s">
        <v>4563</v>
      </c>
      <c r="H2204" t="str">
        <f>"93190"</f>
        <v>93190</v>
      </c>
      <c r="I2204" t="s">
        <v>59</v>
      </c>
    </row>
    <row r="2205" spans="1:10" x14ac:dyDescent="0.3">
      <c r="A2205" t="str">
        <f>"22874976"</f>
        <v>22874976</v>
      </c>
      <c r="B2205" t="s">
        <v>4564</v>
      </c>
      <c r="C2205" t="str">
        <f t="shared" si="159"/>
        <v>706</v>
      </c>
      <c r="D2205" t="s">
        <v>28</v>
      </c>
      <c r="E2205" t="s">
        <v>23</v>
      </c>
      <c r="F2205" t="s">
        <v>23</v>
      </c>
      <c r="G2205" t="s">
        <v>4229</v>
      </c>
      <c r="H2205" t="str">
        <f>"93190"</f>
        <v>93190</v>
      </c>
      <c r="I2205" t="s">
        <v>59</v>
      </c>
    </row>
    <row r="2206" spans="1:10" x14ac:dyDescent="0.3">
      <c r="A2206" t="str">
        <f>"42340101"</f>
        <v>42340101</v>
      </c>
      <c r="B2206" t="s">
        <v>4565</v>
      </c>
      <c r="C2206" t="str">
        <f t="shared" si="159"/>
        <v>706</v>
      </c>
      <c r="D2206" t="s">
        <v>28</v>
      </c>
      <c r="E2206" t="s">
        <v>23</v>
      </c>
      <c r="F2206" t="s">
        <v>23</v>
      </c>
      <c r="G2206" t="s">
        <v>204</v>
      </c>
      <c r="H2206" t="str">
        <f>"9499"</f>
        <v>9499</v>
      </c>
      <c r="I2206" t="s">
        <v>31</v>
      </c>
    </row>
    <row r="2207" spans="1:10" x14ac:dyDescent="0.3">
      <c r="A2207" t="str">
        <f>"60990503"</f>
        <v>60990503</v>
      </c>
      <c r="B2207" t="s">
        <v>4566</v>
      </c>
      <c r="C2207" t="str">
        <f t="shared" si="159"/>
        <v>706</v>
      </c>
      <c r="D2207" t="s">
        <v>28</v>
      </c>
      <c r="E2207" t="s">
        <v>29</v>
      </c>
      <c r="F2207" t="s">
        <v>702</v>
      </c>
      <c r="G2207" t="s">
        <v>4567</v>
      </c>
      <c r="H2207" t="str">
        <f>"93120"</f>
        <v>93120</v>
      </c>
      <c r="I2207" t="s">
        <v>54</v>
      </c>
    </row>
    <row r="2208" spans="1:10" x14ac:dyDescent="0.3">
      <c r="A2208" t="str">
        <f>"22844716"</f>
        <v>22844716</v>
      </c>
      <c r="B2208" t="s">
        <v>4568</v>
      </c>
      <c r="C2208" t="str">
        <f t="shared" si="159"/>
        <v>706</v>
      </c>
      <c r="D2208" t="s">
        <v>28</v>
      </c>
      <c r="E2208" t="s">
        <v>23</v>
      </c>
      <c r="F2208" t="s">
        <v>4569</v>
      </c>
      <c r="G2208" t="s">
        <v>4570</v>
      </c>
      <c r="H2208" t="str">
        <f>"93120"</f>
        <v>93120</v>
      </c>
      <c r="I2208" t="s">
        <v>54</v>
      </c>
    </row>
    <row r="2209" spans="1:10" x14ac:dyDescent="0.3">
      <c r="A2209" t="str">
        <f>"44740719"</f>
        <v>44740719</v>
      </c>
      <c r="B2209" t="s">
        <v>4571</v>
      </c>
      <c r="C2209" t="str">
        <f t="shared" si="159"/>
        <v>706</v>
      </c>
      <c r="D2209" t="s">
        <v>28</v>
      </c>
      <c r="E2209" t="s">
        <v>29</v>
      </c>
      <c r="F2209" t="s">
        <v>670</v>
      </c>
      <c r="G2209" t="s">
        <v>2577</v>
      </c>
      <c r="H2209" t="str">
        <f>"93120"</f>
        <v>93120</v>
      </c>
      <c r="I2209" t="s">
        <v>54</v>
      </c>
    </row>
    <row r="2210" spans="1:10" x14ac:dyDescent="0.3">
      <c r="A2210" t="str">
        <f>"22737235"</f>
        <v>22737235</v>
      </c>
      <c r="B2210" t="s">
        <v>4572</v>
      </c>
      <c r="C2210" t="str">
        <f t="shared" si="159"/>
        <v>706</v>
      </c>
      <c r="D2210" t="s">
        <v>28</v>
      </c>
      <c r="E2210" t="s">
        <v>29</v>
      </c>
      <c r="F2210" t="s">
        <v>1266</v>
      </c>
      <c r="G2210" t="s">
        <v>4573</v>
      </c>
      <c r="H2210" t="str">
        <f>"93110"</f>
        <v>93110</v>
      </c>
      <c r="I2210" t="s">
        <v>92</v>
      </c>
    </row>
    <row r="2211" spans="1:10" x14ac:dyDescent="0.3">
      <c r="A2211" t="str">
        <f>"60371633"</f>
        <v>60371633</v>
      </c>
      <c r="B2211" t="s">
        <v>4574</v>
      </c>
      <c r="C2211" t="str">
        <f t="shared" si="159"/>
        <v>706</v>
      </c>
      <c r="D2211" t="s">
        <v>28</v>
      </c>
      <c r="E2211" t="s">
        <v>52</v>
      </c>
      <c r="F2211" t="s">
        <v>864</v>
      </c>
      <c r="G2211" t="s">
        <v>4575</v>
      </c>
      <c r="H2211" t="str">
        <f>"931"</f>
        <v>931</v>
      </c>
      <c r="I2211" t="s">
        <v>26</v>
      </c>
    </row>
    <row r="2212" spans="1:10" x14ac:dyDescent="0.3">
      <c r="A2212" t="str">
        <f>"00208680"</f>
        <v>00208680</v>
      </c>
      <c r="B2212" t="s">
        <v>4576</v>
      </c>
      <c r="C2212" t="str">
        <f t="shared" si="159"/>
        <v>706</v>
      </c>
      <c r="D2212" t="s">
        <v>28</v>
      </c>
      <c r="E2212" t="s">
        <v>23</v>
      </c>
      <c r="F2212" t="s">
        <v>23</v>
      </c>
      <c r="G2212" t="s">
        <v>204</v>
      </c>
      <c r="H2212" t="str">
        <f>"9499"</f>
        <v>9499</v>
      </c>
      <c r="I2212" t="s">
        <v>31</v>
      </c>
    </row>
    <row r="2213" spans="1:10" x14ac:dyDescent="0.3">
      <c r="A2213" t="str">
        <f>"22904344"</f>
        <v>22904344</v>
      </c>
      <c r="B2213" t="s">
        <v>4577</v>
      </c>
      <c r="C2213" t="str">
        <f>"736"</f>
        <v>736</v>
      </c>
      <c r="D2213" t="s">
        <v>22</v>
      </c>
      <c r="E2213" t="s">
        <v>52</v>
      </c>
      <c r="F2213" t="s">
        <v>612</v>
      </c>
      <c r="G2213" t="s">
        <v>963</v>
      </c>
      <c r="H2213" t="str">
        <f>"9499"</f>
        <v>9499</v>
      </c>
      <c r="I2213" t="s">
        <v>31</v>
      </c>
    </row>
    <row r="2214" spans="1:10" x14ac:dyDescent="0.3">
      <c r="A2214" t="str">
        <f>"22884751"</f>
        <v>22884751</v>
      </c>
      <c r="B2214" t="s">
        <v>4578</v>
      </c>
      <c r="C2214" t="str">
        <f t="shared" ref="C2214:C2228" si="160">"706"</f>
        <v>706</v>
      </c>
      <c r="D2214" t="s">
        <v>28</v>
      </c>
      <c r="E2214" t="s">
        <v>29</v>
      </c>
      <c r="F2214" t="s">
        <v>195</v>
      </c>
      <c r="G2214" t="s">
        <v>4579</v>
      </c>
      <c r="H2214" t="str">
        <f>"93190"</f>
        <v>93190</v>
      </c>
      <c r="I2214" t="s">
        <v>59</v>
      </c>
    </row>
    <row r="2215" spans="1:10" x14ac:dyDescent="0.3">
      <c r="A2215" t="str">
        <f>"47935715"</f>
        <v>47935715</v>
      </c>
      <c r="B2215" t="s">
        <v>4580</v>
      </c>
      <c r="C2215" t="str">
        <f t="shared" si="160"/>
        <v>706</v>
      </c>
      <c r="D2215" t="s">
        <v>28</v>
      </c>
      <c r="E2215" t="s">
        <v>83</v>
      </c>
      <c r="F2215" t="s">
        <v>175</v>
      </c>
      <c r="G2215" t="s">
        <v>175</v>
      </c>
      <c r="H2215" t="str">
        <f>"93110"</f>
        <v>93110</v>
      </c>
      <c r="I2215" t="s">
        <v>92</v>
      </c>
    </row>
    <row r="2216" spans="1:10" x14ac:dyDescent="0.3">
      <c r="A2216" t="str">
        <f>"01491393"</f>
        <v>01491393</v>
      </c>
      <c r="B2216" t="s">
        <v>4581</v>
      </c>
      <c r="C2216" t="str">
        <f t="shared" si="160"/>
        <v>706</v>
      </c>
      <c r="D2216" t="s">
        <v>28</v>
      </c>
      <c r="E2216" t="s">
        <v>23</v>
      </c>
      <c r="F2216" t="s">
        <v>350</v>
      </c>
      <c r="G2216" t="s">
        <v>4582</v>
      </c>
      <c r="H2216" t="str">
        <f>"93190"</f>
        <v>93190</v>
      </c>
      <c r="I2216" t="s">
        <v>59</v>
      </c>
    </row>
    <row r="2217" spans="1:10" x14ac:dyDescent="0.3">
      <c r="A2217" t="str">
        <f>"60370173"</f>
        <v>60370173</v>
      </c>
      <c r="B2217" t="s">
        <v>4583</v>
      </c>
      <c r="C2217" t="str">
        <f t="shared" si="160"/>
        <v>706</v>
      </c>
      <c r="D2217" t="s">
        <v>28</v>
      </c>
      <c r="E2217" t="s">
        <v>52</v>
      </c>
      <c r="F2217" t="s">
        <v>52</v>
      </c>
      <c r="G2217" t="s">
        <v>4584</v>
      </c>
      <c r="H2217" t="str">
        <f>"9499"</f>
        <v>9499</v>
      </c>
      <c r="I2217" t="s">
        <v>31</v>
      </c>
      <c r="J2217" t="s">
        <v>161</v>
      </c>
    </row>
    <row r="2218" spans="1:10" x14ac:dyDescent="0.3">
      <c r="A2218" t="str">
        <f>"06267891"</f>
        <v>06267891</v>
      </c>
      <c r="B2218" t="s">
        <v>4585</v>
      </c>
      <c r="C2218" t="str">
        <f t="shared" si="160"/>
        <v>706</v>
      </c>
      <c r="D2218" t="s">
        <v>28</v>
      </c>
      <c r="E2218" t="s">
        <v>83</v>
      </c>
      <c r="F2218" t="s">
        <v>83</v>
      </c>
      <c r="G2218" t="s">
        <v>4586</v>
      </c>
      <c r="H2218" t="str">
        <f>"90010"</f>
        <v>90010</v>
      </c>
      <c r="I2218" t="s">
        <v>2014</v>
      </c>
    </row>
    <row r="2219" spans="1:10" x14ac:dyDescent="0.3">
      <c r="A2219" t="str">
        <f>"22870296"</f>
        <v>22870296</v>
      </c>
      <c r="B2219" t="s">
        <v>4587</v>
      </c>
      <c r="C2219" t="str">
        <f t="shared" si="160"/>
        <v>706</v>
      </c>
      <c r="D2219" t="s">
        <v>28</v>
      </c>
      <c r="E2219" t="s">
        <v>52</v>
      </c>
      <c r="F2219" t="s">
        <v>113</v>
      </c>
      <c r="G2219" t="s">
        <v>4588</v>
      </c>
      <c r="H2219" t="str">
        <f>"9499"</f>
        <v>9499</v>
      </c>
      <c r="I2219" t="s">
        <v>31</v>
      </c>
    </row>
    <row r="2220" spans="1:10" x14ac:dyDescent="0.3">
      <c r="A2220" t="str">
        <f>"26572702"</f>
        <v>26572702</v>
      </c>
      <c r="B2220" t="s">
        <v>4589</v>
      </c>
      <c r="C2220" t="str">
        <f t="shared" si="160"/>
        <v>706</v>
      </c>
      <c r="D2220" t="s">
        <v>28</v>
      </c>
      <c r="E2220" t="s">
        <v>23</v>
      </c>
      <c r="F2220" t="s">
        <v>23</v>
      </c>
      <c r="G2220" t="s">
        <v>4590</v>
      </c>
      <c r="H2220" t="str">
        <f>"94991"</f>
        <v>94991</v>
      </c>
      <c r="I2220" t="s">
        <v>433</v>
      </c>
    </row>
    <row r="2221" spans="1:10" x14ac:dyDescent="0.3">
      <c r="A2221" t="str">
        <f>"05492190"</f>
        <v>05492190</v>
      </c>
      <c r="B2221" t="s">
        <v>4591</v>
      </c>
      <c r="C2221" t="str">
        <f t="shared" si="160"/>
        <v>706</v>
      </c>
      <c r="D2221" t="s">
        <v>28</v>
      </c>
      <c r="E2221" t="s">
        <v>83</v>
      </c>
      <c r="F2221" t="s">
        <v>83</v>
      </c>
      <c r="G2221" t="s">
        <v>4592</v>
      </c>
      <c r="H2221" t="str">
        <f>"9499"</f>
        <v>9499</v>
      </c>
      <c r="I2221" t="s">
        <v>31</v>
      </c>
    </row>
    <row r="2222" spans="1:10" x14ac:dyDescent="0.3">
      <c r="A2222" t="str">
        <f>"26579561"</f>
        <v>26579561</v>
      </c>
      <c r="B2222" t="s">
        <v>4593</v>
      </c>
      <c r="C2222" t="str">
        <f t="shared" si="160"/>
        <v>706</v>
      </c>
      <c r="D2222" t="s">
        <v>28</v>
      </c>
      <c r="E2222" t="s">
        <v>23</v>
      </c>
      <c r="F2222" t="s">
        <v>24</v>
      </c>
      <c r="G2222" t="s">
        <v>4594</v>
      </c>
      <c r="H2222" t="str">
        <f>"9499"</f>
        <v>9499</v>
      </c>
      <c r="I2222" t="s">
        <v>31</v>
      </c>
    </row>
    <row r="2223" spans="1:10" x14ac:dyDescent="0.3">
      <c r="A2223" t="str">
        <f>"22861050"</f>
        <v>22861050</v>
      </c>
      <c r="B2223" t="s">
        <v>4595</v>
      </c>
      <c r="C2223" t="str">
        <f t="shared" si="160"/>
        <v>706</v>
      </c>
      <c r="D2223" t="s">
        <v>28</v>
      </c>
      <c r="E2223" t="s">
        <v>52</v>
      </c>
      <c r="F2223" t="s">
        <v>612</v>
      </c>
      <c r="G2223" t="s">
        <v>1643</v>
      </c>
      <c r="H2223" t="str">
        <f>"9499"</f>
        <v>9499</v>
      </c>
      <c r="I2223" t="s">
        <v>31</v>
      </c>
    </row>
    <row r="2224" spans="1:10" x14ac:dyDescent="0.3">
      <c r="A2224" t="str">
        <f>"21664838"</f>
        <v>21664838</v>
      </c>
      <c r="B2224" t="s">
        <v>4596</v>
      </c>
      <c r="C2224" t="str">
        <f t="shared" si="160"/>
        <v>706</v>
      </c>
      <c r="D2224" t="s">
        <v>28</v>
      </c>
      <c r="E2224" t="s">
        <v>23</v>
      </c>
      <c r="F2224" t="s">
        <v>23</v>
      </c>
      <c r="G2224" t="s">
        <v>4597</v>
      </c>
      <c r="H2224" t="str">
        <f>"93190"</f>
        <v>93190</v>
      </c>
      <c r="I2224" t="s">
        <v>59</v>
      </c>
      <c r="J2224" t="s">
        <v>146</v>
      </c>
    </row>
    <row r="2225" spans="1:9" x14ac:dyDescent="0.3">
      <c r="A2225" t="str">
        <f>"26562073"</f>
        <v>26562073</v>
      </c>
      <c r="B2225" t="s">
        <v>4598</v>
      </c>
      <c r="C2225" t="str">
        <f t="shared" si="160"/>
        <v>706</v>
      </c>
      <c r="D2225" t="s">
        <v>28</v>
      </c>
      <c r="E2225" t="s">
        <v>52</v>
      </c>
      <c r="F2225" t="s">
        <v>234</v>
      </c>
      <c r="G2225" t="s">
        <v>4599</v>
      </c>
      <c r="H2225" t="str">
        <f>"9499"</f>
        <v>9499</v>
      </c>
      <c r="I2225" t="s">
        <v>31</v>
      </c>
    </row>
    <row r="2226" spans="1:9" x14ac:dyDescent="0.3">
      <c r="A2226" t="str">
        <f>"23266465"</f>
        <v>23266465</v>
      </c>
      <c r="B2226" t="s">
        <v>4600</v>
      </c>
      <c r="C2226" t="str">
        <f t="shared" si="160"/>
        <v>706</v>
      </c>
      <c r="D2226" t="s">
        <v>28</v>
      </c>
      <c r="E2226" t="s">
        <v>83</v>
      </c>
      <c r="F2226" t="s">
        <v>83</v>
      </c>
      <c r="G2226" t="s">
        <v>4601</v>
      </c>
      <c r="H2226" t="str">
        <f>"9499"</f>
        <v>9499</v>
      </c>
      <c r="I2226" t="s">
        <v>31</v>
      </c>
    </row>
    <row r="2227" spans="1:9" x14ac:dyDescent="0.3">
      <c r="A2227" t="str">
        <f>"05190291"</f>
        <v>05190291</v>
      </c>
      <c r="B2227" t="s">
        <v>4602</v>
      </c>
      <c r="C2227" t="str">
        <f t="shared" si="160"/>
        <v>706</v>
      </c>
      <c r="D2227" t="s">
        <v>28</v>
      </c>
      <c r="E2227" t="s">
        <v>29</v>
      </c>
      <c r="F2227" t="s">
        <v>685</v>
      </c>
      <c r="G2227" t="s">
        <v>4603</v>
      </c>
      <c r="H2227" t="str">
        <f>"9499"</f>
        <v>9499</v>
      </c>
      <c r="I2227" t="s">
        <v>31</v>
      </c>
    </row>
    <row r="2228" spans="1:9" x14ac:dyDescent="0.3">
      <c r="A2228" t="str">
        <f>"22685201"</f>
        <v>22685201</v>
      </c>
      <c r="B2228" t="s">
        <v>4604</v>
      </c>
      <c r="C2228" t="str">
        <f t="shared" si="160"/>
        <v>706</v>
      </c>
      <c r="D2228" t="s">
        <v>28</v>
      </c>
      <c r="E2228" t="s">
        <v>23</v>
      </c>
      <c r="F2228" t="s">
        <v>23</v>
      </c>
      <c r="G2228" t="s">
        <v>4605</v>
      </c>
      <c r="H2228" t="str">
        <f>"94991"</f>
        <v>94991</v>
      </c>
      <c r="I2228" t="s">
        <v>433</v>
      </c>
    </row>
    <row r="2229" spans="1:9" x14ac:dyDescent="0.3">
      <c r="A2229" t="str">
        <f>"26652188"</f>
        <v>26652188</v>
      </c>
      <c r="B2229" t="s">
        <v>4606</v>
      </c>
      <c r="C2229" t="str">
        <f>"141"</f>
        <v>141</v>
      </c>
      <c r="D2229" t="s">
        <v>112</v>
      </c>
      <c r="E2229" t="s">
        <v>23</v>
      </c>
      <c r="F2229" t="s">
        <v>23</v>
      </c>
      <c r="G2229" t="s">
        <v>2636</v>
      </c>
      <c r="H2229" t="str">
        <f>"90010"</f>
        <v>90010</v>
      </c>
      <c r="I2229" t="s">
        <v>2014</v>
      </c>
    </row>
    <row r="2230" spans="1:9" x14ac:dyDescent="0.3">
      <c r="A2230" t="str">
        <f>"06613241"</f>
        <v>06613241</v>
      </c>
      <c r="B2230" t="s">
        <v>4607</v>
      </c>
      <c r="C2230" t="str">
        <f>"118"</f>
        <v>118</v>
      </c>
      <c r="D2230" t="s">
        <v>337</v>
      </c>
      <c r="E2230" t="s">
        <v>23</v>
      </c>
      <c r="F2230" t="s">
        <v>23</v>
      </c>
      <c r="G2230" t="s">
        <v>3921</v>
      </c>
      <c r="H2230" t="str">
        <f t="shared" ref="H2230:H2236" si="161">"9499"</f>
        <v>9499</v>
      </c>
      <c r="I2230" t="s">
        <v>31</v>
      </c>
    </row>
    <row r="2231" spans="1:9" x14ac:dyDescent="0.3">
      <c r="A2231" t="str">
        <f>"61715956"</f>
        <v>61715956</v>
      </c>
      <c r="B2231" t="s">
        <v>4608</v>
      </c>
      <c r="C2231" t="str">
        <f t="shared" ref="C2231:C2247" si="162">"706"</f>
        <v>706</v>
      </c>
      <c r="D2231" t="s">
        <v>28</v>
      </c>
      <c r="E2231" t="s">
        <v>23</v>
      </c>
      <c r="F2231" t="s">
        <v>99</v>
      </c>
      <c r="G2231" t="s">
        <v>3380</v>
      </c>
      <c r="H2231" t="str">
        <f t="shared" si="161"/>
        <v>9499</v>
      </c>
      <c r="I2231" t="s">
        <v>31</v>
      </c>
    </row>
    <row r="2232" spans="1:9" x14ac:dyDescent="0.3">
      <c r="A2232" t="str">
        <f>"26535955"</f>
        <v>26535955</v>
      </c>
      <c r="B2232" t="s">
        <v>4609</v>
      </c>
      <c r="C2232" t="str">
        <f t="shared" si="162"/>
        <v>706</v>
      </c>
      <c r="D2232" t="s">
        <v>28</v>
      </c>
      <c r="E2232" t="s">
        <v>23</v>
      </c>
      <c r="F2232" t="s">
        <v>24</v>
      </c>
      <c r="G2232" t="s">
        <v>4610</v>
      </c>
      <c r="H2232" t="str">
        <f t="shared" si="161"/>
        <v>9499</v>
      </c>
      <c r="I2232" t="s">
        <v>31</v>
      </c>
    </row>
    <row r="2233" spans="1:9" x14ac:dyDescent="0.3">
      <c r="A2233" t="str">
        <f>"27048705"</f>
        <v>27048705</v>
      </c>
      <c r="B2233" t="s">
        <v>4611</v>
      </c>
      <c r="C2233" t="str">
        <f t="shared" si="162"/>
        <v>706</v>
      </c>
      <c r="D2233" t="s">
        <v>28</v>
      </c>
      <c r="E2233" t="s">
        <v>23</v>
      </c>
      <c r="F2233" t="s">
        <v>23</v>
      </c>
      <c r="G2233" t="s">
        <v>4612</v>
      </c>
      <c r="H2233" t="str">
        <f t="shared" si="161"/>
        <v>9499</v>
      </c>
      <c r="I2233" t="s">
        <v>31</v>
      </c>
    </row>
    <row r="2234" spans="1:9" x14ac:dyDescent="0.3">
      <c r="A2234" t="str">
        <f>"47934930"</f>
        <v>47934930</v>
      </c>
      <c r="B2234" t="s">
        <v>4613</v>
      </c>
      <c r="C2234" t="str">
        <f t="shared" si="162"/>
        <v>706</v>
      </c>
      <c r="D2234" t="s">
        <v>28</v>
      </c>
      <c r="E2234" t="s">
        <v>83</v>
      </c>
      <c r="F2234" t="s">
        <v>1425</v>
      </c>
      <c r="G2234" t="s">
        <v>4614</v>
      </c>
      <c r="H2234" t="str">
        <f t="shared" si="161"/>
        <v>9499</v>
      </c>
      <c r="I2234" t="s">
        <v>31</v>
      </c>
    </row>
    <row r="2235" spans="1:9" x14ac:dyDescent="0.3">
      <c r="A2235" t="str">
        <f>"04632958"</f>
        <v>04632958</v>
      </c>
      <c r="B2235" t="s">
        <v>4615</v>
      </c>
      <c r="C2235" t="str">
        <f t="shared" si="162"/>
        <v>706</v>
      </c>
      <c r="D2235" t="s">
        <v>28</v>
      </c>
      <c r="E2235" t="s">
        <v>29</v>
      </c>
      <c r="F2235" t="s">
        <v>38</v>
      </c>
      <c r="G2235" t="s">
        <v>4616</v>
      </c>
      <c r="H2235" t="str">
        <f t="shared" si="161"/>
        <v>9499</v>
      </c>
      <c r="I2235" t="s">
        <v>31</v>
      </c>
    </row>
    <row r="2236" spans="1:9" x14ac:dyDescent="0.3">
      <c r="A2236" t="str">
        <f>"02402203"</f>
        <v>02402203</v>
      </c>
      <c r="B2236" t="s">
        <v>4617</v>
      </c>
      <c r="C2236" t="str">
        <f t="shared" si="162"/>
        <v>706</v>
      </c>
      <c r="D2236" t="s">
        <v>28</v>
      </c>
      <c r="E2236" t="s">
        <v>29</v>
      </c>
      <c r="F2236" t="s">
        <v>195</v>
      </c>
      <c r="G2236" t="s">
        <v>4618</v>
      </c>
      <c r="H2236" t="str">
        <f t="shared" si="161"/>
        <v>9499</v>
      </c>
      <c r="I2236" t="s">
        <v>31</v>
      </c>
    </row>
    <row r="2237" spans="1:9" x14ac:dyDescent="0.3">
      <c r="A2237" t="str">
        <f>"22690336"</f>
        <v>22690336</v>
      </c>
      <c r="B2237" t="s">
        <v>4619</v>
      </c>
      <c r="C2237" t="str">
        <f t="shared" si="162"/>
        <v>706</v>
      </c>
      <c r="D2237" t="s">
        <v>28</v>
      </c>
      <c r="E2237" t="s">
        <v>52</v>
      </c>
      <c r="F2237" t="s">
        <v>94</v>
      </c>
      <c r="G2237" t="s">
        <v>4620</v>
      </c>
      <c r="H2237" t="str">
        <f>"94993"</f>
        <v>94993</v>
      </c>
      <c r="I2237" t="s">
        <v>50</v>
      </c>
    </row>
    <row r="2238" spans="1:9" x14ac:dyDescent="0.3">
      <c r="A2238" t="str">
        <f>"22708588"</f>
        <v>22708588</v>
      </c>
      <c r="B2238" t="s">
        <v>4621</v>
      </c>
      <c r="C2238" t="str">
        <f t="shared" si="162"/>
        <v>706</v>
      </c>
      <c r="D2238" t="s">
        <v>28</v>
      </c>
      <c r="E2238" t="s">
        <v>83</v>
      </c>
      <c r="F2238" t="s">
        <v>83</v>
      </c>
      <c r="G2238" t="s">
        <v>4622</v>
      </c>
      <c r="H2238" t="str">
        <f>"94993"</f>
        <v>94993</v>
      </c>
      <c r="I2238" t="s">
        <v>50</v>
      </c>
    </row>
    <row r="2239" spans="1:9" x14ac:dyDescent="0.3">
      <c r="A2239" t="str">
        <f>"06182259"</f>
        <v>06182259</v>
      </c>
      <c r="B2239" t="s">
        <v>4623</v>
      </c>
      <c r="C2239" t="str">
        <f t="shared" si="162"/>
        <v>706</v>
      </c>
      <c r="D2239" t="s">
        <v>28</v>
      </c>
      <c r="E2239" t="s">
        <v>29</v>
      </c>
      <c r="F2239" t="s">
        <v>29</v>
      </c>
      <c r="G2239" t="s">
        <v>4624</v>
      </c>
      <c r="H2239" t="str">
        <f>"9319"</f>
        <v>9319</v>
      </c>
      <c r="I2239" t="s">
        <v>59</v>
      </c>
    </row>
    <row r="2240" spans="1:9" x14ac:dyDescent="0.3">
      <c r="A2240" t="str">
        <f>"09615636"</f>
        <v>09615636</v>
      </c>
      <c r="B2240" t="s">
        <v>4625</v>
      </c>
      <c r="C2240" t="str">
        <f t="shared" si="162"/>
        <v>706</v>
      </c>
      <c r="D2240" t="s">
        <v>28</v>
      </c>
      <c r="E2240" t="s">
        <v>83</v>
      </c>
      <c r="F2240" t="s">
        <v>3361</v>
      </c>
      <c r="G2240" t="s">
        <v>4626</v>
      </c>
      <c r="H2240" t="str">
        <f>"94995"</f>
        <v>94995</v>
      </c>
      <c r="I2240" t="s">
        <v>232</v>
      </c>
    </row>
    <row r="2241" spans="1:10" x14ac:dyDescent="0.3">
      <c r="A2241" t="str">
        <f>"22879625"</f>
        <v>22879625</v>
      </c>
      <c r="B2241" t="s">
        <v>4627</v>
      </c>
      <c r="C2241" t="str">
        <f t="shared" si="162"/>
        <v>706</v>
      </c>
      <c r="D2241" t="s">
        <v>28</v>
      </c>
      <c r="E2241" t="s">
        <v>52</v>
      </c>
      <c r="F2241" t="s">
        <v>52</v>
      </c>
      <c r="G2241" t="s">
        <v>382</v>
      </c>
      <c r="H2241" t="str">
        <f>"9499"</f>
        <v>9499</v>
      </c>
      <c r="I2241" t="s">
        <v>31</v>
      </c>
    </row>
    <row r="2242" spans="1:10" x14ac:dyDescent="0.3">
      <c r="A2242" t="str">
        <f>"27012239"</f>
        <v>27012239</v>
      </c>
      <c r="B2242" t="s">
        <v>4628</v>
      </c>
      <c r="C2242" t="str">
        <f t="shared" si="162"/>
        <v>706</v>
      </c>
      <c r="D2242" t="s">
        <v>28</v>
      </c>
      <c r="E2242" t="s">
        <v>52</v>
      </c>
      <c r="F2242" t="s">
        <v>612</v>
      </c>
      <c r="G2242" t="s">
        <v>1643</v>
      </c>
      <c r="H2242" t="str">
        <f>"9499"</f>
        <v>9499</v>
      </c>
      <c r="I2242" t="s">
        <v>31</v>
      </c>
    </row>
    <row r="2243" spans="1:10" x14ac:dyDescent="0.3">
      <c r="A2243" t="str">
        <f>"26662698"</f>
        <v>26662698</v>
      </c>
      <c r="B2243" t="s">
        <v>4629</v>
      </c>
      <c r="C2243" t="str">
        <f t="shared" si="162"/>
        <v>706</v>
      </c>
      <c r="D2243" t="s">
        <v>28</v>
      </c>
      <c r="E2243" t="s">
        <v>52</v>
      </c>
      <c r="F2243" t="s">
        <v>344</v>
      </c>
      <c r="G2243" t="s">
        <v>4630</v>
      </c>
      <c r="H2243" t="str">
        <f>"94999"</f>
        <v>94999</v>
      </c>
      <c r="I2243" t="s">
        <v>202</v>
      </c>
    </row>
    <row r="2244" spans="1:10" x14ac:dyDescent="0.3">
      <c r="A2244" t="str">
        <f>"26676109"</f>
        <v>26676109</v>
      </c>
      <c r="B2244" t="s">
        <v>4631</v>
      </c>
      <c r="C2244" t="str">
        <f t="shared" si="162"/>
        <v>706</v>
      </c>
      <c r="D2244" t="s">
        <v>28</v>
      </c>
      <c r="E2244" t="s">
        <v>29</v>
      </c>
      <c r="F2244" t="s">
        <v>702</v>
      </c>
      <c r="G2244" t="s">
        <v>1844</v>
      </c>
      <c r="H2244" t="str">
        <f>"9499"</f>
        <v>9499</v>
      </c>
      <c r="I2244" t="s">
        <v>31</v>
      </c>
    </row>
    <row r="2245" spans="1:10" x14ac:dyDescent="0.3">
      <c r="A2245" t="str">
        <f>"27000354"</f>
        <v>27000354</v>
      </c>
      <c r="B2245" t="s">
        <v>4632</v>
      </c>
      <c r="C2245" t="str">
        <f t="shared" si="162"/>
        <v>706</v>
      </c>
      <c r="D2245" t="s">
        <v>28</v>
      </c>
      <c r="E2245" t="s">
        <v>23</v>
      </c>
      <c r="F2245" t="s">
        <v>1254</v>
      </c>
      <c r="G2245" t="s">
        <v>1593</v>
      </c>
      <c r="H2245" t="str">
        <f>"9499"</f>
        <v>9499</v>
      </c>
      <c r="I2245" t="s">
        <v>31</v>
      </c>
    </row>
    <row r="2246" spans="1:10" x14ac:dyDescent="0.3">
      <c r="A2246" t="str">
        <f>"22707441"</f>
        <v>22707441</v>
      </c>
      <c r="B2246" t="s">
        <v>4633</v>
      </c>
      <c r="C2246" t="str">
        <f t="shared" si="162"/>
        <v>706</v>
      </c>
      <c r="D2246" t="s">
        <v>28</v>
      </c>
      <c r="E2246" t="s">
        <v>52</v>
      </c>
      <c r="F2246" t="s">
        <v>379</v>
      </c>
      <c r="G2246" t="s">
        <v>629</v>
      </c>
      <c r="H2246" t="str">
        <f>"9499"</f>
        <v>9499</v>
      </c>
      <c r="I2246" t="s">
        <v>31</v>
      </c>
    </row>
    <row r="2247" spans="1:10" x14ac:dyDescent="0.3">
      <c r="A2247" t="str">
        <f>"27053458"</f>
        <v>27053458</v>
      </c>
      <c r="B2247" t="s">
        <v>4634</v>
      </c>
      <c r="C2247" t="str">
        <f t="shared" si="162"/>
        <v>706</v>
      </c>
      <c r="D2247" t="s">
        <v>28</v>
      </c>
      <c r="E2247" t="s">
        <v>29</v>
      </c>
      <c r="F2247" t="s">
        <v>681</v>
      </c>
      <c r="G2247" t="s">
        <v>1584</v>
      </c>
      <c r="H2247" t="str">
        <f>"94"</f>
        <v>94</v>
      </c>
      <c r="I2247" t="s">
        <v>1016</v>
      </c>
    </row>
    <row r="2248" spans="1:10" x14ac:dyDescent="0.3">
      <c r="A2248" t="str">
        <f>"27056660"</f>
        <v>27056660</v>
      </c>
      <c r="B2248" t="s">
        <v>4635</v>
      </c>
      <c r="C2248" t="str">
        <f>"141"</f>
        <v>141</v>
      </c>
      <c r="D2248" t="s">
        <v>112</v>
      </c>
      <c r="E2248" t="s">
        <v>23</v>
      </c>
      <c r="F2248" t="s">
        <v>68</v>
      </c>
      <c r="G2248" t="s">
        <v>4636</v>
      </c>
      <c r="H2248" t="str">
        <f>"94"</f>
        <v>94</v>
      </c>
      <c r="I2248" t="s">
        <v>1016</v>
      </c>
    </row>
    <row r="2249" spans="1:10" x14ac:dyDescent="0.3">
      <c r="A2249" t="str">
        <f>"27015777"</f>
        <v>27015777</v>
      </c>
      <c r="B2249" t="s">
        <v>4637</v>
      </c>
      <c r="C2249" t="str">
        <f t="shared" ref="C2249:C2266" si="163">"706"</f>
        <v>706</v>
      </c>
      <c r="D2249" t="s">
        <v>28</v>
      </c>
      <c r="E2249" t="s">
        <v>52</v>
      </c>
      <c r="F2249" t="s">
        <v>1902</v>
      </c>
      <c r="G2249" t="s">
        <v>2412</v>
      </c>
      <c r="H2249" t="str">
        <f>"94999"</f>
        <v>94999</v>
      </c>
      <c r="I2249" t="s">
        <v>202</v>
      </c>
    </row>
    <row r="2250" spans="1:10" x14ac:dyDescent="0.3">
      <c r="A2250" t="str">
        <f>"22847685"</f>
        <v>22847685</v>
      </c>
      <c r="B2250" t="s">
        <v>4638</v>
      </c>
      <c r="C2250" t="str">
        <f t="shared" si="163"/>
        <v>706</v>
      </c>
      <c r="D2250" t="s">
        <v>28</v>
      </c>
      <c r="E2250" t="s">
        <v>23</v>
      </c>
      <c r="F2250" t="s">
        <v>68</v>
      </c>
      <c r="G2250" t="s">
        <v>4639</v>
      </c>
      <c r="H2250" t="str">
        <f>"9499"</f>
        <v>9499</v>
      </c>
      <c r="I2250" t="s">
        <v>31</v>
      </c>
    </row>
    <row r="2251" spans="1:10" x14ac:dyDescent="0.3">
      <c r="A2251" t="str">
        <f>"04440366"</f>
        <v>04440366</v>
      </c>
      <c r="B2251" t="s">
        <v>4640</v>
      </c>
      <c r="C2251" t="str">
        <f t="shared" si="163"/>
        <v>706</v>
      </c>
      <c r="D2251" t="s">
        <v>28</v>
      </c>
      <c r="E2251" t="s">
        <v>29</v>
      </c>
      <c r="F2251" t="s">
        <v>1783</v>
      </c>
      <c r="G2251" t="s">
        <v>4641</v>
      </c>
      <c r="H2251" t="str">
        <f>"94991"</f>
        <v>94991</v>
      </c>
      <c r="I2251" t="s">
        <v>433</v>
      </c>
    </row>
    <row r="2252" spans="1:10" x14ac:dyDescent="0.3">
      <c r="A2252" t="str">
        <f>"67006825"</f>
        <v>67006825</v>
      </c>
      <c r="B2252" t="s">
        <v>4642</v>
      </c>
      <c r="C2252" t="str">
        <f t="shared" si="163"/>
        <v>706</v>
      </c>
      <c r="D2252" t="s">
        <v>28</v>
      </c>
      <c r="E2252" t="s">
        <v>23</v>
      </c>
      <c r="F2252" t="s">
        <v>68</v>
      </c>
      <c r="G2252" t="s">
        <v>4643</v>
      </c>
      <c r="H2252" t="str">
        <f>"94993"</f>
        <v>94993</v>
      </c>
      <c r="I2252" t="s">
        <v>50</v>
      </c>
    </row>
    <row r="2253" spans="1:10" x14ac:dyDescent="0.3">
      <c r="A2253" t="str">
        <f>"11760265"</f>
        <v>11760265</v>
      </c>
      <c r="B2253" t="s">
        <v>4644</v>
      </c>
      <c r="C2253" t="str">
        <f t="shared" si="163"/>
        <v>706</v>
      </c>
      <c r="D2253" t="s">
        <v>28</v>
      </c>
      <c r="E2253" t="s">
        <v>23</v>
      </c>
      <c r="F2253" t="s">
        <v>23</v>
      </c>
      <c r="G2253" t="s">
        <v>4645</v>
      </c>
      <c r="H2253" t="str">
        <f>"9499"</f>
        <v>9499</v>
      </c>
      <c r="I2253" t="s">
        <v>31</v>
      </c>
    </row>
    <row r="2254" spans="1:10" x14ac:dyDescent="0.3">
      <c r="A2254" t="str">
        <f>"14225506"</f>
        <v>14225506</v>
      </c>
      <c r="B2254" t="s">
        <v>4646</v>
      </c>
      <c r="C2254" t="str">
        <f t="shared" si="163"/>
        <v>706</v>
      </c>
      <c r="D2254" t="s">
        <v>28</v>
      </c>
      <c r="E2254" t="s">
        <v>83</v>
      </c>
      <c r="F2254" t="s">
        <v>130</v>
      </c>
      <c r="G2254" t="s">
        <v>4647</v>
      </c>
      <c r="H2254" t="str">
        <f>"94991"</f>
        <v>94991</v>
      </c>
      <c r="I2254" t="s">
        <v>433</v>
      </c>
    </row>
    <row r="2255" spans="1:10" x14ac:dyDescent="0.3">
      <c r="A2255" t="str">
        <f>"26557894"</f>
        <v>26557894</v>
      </c>
      <c r="B2255" t="s">
        <v>4648</v>
      </c>
      <c r="C2255" t="str">
        <f t="shared" si="163"/>
        <v>706</v>
      </c>
      <c r="D2255" t="s">
        <v>28</v>
      </c>
      <c r="E2255" t="s">
        <v>29</v>
      </c>
      <c r="F2255" t="s">
        <v>1796</v>
      </c>
      <c r="G2255" t="s">
        <v>4649</v>
      </c>
      <c r="H2255" t="str">
        <f>"9499"</f>
        <v>9499</v>
      </c>
      <c r="I2255" t="s">
        <v>31</v>
      </c>
    </row>
    <row r="2256" spans="1:10" x14ac:dyDescent="0.3">
      <c r="A2256" t="str">
        <f>"11677198"</f>
        <v>11677198</v>
      </c>
      <c r="B2256" t="s">
        <v>4650</v>
      </c>
      <c r="C2256" t="str">
        <f t="shared" si="163"/>
        <v>706</v>
      </c>
      <c r="D2256" t="s">
        <v>28</v>
      </c>
      <c r="E2256" t="s">
        <v>83</v>
      </c>
      <c r="F2256" t="s">
        <v>3456</v>
      </c>
      <c r="G2256" t="s">
        <v>4651</v>
      </c>
      <c r="H2256" t="str">
        <f>"9499"</f>
        <v>9499</v>
      </c>
      <c r="I2256" t="s">
        <v>31</v>
      </c>
      <c r="J2256" t="s">
        <v>258</v>
      </c>
    </row>
    <row r="2257" spans="1:17" x14ac:dyDescent="0.3">
      <c r="A2257" t="str">
        <f>"02259541"</f>
        <v>02259541</v>
      </c>
      <c r="B2257" t="s">
        <v>4652</v>
      </c>
      <c r="C2257" t="str">
        <f t="shared" si="163"/>
        <v>706</v>
      </c>
      <c r="D2257" t="s">
        <v>28</v>
      </c>
      <c r="E2257" t="s">
        <v>23</v>
      </c>
      <c r="F2257" t="s">
        <v>23</v>
      </c>
      <c r="G2257" t="s">
        <v>4653</v>
      </c>
      <c r="H2257" t="str">
        <f>"9499"</f>
        <v>9499</v>
      </c>
      <c r="I2257" t="s">
        <v>31</v>
      </c>
    </row>
    <row r="2258" spans="1:17" x14ac:dyDescent="0.3">
      <c r="A2258" t="str">
        <f>"00206776"</f>
        <v>00206776</v>
      </c>
      <c r="B2258" t="s">
        <v>4654</v>
      </c>
      <c r="C2258" t="str">
        <f t="shared" si="163"/>
        <v>706</v>
      </c>
      <c r="D2258" t="s">
        <v>28</v>
      </c>
      <c r="E2258" t="s">
        <v>83</v>
      </c>
      <c r="F2258" t="s">
        <v>520</v>
      </c>
      <c r="G2258" t="s">
        <v>4655</v>
      </c>
      <c r="H2258" t="str">
        <f>"94910"</f>
        <v>94910</v>
      </c>
      <c r="I2258" t="s">
        <v>316</v>
      </c>
      <c r="J2258" t="s">
        <v>498</v>
      </c>
      <c r="K2258" t="s">
        <v>115</v>
      </c>
      <c r="L2258" t="s">
        <v>3670</v>
      </c>
      <c r="M2258" t="s">
        <v>4656</v>
      </c>
      <c r="N2258" t="s">
        <v>2459</v>
      </c>
      <c r="O2258" t="s">
        <v>4657</v>
      </c>
      <c r="P2258" t="s">
        <v>2536</v>
      </c>
      <c r="Q2258" t="s">
        <v>222</v>
      </c>
    </row>
    <row r="2259" spans="1:17" x14ac:dyDescent="0.3">
      <c r="A2259" t="str">
        <f>"21060754"</f>
        <v>21060754</v>
      </c>
      <c r="B2259" t="s">
        <v>4658</v>
      </c>
      <c r="C2259" t="str">
        <f t="shared" si="163"/>
        <v>706</v>
      </c>
      <c r="D2259" t="s">
        <v>28</v>
      </c>
      <c r="E2259" t="s">
        <v>23</v>
      </c>
      <c r="F2259" t="s">
        <v>23</v>
      </c>
      <c r="G2259" t="s">
        <v>3780</v>
      </c>
      <c r="H2259" t="str">
        <f>"9499"</f>
        <v>9499</v>
      </c>
      <c r="I2259" t="s">
        <v>31</v>
      </c>
    </row>
    <row r="2260" spans="1:17" x14ac:dyDescent="0.3">
      <c r="A2260" t="str">
        <f>"27049825"</f>
        <v>27049825</v>
      </c>
      <c r="B2260" t="s">
        <v>4659</v>
      </c>
      <c r="C2260" t="str">
        <f t="shared" si="163"/>
        <v>706</v>
      </c>
      <c r="D2260" t="s">
        <v>28</v>
      </c>
      <c r="E2260" t="s">
        <v>52</v>
      </c>
      <c r="F2260" t="s">
        <v>362</v>
      </c>
      <c r="G2260" t="s">
        <v>4660</v>
      </c>
      <c r="H2260" t="str">
        <f>"9499"</f>
        <v>9499</v>
      </c>
      <c r="I2260" t="s">
        <v>31</v>
      </c>
    </row>
    <row r="2261" spans="1:17" x14ac:dyDescent="0.3">
      <c r="A2261" t="str">
        <f>"06066992"</f>
        <v>06066992</v>
      </c>
      <c r="B2261" t="s">
        <v>4661</v>
      </c>
      <c r="C2261" t="str">
        <f t="shared" si="163"/>
        <v>706</v>
      </c>
      <c r="D2261" t="s">
        <v>28</v>
      </c>
      <c r="E2261" t="s">
        <v>29</v>
      </c>
      <c r="F2261" t="s">
        <v>852</v>
      </c>
      <c r="G2261" t="s">
        <v>4662</v>
      </c>
      <c r="H2261" t="str">
        <f>"9499"</f>
        <v>9499</v>
      </c>
      <c r="I2261" t="s">
        <v>31</v>
      </c>
    </row>
    <row r="2262" spans="1:17" x14ac:dyDescent="0.3">
      <c r="A2262" t="str">
        <f>"22849696"</f>
        <v>22849696</v>
      </c>
      <c r="B2262" t="s">
        <v>4663</v>
      </c>
      <c r="C2262" t="str">
        <f t="shared" si="163"/>
        <v>706</v>
      </c>
      <c r="D2262" t="s">
        <v>28</v>
      </c>
      <c r="E2262" t="s">
        <v>52</v>
      </c>
      <c r="F2262" t="s">
        <v>1170</v>
      </c>
      <c r="G2262" t="s">
        <v>4664</v>
      </c>
      <c r="H2262" t="str">
        <f>"94993"</f>
        <v>94993</v>
      </c>
      <c r="I2262" t="s">
        <v>50</v>
      </c>
    </row>
    <row r="2263" spans="1:17" x14ac:dyDescent="0.3">
      <c r="A2263" t="str">
        <f>"22839089"</f>
        <v>22839089</v>
      </c>
      <c r="B2263" t="s">
        <v>4665</v>
      </c>
      <c r="C2263" t="str">
        <f t="shared" si="163"/>
        <v>706</v>
      </c>
      <c r="D2263" t="s">
        <v>28</v>
      </c>
      <c r="E2263" t="s">
        <v>83</v>
      </c>
      <c r="F2263" t="s">
        <v>183</v>
      </c>
      <c r="G2263" t="s">
        <v>4666</v>
      </c>
      <c r="H2263" t="str">
        <f>"93120"</f>
        <v>93120</v>
      </c>
      <c r="I2263" t="s">
        <v>54</v>
      </c>
    </row>
    <row r="2264" spans="1:17" x14ac:dyDescent="0.3">
      <c r="A2264" t="str">
        <f>"06454291"</f>
        <v>06454291</v>
      </c>
      <c r="B2264" t="s">
        <v>4667</v>
      </c>
      <c r="C2264" t="str">
        <f t="shared" si="163"/>
        <v>706</v>
      </c>
      <c r="D2264" t="s">
        <v>28</v>
      </c>
      <c r="E2264" t="s">
        <v>83</v>
      </c>
      <c r="F2264" t="s">
        <v>83</v>
      </c>
      <c r="G2264" t="s">
        <v>4668</v>
      </c>
      <c r="H2264" t="str">
        <f>"93120"</f>
        <v>93120</v>
      </c>
      <c r="I2264" t="s">
        <v>54</v>
      </c>
    </row>
    <row r="2265" spans="1:17" x14ac:dyDescent="0.3">
      <c r="A2265" t="str">
        <f>"22607552"</f>
        <v>22607552</v>
      </c>
      <c r="B2265" t="s">
        <v>4669</v>
      </c>
      <c r="C2265" t="str">
        <f t="shared" si="163"/>
        <v>706</v>
      </c>
      <c r="D2265" t="s">
        <v>28</v>
      </c>
      <c r="E2265" t="s">
        <v>83</v>
      </c>
      <c r="F2265" t="s">
        <v>83</v>
      </c>
      <c r="G2265" t="s">
        <v>4670</v>
      </c>
      <c r="H2265" t="str">
        <f>"93120"</f>
        <v>93120</v>
      </c>
      <c r="I2265" t="s">
        <v>54</v>
      </c>
    </row>
    <row r="2266" spans="1:17" x14ac:dyDescent="0.3">
      <c r="A2266" t="str">
        <f>"64529401"</f>
        <v>64529401</v>
      </c>
      <c r="B2266" t="s">
        <v>4671</v>
      </c>
      <c r="C2266" t="str">
        <f t="shared" si="163"/>
        <v>706</v>
      </c>
      <c r="D2266" t="s">
        <v>28</v>
      </c>
      <c r="E2266" t="s">
        <v>52</v>
      </c>
      <c r="F2266" t="s">
        <v>52</v>
      </c>
      <c r="G2266" t="s">
        <v>4672</v>
      </c>
      <c r="H2266" t="str">
        <f>"94991"</f>
        <v>94991</v>
      </c>
      <c r="I2266" t="s">
        <v>433</v>
      </c>
    </row>
    <row r="2267" spans="1:17" x14ac:dyDescent="0.3">
      <c r="A2267" t="str">
        <f>"09779256"</f>
        <v>09779256</v>
      </c>
      <c r="B2267" t="s">
        <v>4673</v>
      </c>
      <c r="C2267" t="str">
        <f>"736"</f>
        <v>736</v>
      </c>
      <c r="D2267" t="s">
        <v>22</v>
      </c>
      <c r="E2267" t="s">
        <v>23</v>
      </c>
      <c r="F2267" t="s">
        <v>978</v>
      </c>
      <c r="G2267" t="s">
        <v>4674</v>
      </c>
      <c r="H2267" t="str">
        <f>"9499"</f>
        <v>9499</v>
      </c>
      <c r="I2267" t="s">
        <v>31</v>
      </c>
    </row>
    <row r="2268" spans="1:17" x14ac:dyDescent="0.3">
      <c r="A2268" t="str">
        <f>"28336135"</f>
        <v>28336135</v>
      </c>
      <c r="B2268" t="s">
        <v>4675</v>
      </c>
      <c r="C2268" t="str">
        <f>"141"</f>
        <v>141</v>
      </c>
      <c r="D2268" t="s">
        <v>112</v>
      </c>
      <c r="E2268" t="s">
        <v>23</v>
      </c>
      <c r="F2268" t="s">
        <v>107</v>
      </c>
      <c r="G2268" t="s">
        <v>108</v>
      </c>
      <c r="H2268" t="str">
        <f>"74"</f>
        <v>74</v>
      </c>
      <c r="I2268" t="s">
        <v>423</v>
      </c>
    </row>
    <row r="2269" spans="1:17" x14ac:dyDescent="0.3">
      <c r="A2269" t="str">
        <f>"22726047"</f>
        <v>22726047</v>
      </c>
      <c r="B2269" t="s">
        <v>4676</v>
      </c>
      <c r="C2269" t="str">
        <f t="shared" ref="C2269:C2280" si="164">"706"</f>
        <v>706</v>
      </c>
      <c r="D2269" t="s">
        <v>28</v>
      </c>
      <c r="E2269" t="s">
        <v>23</v>
      </c>
      <c r="F2269" t="s">
        <v>793</v>
      </c>
      <c r="G2269" t="s">
        <v>4677</v>
      </c>
      <c r="H2269" t="str">
        <f>"9499"</f>
        <v>9499</v>
      </c>
      <c r="I2269" t="s">
        <v>31</v>
      </c>
    </row>
    <row r="2270" spans="1:17" x14ac:dyDescent="0.3">
      <c r="A2270" t="str">
        <f>"19169507"</f>
        <v>19169507</v>
      </c>
      <c r="B2270" t="s">
        <v>4678</v>
      </c>
      <c r="C2270" t="str">
        <f t="shared" si="164"/>
        <v>706</v>
      </c>
      <c r="D2270" t="s">
        <v>28</v>
      </c>
      <c r="E2270" t="s">
        <v>52</v>
      </c>
      <c r="F2270" t="s">
        <v>857</v>
      </c>
      <c r="G2270" t="s">
        <v>4679</v>
      </c>
      <c r="H2270" t="str">
        <f>"9499"</f>
        <v>9499</v>
      </c>
      <c r="I2270" t="s">
        <v>31</v>
      </c>
      <c r="J2270" t="s">
        <v>146</v>
      </c>
      <c r="K2270" t="s">
        <v>163</v>
      </c>
    </row>
    <row r="2271" spans="1:17" x14ac:dyDescent="0.3">
      <c r="A2271" t="str">
        <f>"01751891"</f>
        <v>01751891</v>
      </c>
      <c r="B2271" t="s">
        <v>4680</v>
      </c>
      <c r="C2271" t="str">
        <f t="shared" si="164"/>
        <v>706</v>
      </c>
      <c r="D2271" t="s">
        <v>28</v>
      </c>
      <c r="E2271" t="s">
        <v>52</v>
      </c>
      <c r="F2271" t="s">
        <v>334</v>
      </c>
      <c r="G2271" t="s">
        <v>4681</v>
      </c>
      <c r="H2271" t="str">
        <f>"8899"</f>
        <v>8899</v>
      </c>
      <c r="I2271" t="s">
        <v>40</v>
      </c>
    </row>
    <row r="2272" spans="1:17" x14ac:dyDescent="0.3">
      <c r="A2272" t="str">
        <f>"05424054"</f>
        <v>05424054</v>
      </c>
      <c r="B2272" t="s">
        <v>4682</v>
      </c>
      <c r="C2272" t="str">
        <f t="shared" si="164"/>
        <v>706</v>
      </c>
      <c r="D2272" t="s">
        <v>28</v>
      </c>
      <c r="E2272" t="s">
        <v>23</v>
      </c>
      <c r="F2272" t="s">
        <v>24</v>
      </c>
      <c r="G2272" t="s">
        <v>4683</v>
      </c>
      <c r="H2272" t="str">
        <f>"94996"</f>
        <v>94996</v>
      </c>
      <c r="I2272" t="s">
        <v>47</v>
      </c>
    </row>
    <row r="2273" spans="1:13" x14ac:dyDescent="0.3">
      <c r="A2273" t="str">
        <f>"09416366"</f>
        <v>09416366</v>
      </c>
      <c r="B2273" t="s">
        <v>4684</v>
      </c>
      <c r="C2273" t="str">
        <f t="shared" si="164"/>
        <v>706</v>
      </c>
      <c r="D2273" t="s">
        <v>28</v>
      </c>
      <c r="E2273" t="s">
        <v>23</v>
      </c>
      <c r="F2273" t="s">
        <v>1880</v>
      </c>
      <c r="G2273" t="s">
        <v>4685</v>
      </c>
      <c r="H2273" t="str">
        <f>"9499"</f>
        <v>9499</v>
      </c>
      <c r="I2273" t="s">
        <v>31</v>
      </c>
    </row>
    <row r="2274" spans="1:13" x14ac:dyDescent="0.3">
      <c r="A2274" t="str">
        <f>"04683455"</f>
        <v>04683455</v>
      </c>
      <c r="B2274" t="s">
        <v>4686</v>
      </c>
      <c r="C2274" t="str">
        <f t="shared" si="164"/>
        <v>706</v>
      </c>
      <c r="D2274" t="s">
        <v>28</v>
      </c>
      <c r="E2274" t="s">
        <v>23</v>
      </c>
      <c r="F2274" t="s">
        <v>23</v>
      </c>
      <c r="G2274" t="s">
        <v>4687</v>
      </c>
      <c r="H2274" t="str">
        <f>"9499"</f>
        <v>9499</v>
      </c>
      <c r="I2274" t="s">
        <v>31</v>
      </c>
    </row>
    <row r="2275" spans="1:13" x14ac:dyDescent="0.3">
      <c r="A2275" t="str">
        <f>"03793974"</f>
        <v>03793974</v>
      </c>
      <c r="B2275" t="s">
        <v>4688</v>
      </c>
      <c r="C2275" t="str">
        <f t="shared" si="164"/>
        <v>706</v>
      </c>
      <c r="D2275" t="s">
        <v>28</v>
      </c>
      <c r="E2275" t="s">
        <v>52</v>
      </c>
      <c r="F2275" t="s">
        <v>612</v>
      </c>
      <c r="G2275" t="s">
        <v>4689</v>
      </c>
      <c r="H2275" t="str">
        <f>"9499"</f>
        <v>9499</v>
      </c>
      <c r="I2275" t="s">
        <v>31</v>
      </c>
    </row>
    <row r="2276" spans="1:13" x14ac:dyDescent="0.3">
      <c r="A2276" t="str">
        <f>"22875069"</f>
        <v>22875069</v>
      </c>
      <c r="B2276" t="s">
        <v>4690</v>
      </c>
      <c r="C2276" t="str">
        <f t="shared" si="164"/>
        <v>706</v>
      </c>
      <c r="D2276" t="s">
        <v>28</v>
      </c>
      <c r="E2276" t="s">
        <v>52</v>
      </c>
      <c r="F2276" t="s">
        <v>379</v>
      </c>
      <c r="G2276" t="s">
        <v>4691</v>
      </c>
      <c r="H2276" t="str">
        <f>"9499"</f>
        <v>9499</v>
      </c>
      <c r="I2276" t="s">
        <v>31</v>
      </c>
    </row>
    <row r="2277" spans="1:13" x14ac:dyDescent="0.3">
      <c r="A2277" t="str">
        <f>"11992662"</f>
        <v>11992662</v>
      </c>
      <c r="B2277" t="s">
        <v>4692</v>
      </c>
      <c r="C2277" t="str">
        <f t="shared" si="164"/>
        <v>706</v>
      </c>
      <c r="D2277" t="s">
        <v>28</v>
      </c>
      <c r="E2277" t="s">
        <v>29</v>
      </c>
      <c r="F2277" t="s">
        <v>195</v>
      </c>
      <c r="G2277" t="s">
        <v>4693</v>
      </c>
      <c r="H2277" t="str">
        <f>"93190"</f>
        <v>93190</v>
      </c>
      <c r="I2277" t="s">
        <v>59</v>
      </c>
    </row>
    <row r="2278" spans="1:13" x14ac:dyDescent="0.3">
      <c r="A2278" t="str">
        <f>"28556542"</f>
        <v>28556542</v>
      </c>
      <c r="B2278" t="s">
        <v>4694</v>
      </c>
      <c r="C2278" t="str">
        <f t="shared" si="164"/>
        <v>706</v>
      </c>
      <c r="D2278" t="s">
        <v>28</v>
      </c>
      <c r="E2278" t="s">
        <v>23</v>
      </c>
      <c r="F2278" t="s">
        <v>23</v>
      </c>
      <c r="G2278" t="s">
        <v>4695</v>
      </c>
      <c r="H2278" t="str">
        <f>"94993"</f>
        <v>94993</v>
      </c>
      <c r="I2278" t="s">
        <v>50</v>
      </c>
    </row>
    <row r="2279" spans="1:13" x14ac:dyDescent="0.3">
      <c r="A2279" t="str">
        <f>"26673886"</f>
        <v>26673886</v>
      </c>
      <c r="B2279" t="s">
        <v>4696</v>
      </c>
      <c r="C2279" t="str">
        <f t="shared" si="164"/>
        <v>706</v>
      </c>
      <c r="D2279" t="s">
        <v>28</v>
      </c>
      <c r="E2279" t="s">
        <v>29</v>
      </c>
      <c r="F2279" t="s">
        <v>38</v>
      </c>
      <c r="G2279" t="s">
        <v>4697</v>
      </c>
      <c r="H2279" t="str">
        <f>"9499"</f>
        <v>9499</v>
      </c>
      <c r="I2279" t="s">
        <v>31</v>
      </c>
    </row>
    <row r="2280" spans="1:13" x14ac:dyDescent="0.3">
      <c r="A2280" t="str">
        <f>"27005712"</f>
        <v>27005712</v>
      </c>
      <c r="B2280" t="s">
        <v>4698</v>
      </c>
      <c r="C2280" t="str">
        <f t="shared" si="164"/>
        <v>706</v>
      </c>
      <c r="D2280" t="s">
        <v>28</v>
      </c>
      <c r="E2280" t="s">
        <v>52</v>
      </c>
      <c r="F2280" t="s">
        <v>65</v>
      </c>
      <c r="G2280" t="s">
        <v>4699</v>
      </c>
      <c r="H2280" t="str">
        <f>"93110"</f>
        <v>93110</v>
      </c>
      <c r="I2280" t="s">
        <v>92</v>
      </c>
    </row>
    <row r="2281" spans="1:13" x14ac:dyDescent="0.3">
      <c r="A2281" t="str">
        <f>"25318390"</f>
        <v>25318390</v>
      </c>
      <c r="B2281" t="s">
        <v>4700</v>
      </c>
      <c r="C2281" t="str">
        <f>"141"</f>
        <v>141</v>
      </c>
      <c r="D2281" t="s">
        <v>112</v>
      </c>
      <c r="E2281" t="s">
        <v>52</v>
      </c>
      <c r="F2281" t="s">
        <v>52</v>
      </c>
      <c r="G2281" t="s">
        <v>4701</v>
      </c>
      <c r="H2281" t="str">
        <f>"85200"</f>
        <v>85200</v>
      </c>
      <c r="I2281" t="s">
        <v>4702</v>
      </c>
      <c r="J2281" t="s">
        <v>258</v>
      </c>
      <c r="K2281" t="s">
        <v>2348</v>
      </c>
      <c r="L2281" t="s">
        <v>4703</v>
      </c>
      <c r="M2281" t="s">
        <v>146</v>
      </c>
    </row>
    <row r="2282" spans="1:13" x14ac:dyDescent="0.3">
      <c r="A2282" t="str">
        <f>"22318241"</f>
        <v>22318241</v>
      </c>
      <c r="B2282" t="s">
        <v>4704</v>
      </c>
      <c r="C2282" t="str">
        <f>"706"</f>
        <v>706</v>
      </c>
      <c r="D2282" t="s">
        <v>28</v>
      </c>
      <c r="E2282" t="s">
        <v>29</v>
      </c>
      <c r="F2282" t="s">
        <v>29</v>
      </c>
      <c r="G2282" t="s">
        <v>4705</v>
      </c>
      <c r="H2282" t="str">
        <f>"9499"</f>
        <v>9499</v>
      </c>
      <c r="I2282" t="s">
        <v>31</v>
      </c>
    </row>
    <row r="2283" spans="1:13" x14ac:dyDescent="0.3">
      <c r="A2283" t="str">
        <f>"26674327"</f>
        <v>26674327</v>
      </c>
      <c r="B2283" t="s">
        <v>4706</v>
      </c>
      <c r="C2283" t="str">
        <f>"706"</f>
        <v>706</v>
      </c>
      <c r="D2283" t="s">
        <v>28</v>
      </c>
      <c r="E2283" t="s">
        <v>29</v>
      </c>
      <c r="F2283" t="s">
        <v>653</v>
      </c>
      <c r="G2283" t="s">
        <v>4707</v>
      </c>
      <c r="H2283" t="str">
        <f>"9499"</f>
        <v>9499</v>
      </c>
      <c r="I2283" t="s">
        <v>31</v>
      </c>
    </row>
    <row r="2284" spans="1:13" x14ac:dyDescent="0.3">
      <c r="A2284" t="str">
        <f>"25559851"</f>
        <v>25559851</v>
      </c>
      <c r="B2284" t="s">
        <v>4708</v>
      </c>
      <c r="C2284" t="str">
        <f>"141"</f>
        <v>141</v>
      </c>
      <c r="D2284" t="s">
        <v>112</v>
      </c>
      <c r="E2284" t="s">
        <v>23</v>
      </c>
      <c r="F2284" t="s">
        <v>23</v>
      </c>
      <c r="G2284" t="s">
        <v>2948</v>
      </c>
      <c r="H2284" t="str">
        <f>"855"</f>
        <v>855</v>
      </c>
      <c r="I2284" t="s">
        <v>146</v>
      </c>
    </row>
    <row r="2285" spans="1:13" x14ac:dyDescent="0.3">
      <c r="A2285" t="str">
        <f>"47934603"</f>
        <v>47934603</v>
      </c>
      <c r="B2285" t="s">
        <v>4709</v>
      </c>
      <c r="C2285" t="str">
        <f t="shared" ref="C2285:C2302" si="165">"706"</f>
        <v>706</v>
      </c>
      <c r="D2285" t="s">
        <v>28</v>
      </c>
      <c r="E2285" t="s">
        <v>83</v>
      </c>
      <c r="F2285" t="s">
        <v>83</v>
      </c>
      <c r="G2285" t="s">
        <v>4710</v>
      </c>
      <c r="H2285" t="str">
        <f>"94996"</f>
        <v>94996</v>
      </c>
      <c r="I2285" t="s">
        <v>47</v>
      </c>
    </row>
    <row r="2286" spans="1:13" x14ac:dyDescent="0.3">
      <c r="A2286" t="str">
        <f>"66934249"</f>
        <v>66934249</v>
      </c>
      <c r="B2286" t="s">
        <v>4711</v>
      </c>
      <c r="C2286" t="str">
        <f t="shared" si="165"/>
        <v>706</v>
      </c>
      <c r="D2286" t="s">
        <v>28</v>
      </c>
      <c r="E2286" t="s">
        <v>29</v>
      </c>
      <c r="F2286" t="s">
        <v>195</v>
      </c>
      <c r="G2286" t="s">
        <v>4712</v>
      </c>
      <c r="H2286" t="str">
        <f>"9499"</f>
        <v>9499</v>
      </c>
      <c r="I2286" t="s">
        <v>31</v>
      </c>
    </row>
    <row r="2287" spans="1:13" x14ac:dyDescent="0.3">
      <c r="A2287" t="str">
        <f>"27059880"</f>
        <v>27059880</v>
      </c>
      <c r="B2287" t="s">
        <v>4713</v>
      </c>
      <c r="C2287" t="str">
        <f t="shared" si="165"/>
        <v>706</v>
      </c>
      <c r="D2287" t="s">
        <v>28</v>
      </c>
      <c r="E2287" t="s">
        <v>29</v>
      </c>
      <c r="F2287" t="s">
        <v>1654</v>
      </c>
      <c r="G2287" t="s">
        <v>4714</v>
      </c>
      <c r="H2287" t="str">
        <f>"93110"</f>
        <v>93110</v>
      </c>
      <c r="I2287" t="s">
        <v>92</v>
      </c>
    </row>
    <row r="2288" spans="1:13" x14ac:dyDescent="0.3">
      <c r="A2288" t="str">
        <f>"05134129"</f>
        <v>05134129</v>
      </c>
      <c r="B2288" t="s">
        <v>4715</v>
      </c>
      <c r="C2288" t="str">
        <f t="shared" si="165"/>
        <v>706</v>
      </c>
      <c r="D2288" t="s">
        <v>28</v>
      </c>
      <c r="E2288" t="s">
        <v>23</v>
      </c>
      <c r="F2288" t="s">
        <v>23</v>
      </c>
      <c r="G2288" t="s">
        <v>4716</v>
      </c>
      <c r="H2288" t="str">
        <f>"93190"</f>
        <v>93190</v>
      </c>
      <c r="I2288" t="s">
        <v>59</v>
      </c>
    </row>
    <row r="2289" spans="1:14" x14ac:dyDescent="0.3">
      <c r="A2289" t="str">
        <f>"26615606"</f>
        <v>26615606</v>
      </c>
      <c r="B2289" t="s">
        <v>4717</v>
      </c>
      <c r="C2289" t="str">
        <f t="shared" si="165"/>
        <v>706</v>
      </c>
      <c r="D2289" t="s">
        <v>28</v>
      </c>
      <c r="E2289" t="s">
        <v>83</v>
      </c>
      <c r="F2289" t="s">
        <v>183</v>
      </c>
      <c r="G2289" t="s">
        <v>4718</v>
      </c>
      <c r="H2289" t="str">
        <f>"9499"</f>
        <v>9499</v>
      </c>
      <c r="I2289" t="s">
        <v>31</v>
      </c>
    </row>
    <row r="2290" spans="1:14" x14ac:dyDescent="0.3">
      <c r="A2290" t="str">
        <f>"22709436"</f>
        <v>22709436</v>
      </c>
      <c r="B2290" t="s">
        <v>4719</v>
      </c>
      <c r="C2290" t="str">
        <f t="shared" si="165"/>
        <v>706</v>
      </c>
      <c r="D2290" t="s">
        <v>28</v>
      </c>
      <c r="E2290" t="s">
        <v>52</v>
      </c>
      <c r="F2290" t="s">
        <v>52</v>
      </c>
      <c r="G2290" t="s">
        <v>4720</v>
      </c>
      <c r="H2290" t="str">
        <f>"9499"</f>
        <v>9499</v>
      </c>
      <c r="I2290" t="s">
        <v>31</v>
      </c>
    </row>
    <row r="2291" spans="1:14" x14ac:dyDescent="0.3">
      <c r="A2291" t="str">
        <f>"27020291"</f>
        <v>27020291</v>
      </c>
      <c r="B2291" t="s">
        <v>4721</v>
      </c>
      <c r="C2291" t="str">
        <f t="shared" si="165"/>
        <v>706</v>
      </c>
      <c r="D2291" t="s">
        <v>28</v>
      </c>
      <c r="E2291" t="s">
        <v>29</v>
      </c>
      <c r="F2291" t="s">
        <v>195</v>
      </c>
      <c r="G2291" t="s">
        <v>4722</v>
      </c>
      <c r="H2291" t="str">
        <f>"94991"</f>
        <v>94991</v>
      </c>
      <c r="I2291" t="s">
        <v>433</v>
      </c>
    </row>
    <row r="2292" spans="1:14" x14ac:dyDescent="0.3">
      <c r="A2292" t="str">
        <f>"19501749"</f>
        <v>19501749</v>
      </c>
      <c r="B2292" t="s">
        <v>4723</v>
      </c>
      <c r="C2292" t="str">
        <f t="shared" si="165"/>
        <v>706</v>
      </c>
      <c r="D2292" t="s">
        <v>28</v>
      </c>
      <c r="E2292" t="s">
        <v>52</v>
      </c>
      <c r="F2292" t="s">
        <v>52</v>
      </c>
      <c r="G2292" t="s">
        <v>2573</v>
      </c>
      <c r="H2292" t="str">
        <f>"9499"</f>
        <v>9499</v>
      </c>
      <c r="I2292" t="s">
        <v>31</v>
      </c>
    </row>
    <row r="2293" spans="1:14" x14ac:dyDescent="0.3">
      <c r="A2293" t="str">
        <f>"07598033"</f>
        <v>07598033</v>
      </c>
      <c r="B2293" t="s">
        <v>4724</v>
      </c>
      <c r="C2293" t="str">
        <f t="shared" si="165"/>
        <v>706</v>
      </c>
      <c r="D2293" t="s">
        <v>28</v>
      </c>
      <c r="E2293" t="s">
        <v>29</v>
      </c>
      <c r="F2293" t="s">
        <v>29</v>
      </c>
      <c r="G2293" t="s">
        <v>4725</v>
      </c>
      <c r="H2293" t="str">
        <f>"93190"</f>
        <v>93190</v>
      </c>
      <c r="I2293" t="s">
        <v>59</v>
      </c>
      <c r="J2293" t="s">
        <v>155</v>
      </c>
      <c r="K2293" t="s">
        <v>159</v>
      </c>
      <c r="L2293" t="s">
        <v>146</v>
      </c>
      <c r="M2293" t="s">
        <v>26</v>
      </c>
      <c r="N2293" t="s">
        <v>163</v>
      </c>
    </row>
    <row r="2294" spans="1:14" x14ac:dyDescent="0.3">
      <c r="A2294" t="str">
        <f>"70897425"</f>
        <v>70897425</v>
      </c>
      <c r="B2294" t="s">
        <v>4726</v>
      </c>
      <c r="C2294" t="str">
        <f t="shared" si="165"/>
        <v>706</v>
      </c>
      <c r="D2294" t="s">
        <v>28</v>
      </c>
      <c r="E2294" t="s">
        <v>83</v>
      </c>
      <c r="F2294" t="s">
        <v>83</v>
      </c>
      <c r="G2294" t="s">
        <v>4727</v>
      </c>
      <c r="H2294" t="str">
        <f>"9499"</f>
        <v>9499</v>
      </c>
      <c r="I2294" t="s">
        <v>31</v>
      </c>
    </row>
    <row r="2295" spans="1:14" x14ac:dyDescent="0.3">
      <c r="A2295" t="str">
        <f>"07098961"</f>
        <v>07098961</v>
      </c>
      <c r="B2295" t="s">
        <v>4728</v>
      </c>
      <c r="C2295" t="str">
        <f t="shared" si="165"/>
        <v>706</v>
      </c>
      <c r="D2295" t="s">
        <v>28</v>
      </c>
      <c r="E2295" t="s">
        <v>52</v>
      </c>
      <c r="F2295" t="s">
        <v>2736</v>
      </c>
      <c r="G2295" t="s">
        <v>4729</v>
      </c>
      <c r="H2295" t="str">
        <f>"9499"</f>
        <v>9499</v>
      </c>
      <c r="I2295" t="s">
        <v>31</v>
      </c>
    </row>
    <row r="2296" spans="1:14" x14ac:dyDescent="0.3">
      <c r="A2296" t="str">
        <f>"23051671"</f>
        <v>23051671</v>
      </c>
      <c r="B2296" t="s">
        <v>4730</v>
      </c>
      <c r="C2296" t="str">
        <f t="shared" si="165"/>
        <v>706</v>
      </c>
      <c r="D2296" t="s">
        <v>28</v>
      </c>
      <c r="E2296" t="s">
        <v>23</v>
      </c>
      <c r="F2296" t="s">
        <v>87</v>
      </c>
      <c r="G2296" t="s">
        <v>4731</v>
      </c>
      <c r="H2296" t="str">
        <f>"9499"</f>
        <v>9499</v>
      </c>
      <c r="I2296" t="s">
        <v>31</v>
      </c>
      <c r="J2296" t="s">
        <v>655</v>
      </c>
    </row>
    <row r="2297" spans="1:14" x14ac:dyDescent="0.3">
      <c r="A2297" t="str">
        <f>"22184040"</f>
        <v>22184040</v>
      </c>
      <c r="B2297" t="s">
        <v>4732</v>
      </c>
      <c r="C2297" t="str">
        <f t="shared" si="165"/>
        <v>706</v>
      </c>
      <c r="D2297" t="s">
        <v>28</v>
      </c>
      <c r="E2297" t="s">
        <v>29</v>
      </c>
      <c r="F2297" t="s">
        <v>29</v>
      </c>
      <c r="G2297" t="s">
        <v>4733</v>
      </c>
      <c r="H2297" t="str">
        <f>"9499"</f>
        <v>9499</v>
      </c>
      <c r="I2297" t="s">
        <v>31</v>
      </c>
    </row>
    <row r="2298" spans="1:14" x14ac:dyDescent="0.3">
      <c r="A2298" t="str">
        <f>"69211515"</f>
        <v>69211515</v>
      </c>
      <c r="B2298" t="s">
        <v>4734</v>
      </c>
      <c r="C2298" t="str">
        <f t="shared" si="165"/>
        <v>706</v>
      </c>
      <c r="D2298" t="s">
        <v>28</v>
      </c>
      <c r="E2298" t="s">
        <v>29</v>
      </c>
      <c r="F2298" t="s">
        <v>29</v>
      </c>
      <c r="G2298" t="s">
        <v>4735</v>
      </c>
      <c r="H2298" t="str">
        <f>"93120"</f>
        <v>93120</v>
      </c>
      <c r="I2298" t="s">
        <v>54</v>
      </c>
    </row>
    <row r="2299" spans="1:14" x14ac:dyDescent="0.3">
      <c r="A2299" t="str">
        <f>"01996983"</f>
        <v>01996983</v>
      </c>
      <c r="B2299" t="s">
        <v>4736</v>
      </c>
      <c r="C2299" t="str">
        <f t="shared" si="165"/>
        <v>706</v>
      </c>
      <c r="D2299" t="s">
        <v>28</v>
      </c>
      <c r="E2299" t="s">
        <v>29</v>
      </c>
      <c r="F2299" t="s">
        <v>195</v>
      </c>
      <c r="G2299" t="s">
        <v>195</v>
      </c>
      <c r="H2299" t="str">
        <f>"93190"</f>
        <v>93190</v>
      </c>
      <c r="I2299" t="s">
        <v>59</v>
      </c>
    </row>
    <row r="2300" spans="1:14" x14ac:dyDescent="0.3">
      <c r="A2300" t="str">
        <f>"19154704"</f>
        <v>19154704</v>
      </c>
      <c r="B2300" t="s">
        <v>4737</v>
      </c>
      <c r="C2300" t="str">
        <f t="shared" si="165"/>
        <v>706</v>
      </c>
      <c r="D2300" t="s">
        <v>28</v>
      </c>
      <c r="E2300" t="s">
        <v>52</v>
      </c>
      <c r="F2300" t="s">
        <v>1902</v>
      </c>
      <c r="G2300" t="s">
        <v>2426</v>
      </c>
      <c r="H2300" t="str">
        <f>"9499"</f>
        <v>9499</v>
      </c>
      <c r="I2300" t="s">
        <v>31</v>
      </c>
    </row>
    <row r="2301" spans="1:14" x14ac:dyDescent="0.3">
      <c r="A2301" t="str">
        <f>"22854436"</f>
        <v>22854436</v>
      </c>
      <c r="B2301" t="s">
        <v>4738</v>
      </c>
      <c r="C2301" t="str">
        <f t="shared" si="165"/>
        <v>706</v>
      </c>
      <c r="D2301" t="s">
        <v>28</v>
      </c>
      <c r="E2301" t="s">
        <v>52</v>
      </c>
      <c r="F2301" t="s">
        <v>951</v>
      </c>
      <c r="G2301" t="s">
        <v>4739</v>
      </c>
      <c r="H2301" t="str">
        <f>"9499"</f>
        <v>9499</v>
      </c>
      <c r="I2301" t="s">
        <v>31</v>
      </c>
    </row>
    <row r="2302" spans="1:14" x14ac:dyDescent="0.3">
      <c r="A2302" t="str">
        <f>"02494540"</f>
        <v>02494540</v>
      </c>
      <c r="B2302" t="s">
        <v>4740</v>
      </c>
      <c r="C2302" t="str">
        <f t="shared" si="165"/>
        <v>706</v>
      </c>
      <c r="D2302" t="s">
        <v>28</v>
      </c>
      <c r="E2302" t="s">
        <v>23</v>
      </c>
      <c r="F2302" t="s">
        <v>99</v>
      </c>
      <c r="G2302" t="s">
        <v>4741</v>
      </c>
      <c r="H2302" t="str">
        <f>"9499"</f>
        <v>9499</v>
      </c>
      <c r="I2302" t="s">
        <v>31</v>
      </c>
    </row>
    <row r="2303" spans="1:14" x14ac:dyDescent="0.3">
      <c r="A2303" t="str">
        <f>"27057593"</f>
        <v>27057593</v>
      </c>
      <c r="B2303" t="s">
        <v>4742</v>
      </c>
      <c r="C2303" t="str">
        <f t="shared" ref="C2303:C2308" si="166">"706"</f>
        <v>706</v>
      </c>
      <c r="D2303" t="s">
        <v>28</v>
      </c>
      <c r="E2303" t="s">
        <v>52</v>
      </c>
      <c r="F2303" t="s">
        <v>234</v>
      </c>
      <c r="G2303" t="s">
        <v>4042</v>
      </c>
      <c r="H2303" t="str">
        <f>"94"</f>
        <v>94</v>
      </c>
      <c r="I2303" t="s">
        <v>1016</v>
      </c>
      <c r="J2303" t="s">
        <v>115</v>
      </c>
      <c r="K2303" t="s">
        <v>263</v>
      </c>
      <c r="L2303" t="s">
        <v>163</v>
      </c>
    </row>
    <row r="2304" spans="1:14" x14ac:dyDescent="0.3">
      <c r="A2304" t="str">
        <f>"27002594"</f>
        <v>27002594</v>
      </c>
      <c r="B2304" t="s">
        <v>4743</v>
      </c>
      <c r="C2304" t="str">
        <f t="shared" si="166"/>
        <v>706</v>
      </c>
      <c r="D2304" t="s">
        <v>28</v>
      </c>
      <c r="E2304" t="s">
        <v>83</v>
      </c>
      <c r="F2304" t="s">
        <v>944</v>
      </c>
      <c r="G2304" t="s">
        <v>1706</v>
      </c>
      <c r="H2304" t="str">
        <f t="shared" ref="H2304:H2309" si="167">"9499"</f>
        <v>9499</v>
      </c>
      <c r="I2304" t="s">
        <v>31</v>
      </c>
    </row>
    <row r="2305" spans="1:14" x14ac:dyDescent="0.3">
      <c r="A2305" t="str">
        <f>"27042979"</f>
        <v>27042979</v>
      </c>
      <c r="B2305" t="s">
        <v>4744</v>
      </c>
      <c r="C2305" t="str">
        <f t="shared" si="166"/>
        <v>706</v>
      </c>
      <c r="D2305" t="s">
        <v>28</v>
      </c>
      <c r="E2305" t="s">
        <v>83</v>
      </c>
      <c r="F2305" t="s">
        <v>175</v>
      </c>
      <c r="G2305" t="s">
        <v>4745</v>
      </c>
      <c r="H2305" t="str">
        <f t="shared" si="167"/>
        <v>9499</v>
      </c>
      <c r="I2305" t="s">
        <v>31</v>
      </c>
    </row>
    <row r="2306" spans="1:14" x14ac:dyDescent="0.3">
      <c r="A2306" t="str">
        <f>"27034925"</f>
        <v>27034925</v>
      </c>
      <c r="B2306" t="s">
        <v>4746</v>
      </c>
      <c r="C2306" t="str">
        <f t="shared" si="166"/>
        <v>706</v>
      </c>
      <c r="D2306" t="s">
        <v>28</v>
      </c>
      <c r="E2306" t="s">
        <v>29</v>
      </c>
      <c r="F2306" t="s">
        <v>852</v>
      </c>
      <c r="G2306" t="s">
        <v>3912</v>
      </c>
      <c r="H2306" t="str">
        <f t="shared" si="167"/>
        <v>9499</v>
      </c>
      <c r="I2306" t="s">
        <v>31</v>
      </c>
    </row>
    <row r="2307" spans="1:14" x14ac:dyDescent="0.3">
      <c r="A2307" t="str">
        <f>"27057607"</f>
        <v>27057607</v>
      </c>
      <c r="B2307" t="s">
        <v>4747</v>
      </c>
      <c r="C2307" t="str">
        <f t="shared" si="166"/>
        <v>706</v>
      </c>
      <c r="D2307" t="s">
        <v>28</v>
      </c>
      <c r="E2307" t="s">
        <v>52</v>
      </c>
      <c r="F2307" t="s">
        <v>4748</v>
      </c>
      <c r="G2307" t="s">
        <v>4749</v>
      </c>
      <c r="H2307" t="str">
        <f t="shared" si="167"/>
        <v>9499</v>
      </c>
      <c r="I2307" t="s">
        <v>31</v>
      </c>
    </row>
    <row r="2308" spans="1:14" x14ac:dyDescent="0.3">
      <c r="A2308" t="str">
        <f>"28559908"</f>
        <v>28559908</v>
      </c>
      <c r="B2308" t="s">
        <v>4750</v>
      </c>
      <c r="C2308" t="str">
        <f t="shared" si="166"/>
        <v>706</v>
      </c>
      <c r="D2308" t="s">
        <v>28</v>
      </c>
      <c r="E2308" t="s">
        <v>29</v>
      </c>
      <c r="F2308" t="s">
        <v>1810</v>
      </c>
      <c r="G2308" t="s">
        <v>4751</v>
      </c>
      <c r="H2308" t="str">
        <f t="shared" si="167"/>
        <v>9499</v>
      </c>
      <c r="I2308" t="s">
        <v>31</v>
      </c>
    </row>
    <row r="2309" spans="1:14" x14ac:dyDescent="0.3">
      <c r="A2309" t="str">
        <f>"60042168"</f>
        <v>60042168</v>
      </c>
      <c r="B2309" t="s">
        <v>4752</v>
      </c>
      <c r="C2309" t="str">
        <f>"736"</f>
        <v>736</v>
      </c>
      <c r="D2309" t="s">
        <v>22</v>
      </c>
      <c r="E2309" t="s">
        <v>29</v>
      </c>
      <c r="F2309" t="s">
        <v>29</v>
      </c>
      <c r="G2309" t="s">
        <v>4753</v>
      </c>
      <c r="H2309" t="str">
        <f t="shared" si="167"/>
        <v>9499</v>
      </c>
      <c r="I2309" t="s">
        <v>31</v>
      </c>
    </row>
    <row r="2310" spans="1:14" x14ac:dyDescent="0.3">
      <c r="A2310" t="str">
        <f>"09262881"</f>
        <v>09262881</v>
      </c>
      <c r="B2310" t="s">
        <v>4754</v>
      </c>
      <c r="C2310" t="str">
        <f>"722"</f>
        <v>722</v>
      </c>
      <c r="D2310" t="s">
        <v>315</v>
      </c>
      <c r="E2310" t="s">
        <v>83</v>
      </c>
      <c r="F2310" t="s">
        <v>83</v>
      </c>
      <c r="G2310" t="s">
        <v>4135</v>
      </c>
      <c r="H2310" t="str">
        <f>"94910"</f>
        <v>94910</v>
      </c>
      <c r="I2310" t="s">
        <v>316</v>
      </c>
    </row>
    <row r="2311" spans="1:14" x14ac:dyDescent="0.3">
      <c r="A2311" t="str">
        <f>"26522977"</f>
        <v>26522977</v>
      </c>
      <c r="B2311" t="s">
        <v>4755</v>
      </c>
      <c r="C2311" t="str">
        <f>"722"</f>
        <v>722</v>
      </c>
      <c r="D2311" t="s">
        <v>315</v>
      </c>
      <c r="E2311" t="s">
        <v>23</v>
      </c>
      <c r="F2311" t="s">
        <v>245</v>
      </c>
      <c r="G2311" t="s">
        <v>4756</v>
      </c>
      <c r="H2311" t="str">
        <f>"94910"</f>
        <v>94910</v>
      </c>
      <c r="I2311" t="s">
        <v>316</v>
      </c>
    </row>
    <row r="2312" spans="1:14" x14ac:dyDescent="0.3">
      <c r="A2312" t="str">
        <f>"70863989"</f>
        <v>70863989</v>
      </c>
      <c r="B2312" t="s">
        <v>4757</v>
      </c>
      <c r="C2312" t="str">
        <f>"722"</f>
        <v>722</v>
      </c>
      <c r="D2312" t="s">
        <v>315</v>
      </c>
      <c r="E2312" t="s">
        <v>23</v>
      </c>
      <c r="F2312" t="s">
        <v>23</v>
      </c>
      <c r="G2312" t="s">
        <v>4758</v>
      </c>
      <c r="H2312" t="str">
        <f>"94910"</f>
        <v>94910</v>
      </c>
      <c r="I2312" t="s">
        <v>316</v>
      </c>
    </row>
    <row r="2313" spans="1:14" x14ac:dyDescent="0.3">
      <c r="A2313" t="str">
        <f>"00461661"</f>
        <v>00461661</v>
      </c>
      <c r="B2313" t="s">
        <v>4759</v>
      </c>
      <c r="C2313" t="str">
        <f>"736"</f>
        <v>736</v>
      </c>
      <c r="D2313" t="s">
        <v>22</v>
      </c>
      <c r="E2313" t="s">
        <v>52</v>
      </c>
      <c r="F2313" t="s">
        <v>52</v>
      </c>
      <c r="G2313" t="s">
        <v>4760</v>
      </c>
      <c r="H2313" t="str">
        <f>"9499"</f>
        <v>9499</v>
      </c>
      <c r="I2313" t="s">
        <v>31</v>
      </c>
    </row>
    <row r="2314" spans="1:14" x14ac:dyDescent="0.3">
      <c r="A2314" t="str">
        <f>"05630878"</f>
        <v>05630878</v>
      </c>
      <c r="B2314" t="s">
        <v>4761</v>
      </c>
      <c r="C2314" t="str">
        <f>"706"</f>
        <v>706</v>
      </c>
      <c r="D2314" t="s">
        <v>28</v>
      </c>
      <c r="E2314" t="s">
        <v>52</v>
      </c>
      <c r="F2314" t="s">
        <v>4762</v>
      </c>
      <c r="G2314" t="s">
        <v>4763</v>
      </c>
      <c r="H2314" t="str">
        <f>"9499"</f>
        <v>9499</v>
      </c>
      <c r="I2314" t="s">
        <v>31</v>
      </c>
    </row>
    <row r="2315" spans="1:14" x14ac:dyDescent="0.3">
      <c r="A2315" t="str">
        <f>"26625512"</f>
        <v>26625512</v>
      </c>
      <c r="B2315" t="s">
        <v>4764</v>
      </c>
      <c r="C2315" t="str">
        <f>"706"</f>
        <v>706</v>
      </c>
      <c r="D2315" t="s">
        <v>28</v>
      </c>
      <c r="E2315" t="s">
        <v>23</v>
      </c>
      <c r="F2315" t="s">
        <v>459</v>
      </c>
      <c r="G2315" t="s">
        <v>4765</v>
      </c>
      <c r="H2315" t="str">
        <f>"9499"</f>
        <v>9499</v>
      </c>
      <c r="I2315" t="s">
        <v>31</v>
      </c>
    </row>
    <row r="2316" spans="1:14" x14ac:dyDescent="0.3">
      <c r="A2316" t="str">
        <f>"26553155"</f>
        <v>26553155</v>
      </c>
      <c r="B2316" t="s">
        <v>4766</v>
      </c>
      <c r="C2316" t="str">
        <f>"706"</f>
        <v>706</v>
      </c>
      <c r="D2316" t="s">
        <v>28</v>
      </c>
      <c r="E2316" t="s">
        <v>23</v>
      </c>
      <c r="F2316" t="s">
        <v>23</v>
      </c>
      <c r="G2316" t="s">
        <v>4767</v>
      </c>
      <c r="H2316" t="str">
        <f>"94995"</f>
        <v>94995</v>
      </c>
      <c r="I2316" t="s">
        <v>232</v>
      </c>
    </row>
    <row r="2317" spans="1:14" x14ac:dyDescent="0.3">
      <c r="A2317" t="str">
        <f>"06268048"</f>
        <v>06268048</v>
      </c>
      <c r="B2317" t="s">
        <v>4768</v>
      </c>
      <c r="C2317" t="str">
        <f>"706"</f>
        <v>706</v>
      </c>
      <c r="D2317" t="s">
        <v>28</v>
      </c>
      <c r="E2317" t="s">
        <v>23</v>
      </c>
      <c r="F2317" t="s">
        <v>1885</v>
      </c>
      <c r="G2317" t="s">
        <v>1886</v>
      </c>
      <c r="H2317" t="str">
        <f>"9499"</f>
        <v>9499</v>
      </c>
      <c r="I2317" t="s">
        <v>31</v>
      </c>
      <c r="J2317" t="s">
        <v>259</v>
      </c>
      <c r="K2317" t="s">
        <v>147</v>
      </c>
      <c r="L2317" t="s">
        <v>161</v>
      </c>
      <c r="M2317" t="s">
        <v>209</v>
      </c>
      <c r="N2317" t="s">
        <v>1252</v>
      </c>
    </row>
    <row r="2318" spans="1:14" x14ac:dyDescent="0.3">
      <c r="A2318" t="str">
        <f>"27773574"</f>
        <v>27773574</v>
      </c>
      <c r="B2318" t="s">
        <v>4769</v>
      </c>
      <c r="C2318" t="str">
        <f>"141"</f>
        <v>141</v>
      </c>
      <c r="D2318" t="s">
        <v>112</v>
      </c>
      <c r="E2318" t="s">
        <v>29</v>
      </c>
      <c r="F2318" t="s">
        <v>726</v>
      </c>
      <c r="G2318" t="s">
        <v>4770</v>
      </c>
      <c r="H2318" t="str">
        <f>"94991"</f>
        <v>94991</v>
      </c>
      <c r="I2318" t="s">
        <v>433</v>
      </c>
      <c r="J2318" t="s">
        <v>759</v>
      </c>
    </row>
    <row r="2319" spans="1:14" x14ac:dyDescent="0.3">
      <c r="A2319" t="str">
        <f>"29216036"</f>
        <v>29216036</v>
      </c>
      <c r="B2319" t="s">
        <v>4771</v>
      </c>
      <c r="C2319" t="str">
        <f>"141"</f>
        <v>141</v>
      </c>
      <c r="D2319" t="s">
        <v>112</v>
      </c>
      <c r="E2319" t="s">
        <v>52</v>
      </c>
      <c r="F2319" t="s">
        <v>52</v>
      </c>
      <c r="G2319" t="s">
        <v>4772</v>
      </c>
      <c r="H2319" t="str">
        <f>"74"</f>
        <v>74</v>
      </c>
      <c r="I2319" t="s">
        <v>423</v>
      </c>
      <c r="J2319" t="s">
        <v>258</v>
      </c>
      <c r="K2319" t="s">
        <v>1496</v>
      </c>
      <c r="L2319" t="s">
        <v>2599</v>
      </c>
      <c r="M2319" t="s">
        <v>222</v>
      </c>
    </row>
    <row r="2320" spans="1:14" x14ac:dyDescent="0.3">
      <c r="A2320" t="str">
        <f>"22813217"</f>
        <v>22813217</v>
      </c>
      <c r="B2320" t="s">
        <v>4773</v>
      </c>
      <c r="C2320" t="str">
        <f>"706"</f>
        <v>706</v>
      </c>
      <c r="D2320" t="s">
        <v>28</v>
      </c>
      <c r="E2320" t="s">
        <v>23</v>
      </c>
      <c r="F2320" t="s">
        <v>23</v>
      </c>
      <c r="G2320" t="s">
        <v>4774</v>
      </c>
      <c r="H2320" t="str">
        <f>"93120"</f>
        <v>93120</v>
      </c>
      <c r="I2320" t="s">
        <v>54</v>
      </c>
    </row>
    <row r="2321" spans="1:9" x14ac:dyDescent="0.3">
      <c r="A2321" t="str">
        <f>"47935022"</f>
        <v>47935022</v>
      </c>
      <c r="B2321" t="s">
        <v>4775</v>
      </c>
      <c r="C2321" t="str">
        <f>"736"</f>
        <v>736</v>
      </c>
      <c r="D2321" t="s">
        <v>22</v>
      </c>
      <c r="E2321" t="s">
        <v>83</v>
      </c>
      <c r="F2321" t="s">
        <v>183</v>
      </c>
      <c r="G2321" t="s">
        <v>4776</v>
      </c>
      <c r="H2321" t="str">
        <f>"9499"</f>
        <v>9499</v>
      </c>
      <c r="I2321" t="s">
        <v>31</v>
      </c>
    </row>
    <row r="2322" spans="1:9" x14ac:dyDescent="0.3">
      <c r="A2322" t="str">
        <f>"07672756"</f>
        <v>07672756</v>
      </c>
      <c r="B2322" t="s">
        <v>4777</v>
      </c>
      <c r="C2322" t="str">
        <f>"706"</f>
        <v>706</v>
      </c>
      <c r="D2322" t="s">
        <v>28</v>
      </c>
      <c r="E2322" t="s">
        <v>23</v>
      </c>
      <c r="F2322" t="s">
        <v>688</v>
      </c>
      <c r="G2322" t="s">
        <v>4778</v>
      </c>
      <c r="H2322" t="str">
        <f>"93190"</f>
        <v>93190</v>
      </c>
      <c r="I2322" t="s">
        <v>59</v>
      </c>
    </row>
    <row r="2323" spans="1:9" x14ac:dyDescent="0.3">
      <c r="A2323" t="str">
        <f>"22014268"</f>
        <v>22014268</v>
      </c>
      <c r="B2323" t="s">
        <v>4779</v>
      </c>
      <c r="C2323" t="str">
        <f>"706"</f>
        <v>706</v>
      </c>
      <c r="D2323" t="s">
        <v>28</v>
      </c>
      <c r="E2323" t="s">
        <v>52</v>
      </c>
      <c r="F2323" t="s">
        <v>52</v>
      </c>
      <c r="G2323" t="s">
        <v>4780</v>
      </c>
      <c r="H2323" t="str">
        <f>"9499"</f>
        <v>9499</v>
      </c>
      <c r="I2323" t="s">
        <v>31</v>
      </c>
    </row>
    <row r="2324" spans="1:9" x14ac:dyDescent="0.3">
      <c r="A2324" t="str">
        <f>"61716154"</f>
        <v>61716154</v>
      </c>
      <c r="B2324" t="s">
        <v>4781</v>
      </c>
      <c r="C2324" t="str">
        <f>"706"</f>
        <v>706</v>
      </c>
      <c r="D2324" t="s">
        <v>28</v>
      </c>
      <c r="E2324" t="s">
        <v>23</v>
      </c>
      <c r="F2324" t="s">
        <v>3475</v>
      </c>
      <c r="G2324" t="s">
        <v>4782</v>
      </c>
      <c r="H2324" t="str">
        <f>"9499"</f>
        <v>9499</v>
      </c>
      <c r="I2324" t="s">
        <v>31</v>
      </c>
    </row>
    <row r="2325" spans="1:9" x14ac:dyDescent="0.3">
      <c r="A2325" t="str">
        <f>"66598273"</f>
        <v>66598273</v>
      </c>
      <c r="B2325" t="s">
        <v>4783</v>
      </c>
      <c r="C2325" t="str">
        <f t="shared" ref="C2325:C2330" si="168">"736"</f>
        <v>736</v>
      </c>
      <c r="D2325" t="s">
        <v>22</v>
      </c>
      <c r="E2325" t="s">
        <v>52</v>
      </c>
      <c r="F2325" t="s">
        <v>52</v>
      </c>
      <c r="G2325" t="s">
        <v>4784</v>
      </c>
      <c r="H2325" t="str">
        <f>"9499"</f>
        <v>9499</v>
      </c>
      <c r="I2325" t="s">
        <v>31</v>
      </c>
    </row>
    <row r="2326" spans="1:9" x14ac:dyDescent="0.3">
      <c r="A2326" t="str">
        <f>"18188630"</f>
        <v>18188630</v>
      </c>
      <c r="B2326" t="s">
        <v>4785</v>
      </c>
      <c r="C2326" t="str">
        <f t="shared" si="168"/>
        <v>736</v>
      </c>
      <c r="D2326" t="s">
        <v>22</v>
      </c>
      <c r="E2326" t="s">
        <v>83</v>
      </c>
      <c r="F2326" t="s">
        <v>480</v>
      </c>
      <c r="G2326" t="s">
        <v>4786</v>
      </c>
      <c r="H2326" t="str">
        <f>"94993"</f>
        <v>94993</v>
      </c>
      <c r="I2326" t="s">
        <v>50</v>
      </c>
    </row>
    <row r="2327" spans="1:9" x14ac:dyDescent="0.3">
      <c r="A2327" t="str">
        <f>"66934745"</f>
        <v>66934745</v>
      </c>
      <c r="B2327" t="s">
        <v>4787</v>
      </c>
      <c r="C2327" t="str">
        <f t="shared" si="168"/>
        <v>736</v>
      </c>
      <c r="D2327" t="s">
        <v>22</v>
      </c>
      <c r="E2327" t="s">
        <v>29</v>
      </c>
      <c r="F2327" t="s">
        <v>38</v>
      </c>
      <c r="G2327" t="s">
        <v>4788</v>
      </c>
      <c r="H2327" t="str">
        <f>"93110"</f>
        <v>93110</v>
      </c>
      <c r="I2327" t="s">
        <v>92</v>
      </c>
    </row>
    <row r="2328" spans="1:9" x14ac:dyDescent="0.3">
      <c r="A2328" t="str">
        <f>"62335294"</f>
        <v>62335294</v>
      </c>
      <c r="B2328" t="s">
        <v>4789</v>
      </c>
      <c r="C2328" t="str">
        <f t="shared" si="168"/>
        <v>736</v>
      </c>
      <c r="D2328" t="s">
        <v>22</v>
      </c>
      <c r="E2328" t="s">
        <v>29</v>
      </c>
      <c r="F2328" t="s">
        <v>45</v>
      </c>
      <c r="G2328" t="s">
        <v>4790</v>
      </c>
      <c r="H2328" t="str">
        <f>"94993"</f>
        <v>94993</v>
      </c>
      <c r="I2328" t="s">
        <v>50</v>
      </c>
    </row>
    <row r="2329" spans="1:9" x14ac:dyDescent="0.3">
      <c r="A2329" t="str">
        <f>"75142155"</f>
        <v>75142155</v>
      </c>
      <c r="B2329" t="s">
        <v>4791</v>
      </c>
      <c r="C2329" t="str">
        <f t="shared" si="168"/>
        <v>736</v>
      </c>
      <c r="D2329" t="s">
        <v>22</v>
      </c>
      <c r="E2329" t="s">
        <v>29</v>
      </c>
      <c r="F2329" t="s">
        <v>29</v>
      </c>
      <c r="G2329" t="s">
        <v>4792</v>
      </c>
      <c r="H2329" t="str">
        <f>"94993"</f>
        <v>94993</v>
      </c>
      <c r="I2329" t="s">
        <v>50</v>
      </c>
    </row>
    <row r="2330" spans="1:9" x14ac:dyDescent="0.3">
      <c r="A2330" t="str">
        <f>"62831712"</f>
        <v>62831712</v>
      </c>
      <c r="B2330" t="s">
        <v>4793</v>
      </c>
      <c r="C2330" t="str">
        <f t="shared" si="168"/>
        <v>736</v>
      </c>
      <c r="D2330" t="s">
        <v>22</v>
      </c>
      <c r="E2330" t="s">
        <v>52</v>
      </c>
      <c r="F2330" t="s">
        <v>1676</v>
      </c>
      <c r="G2330" t="s">
        <v>1677</v>
      </c>
      <c r="H2330" t="str">
        <f>"94993"</f>
        <v>94993</v>
      </c>
      <c r="I2330" t="s">
        <v>50</v>
      </c>
    </row>
    <row r="2331" spans="1:9" x14ac:dyDescent="0.3">
      <c r="A2331" t="str">
        <f>"03912230"</f>
        <v>03912230</v>
      </c>
      <c r="B2331" t="s">
        <v>4794</v>
      </c>
      <c r="C2331" t="str">
        <f>"161"</f>
        <v>161</v>
      </c>
      <c r="D2331" t="s">
        <v>152</v>
      </c>
      <c r="E2331" t="s">
        <v>52</v>
      </c>
      <c r="F2331" t="s">
        <v>94</v>
      </c>
      <c r="G2331" t="s">
        <v>4795</v>
      </c>
      <c r="H2331" t="str">
        <f>"9499"</f>
        <v>9499</v>
      </c>
      <c r="I2331" t="s">
        <v>31</v>
      </c>
    </row>
    <row r="2332" spans="1:9" x14ac:dyDescent="0.3">
      <c r="A2332" t="str">
        <f>"06188982"</f>
        <v>06188982</v>
      </c>
      <c r="B2332" t="s">
        <v>4796</v>
      </c>
      <c r="C2332" t="str">
        <f t="shared" ref="C2332:C2340" si="169">"706"</f>
        <v>706</v>
      </c>
      <c r="D2332" t="s">
        <v>28</v>
      </c>
      <c r="E2332" t="s">
        <v>52</v>
      </c>
      <c r="F2332" t="s">
        <v>344</v>
      </c>
      <c r="G2332" t="s">
        <v>4797</v>
      </c>
      <c r="H2332" t="str">
        <f>"9499"</f>
        <v>9499</v>
      </c>
      <c r="I2332" t="s">
        <v>31</v>
      </c>
    </row>
    <row r="2333" spans="1:9" x14ac:dyDescent="0.3">
      <c r="A2333" t="str">
        <f>"05025303"</f>
        <v>05025303</v>
      </c>
      <c r="B2333" t="s">
        <v>4798</v>
      </c>
      <c r="C2333" t="str">
        <f t="shared" si="169"/>
        <v>706</v>
      </c>
      <c r="D2333" t="s">
        <v>28</v>
      </c>
      <c r="E2333" t="s">
        <v>23</v>
      </c>
      <c r="F2333" t="s">
        <v>24</v>
      </c>
      <c r="G2333" t="s">
        <v>4214</v>
      </c>
      <c r="H2333" t="str">
        <f>"9499"</f>
        <v>9499</v>
      </c>
      <c r="I2333" t="s">
        <v>31</v>
      </c>
    </row>
    <row r="2334" spans="1:9" x14ac:dyDescent="0.3">
      <c r="A2334" t="str">
        <f>"04434862"</f>
        <v>04434862</v>
      </c>
      <c r="B2334" t="s">
        <v>4799</v>
      </c>
      <c r="C2334" t="str">
        <f t="shared" si="169"/>
        <v>706</v>
      </c>
      <c r="D2334" t="s">
        <v>28</v>
      </c>
      <c r="E2334" t="s">
        <v>23</v>
      </c>
      <c r="F2334" t="s">
        <v>23</v>
      </c>
      <c r="G2334" t="s">
        <v>4800</v>
      </c>
      <c r="H2334" t="str">
        <f>"9499"</f>
        <v>9499</v>
      </c>
      <c r="I2334" t="s">
        <v>31</v>
      </c>
    </row>
    <row r="2335" spans="1:9" x14ac:dyDescent="0.3">
      <c r="A2335" t="str">
        <f>"01192019"</f>
        <v>01192019</v>
      </c>
      <c r="B2335" t="s">
        <v>4801</v>
      </c>
      <c r="C2335" t="str">
        <f t="shared" si="169"/>
        <v>706</v>
      </c>
      <c r="D2335" t="s">
        <v>28</v>
      </c>
      <c r="E2335" t="s">
        <v>23</v>
      </c>
      <c r="F2335" t="s">
        <v>4802</v>
      </c>
      <c r="G2335" t="s">
        <v>4803</v>
      </c>
      <c r="H2335" t="str">
        <f>"94995"</f>
        <v>94995</v>
      </c>
      <c r="I2335" t="s">
        <v>232</v>
      </c>
    </row>
    <row r="2336" spans="1:9" x14ac:dyDescent="0.3">
      <c r="A2336" t="str">
        <f>"49181874"</f>
        <v>49181874</v>
      </c>
      <c r="B2336" t="s">
        <v>4804</v>
      </c>
      <c r="C2336" t="str">
        <f t="shared" si="169"/>
        <v>706</v>
      </c>
      <c r="D2336" t="s">
        <v>28</v>
      </c>
      <c r="E2336" t="s">
        <v>83</v>
      </c>
      <c r="F2336" t="s">
        <v>1846</v>
      </c>
      <c r="G2336" t="s">
        <v>4805</v>
      </c>
      <c r="H2336" t="str">
        <f>"94993"</f>
        <v>94993</v>
      </c>
      <c r="I2336" t="s">
        <v>50</v>
      </c>
    </row>
    <row r="2337" spans="1:19" x14ac:dyDescent="0.3">
      <c r="A2337" t="str">
        <f>"06539998"</f>
        <v>06539998</v>
      </c>
      <c r="B2337" t="s">
        <v>4806</v>
      </c>
      <c r="C2337" t="str">
        <f t="shared" si="169"/>
        <v>706</v>
      </c>
      <c r="D2337" t="s">
        <v>28</v>
      </c>
      <c r="E2337" t="s">
        <v>23</v>
      </c>
      <c r="F2337" t="s">
        <v>23</v>
      </c>
      <c r="G2337" t="s">
        <v>4807</v>
      </c>
      <c r="H2337" t="str">
        <f>"9499"</f>
        <v>9499</v>
      </c>
      <c r="I2337" t="s">
        <v>31</v>
      </c>
    </row>
    <row r="2338" spans="1:19" x14ac:dyDescent="0.3">
      <c r="A2338" t="str">
        <f>"06968406"</f>
        <v>06968406</v>
      </c>
      <c r="B2338" t="s">
        <v>4808</v>
      </c>
      <c r="C2338" t="str">
        <f t="shared" si="169"/>
        <v>706</v>
      </c>
      <c r="D2338" t="s">
        <v>28</v>
      </c>
      <c r="E2338" t="s">
        <v>52</v>
      </c>
      <c r="F2338" t="s">
        <v>1229</v>
      </c>
      <c r="G2338" t="s">
        <v>4809</v>
      </c>
      <c r="H2338" t="str">
        <f>"94991"</f>
        <v>94991</v>
      </c>
      <c r="I2338" t="s">
        <v>433</v>
      </c>
    </row>
    <row r="2339" spans="1:19" x14ac:dyDescent="0.3">
      <c r="A2339" t="str">
        <f>"01549243"</f>
        <v>01549243</v>
      </c>
      <c r="B2339" t="s">
        <v>4810</v>
      </c>
      <c r="C2339" t="str">
        <f t="shared" si="169"/>
        <v>706</v>
      </c>
      <c r="D2339" t="s">
        <v>28</v>
      </c>
      <c r="E2339" t="s">
        <v>23</v>
      </c>
      <c r="F2339" t="s">
        <v>2318</v>
      </c>
      <c r="G2339" t="s">
        <v>4811</v>
      </c>
      <c r="H2339" t="str">
        <f>"9499"</f>
        <v>9499</v>
      </c>
      <c r="I2339" t="s">
        <v>31</v>
      </c>
    </row>
    <row r="2340" spans="1:19" x14ac:dyDescent="0.3">
      <c r="A2340" t="str">
        <f>"05949262"</f>
        <v>05949262</v>
      </c>
      <c r="B2340" t="s">
        <v>4812</v>
      </c>
      <c r="C2340" t="str">
        <f t="shared" si="169"/>
        <v>706</v>
      </c>
      <c r="D2340" t="s">
        <v>28</v>
      </c>
      <c r="E2340" t="s">
        <v>29</v>
      </c>
      <c r="F2340" t="s">
        <v>195</v>
      </c>
      <c r="G2340" t="s">
        <v>4813</v>
      </c>
      <c r="H2340" t="str">
        <f>"94999"</f>
        <v>94999</v>
      </c>
      <c r="I2340" t="s">
        <v>202</v>
      </c>
    </row>
    <row r="2341" spans="1:19" x14ac:dyDescent="0.3">
      <c r="A2341" t="str">
        <f>"27048934"</f>
        <v>27048934</v>
      </c>
      <c r="B2341" t="s">
        <v>4814</v>
      </c>
      <c r="C2341" t="str">
        <f>"706"</f>
        <v>706</v>
      </c>
      <c r="D2341" t="s">
        <v>28</v>
      </c>
      <c r="E2341" t="s">
        <v>23</v>
      </c>
      <c r="F2341" t="s">
        <v>23</v>
      </c>
      <c r="G2341" t="s">
        <v>4815</v>
      </c>
      <c r="H2341" t="str">
        <f>"94"</f>
        <v>94</v>
      </c>
      <c r="I2341" t="s">
        <v>1016</v>
      </c>
    </row>
    <row r="2342" spans="1:19" x14ac:dyDescent="0.3">
      <c r="A2342" t="str">
        <f>"22832751"</f>
        <v>22832751</v>
      </c>
      <c r="B2342" t="s">
        <v>4816</v>
      </c>
      <c r="C2342" t="str">
        <f>"141"</f>
        <v>141</v>
      </c>
      <c r="D2342" t="s">
        <v>112</v>
      </c>
      <c r="E2342" t="s">
        <v>29</v>
      </c>
      <c r="F2342" t="s">
        <v>195</v>
      </c>
      <c r="G2342" t="s">
        <v>4817</v>
      </c>
      <c r="H2342" t="str">
        <f>"949"</f>
        <v>949</v>
      </c>
      <c r="I2342" t="s">
        <v>4818</v>
      </c>
      <c r="J2342" t="s">
        <v>155</v>
      </c>
      <c r="K2342" t="s">
        <v>258</v>
      </c>
      <c r="L2342" t="s">
        <v>2348</v>
      </c>
      <c r="M2342" t="s">
        <v>157</v>
      </c>
      <c r="N2342" t="s">
        <v>238</v>
      </c>
      <c r="O2342" t="s">
        <v>159</v>
      </c>
      <c r="P2342" t="s">
        <v>160</v>
      </c>
      <c r="Q2342" t="s">
        <v>146</v>
      </c>
      <c r="R2342" t="s">
        <v>173</v>
      </c>
      <c r="S2342" t="s">
        <v>163</v>
      </c>
    </row>
    <row r="2343" spans="1:19" x14ac:dyDescent="0.3">
      <c r="A2343" t="str">
        <f>"03717917"</f>
        <v>03717917</v>
      </c>
      <c r="B2343" t="s">
        <v>4819</v>
      </c>
      <c r="C2343" t="str">
        <f t="shared" ref="C2343:C2348" si="170">"706"</f>
        <v>706</v>
      </c>
      <c r="D2343" t="s">
        <v>28</v>
      </c>
      <c r="E2343" t="s">
        <v>23</v>
      </c>
      <c r="F2343" t="s">
        <v>695</v>
      </c>
      <c r="G2343" t="s">
        <v>4820</v>
      </c>
      <c r="H2343" t="str">
        <f>"93190"</f>
        <v>93190</v>
      </c>
      <c r="I2343" t="s">
        <v>59</v>
      </c>
    </row>
    <row r="2344" spans="1:19" x14ac:dyDescent="0.3">
      <c r="A2344" t="str">
        <f>"09741470"</f>
        <v>09741470</v>
      </c>
      <c r="B2344" t="s">
        <v>4821</v>
      </c>
      <c r="C2344" t="str">
        <f t="shared" si="170"/>
        <v>706</v>
      </c>
      <c r="D2344" t="s">
        <v>28</v>
      </c>
      <c r="E2344" t="s">
        <v>83</v>
      </c>
      <c r="F2344" t="s">
        <v>183</v>
      </c>
      <c r="G2344" t="s">
        <v>4822</v>
      </c>
      <c r="H2344" t="str">
        <f>"9499"</f>
        <v>9499</v>
      </c>
      <c r="I2344" t="s">
        <v>31</v>
      </c>
      <c r="J2344" t="s">
        <v>155</v>
      </c>
      <c r="K2344" t="s">
        <v>209</v>
      </c>
      <c r="L2344" t="s">
        <v>161</v>
      </c>
      <c r="M2344" t="s">
        <v>163</v>
      </c>
    </row>
    <row r="2345" spans="1:19" x14ac:dyDescent="0.3">
      <c r="A2345" t="str">
        <f>"22845895"</f>
        <v>22845895</v>
      </c>
      <c r="B2345" t="s">
        <v>4823</v>
      </c>
      <c r="C2345" t="str">
        <f t="shared" si="170"/>
        <v>706</v>
      </c>
      <c r="D2345" t="s">
        <v>28</v>
      </c>
      <c r="E2345" t="s">
        <v>29</v>
      </c>
      <c r="F2345" t="s">
        <v>1926</v>
      </c>
      <c r="G2345" t="s">
        <v>4824</v>
      </c>
      <c r="H2345" t="str">
        <f>"9499"</f>
        <v>9499</v>
      </c>
      <c r="I2345" t="s">
        <v>31</v>
      </c>
    </row>
    <row r="2346" spans="1:19" x14ac:dyDescent="0.3">
      <c r="A2346" t="str">
        <f>"22882685"</f>
        <v>22882685</v>
      </c>
      <c r="B2346" t="s">
        <v>4825</v>
      </c>
      <c r="C2346" t="str">
        <f t="shared" si="170"/>
        <v>706</v>
      </c>
      <c r="D2346" t="s">
        <v>28</v>
      </c>
      <c r="E2346" t="s">
        <v>23</v>
      </c>
      <c r="F2346" t="s">
        <v>24</v>
      </c>
      <c r="G2346" t="s">
        <v>4826</v>
      </c>
      <c r="H2346" t="str">
        <f>"9499"</f>
        <v>9499</v>
      </c>
      <c r="I2346" t="s">
        <v>31</v>
      </c>
    </row>
    <row r="2347" spans="1:19" x14ac:dyDescent="0.3">
      <c r="A2347" t="str">
        <f>"26619261"</f>
        <v>26619261</v>
      </c>
      <c r="B2347" t="s">
        <v>4827</v>
      </c>
      <c r="C2347" t="str">
        <f t="shared" si="170"/>
        <v>706</v>
      </c>
      <c r="D2347" t="s">
        <v>28</v>
      </c>
      <c r="E2347" t="s">
        <v>23</v>
      </c>
      <c r="F2347" t="s">
        <v>24</v>
      </c>
      <c r="G2347" t="s">
        <v>4828</v>
      </c>
      <c r="H2347" t="str">
        <f>"9499"</f>
        <v>9499</v>
      </c>
      <c r="I2347" t="s">
        <v>31</v>
      </c>
      <c r="J2347" t="s">
        <v>59</v>
      </c>
    </row>
    <row r="2348" spans="1:19" x14ac:dyDescent="0.3">
      <c r="A2348" t="str">
        <f>"06262490"</f>
        <v>06262490</v>
      </c>
      <c r="B2348" t="s">
        <v>4829</v>
      </c>
      <c r="C2348" t="str">
        <f t="shared" si="170"/>
        <v>706</v>
      </c>
      <c r="D2348" t="s">
        <v>28</v>
      </c>
      <c r="E2348" t="s">
        <v>23</v>
      </c>
      <c r="F2348" t="s">
        <v>459</v>
      </c>
      <c r="G2348" t="s">
        <v>4830</v>
      </c>
      <c r="H2348" t="str">
        <f>"93190"</f>
        <v>93190</v>
      </c>
      <c r="I2348" t="s">
        <v>59</v>
      </c>
    </row>
    <row r="2349" spans="1:19" x14ac:dyDescent="0.3">
      <c r="A2349" t="str">
        <f>"75126630"</f>
        <v>75126630</v>
      </c>
      <c r="B2349" t="s">
        <v>4831</v>
      </c>
      <c r="C2349" t="str">
        <f>"736"</f>
        <v>736</v>
      </c>
      <c r="D2349" t="s">
        <v>22</v>
      </c>
      <c r="E2349" t="s">
        <v>83</v>
      </c>
      <c r="F2349" t="s">
        <v>4832</v>
      </c>
      <c r="G2349" t="s">
        <v>4833</v>
      </c>
      <c r="H2349" t="str">
        <f>"84250"</f>
        <v>84250</v>
      </c>
      <c r="I2349" t="s">
        <v>4834</v>
      </c>
    </row>
    <row r="2350" spans="1:19" x14ac:dyDescent="0.3">
      <c r="A2350" t="str">
        <f>"47933798"</f>
        <v>47933798</v>
      </c>
      <c r="B2350" t="s">
        <v>4835</v>
      </c>
      <c r="C2350" t="str">
        <f>"736"</f>
        <v>736</v>
      </c>
      <c r="D2350" t="s">
        <v>22</v>
      </c>
      <c r="E2350" t="s">
        <v>83</v>
      </c>
      <c r="F2350" t="s">
        <v>1846</v>
      </c>
      <c r="G2350" t="s">
        <v>4836</v>
      </c>
      <c r="H2350" t="str">
        <f>"84250"</f>
        <v>84250</v>
      </c>
      <c r="I2350" t="s">
        <v>4834</v>
      </c>
      <c r="J2350" t="s">
        <v>209</v>
      </c>
      <c r="K2350" t="s">
        <v>163</v>
      </c>
      <c r="L2350" t="s">
        <v>59</v>
      </c>
    </row>
    <row r="2351" spans="1:19" x14ac:dyDescent="0.3">
      <c r="A2351" t="str">
        <f>"01944746"</f>
        <v>01944746</v>
      </c>
      <c r="B2351" t="s">
        <v>4837</v>
      </c>
      <c r="C2351" t="str">
        <f>"706"</f>
        <v>706</v>
      </c>
      <c r="D2351" t="s">
        <v>28</v>
      </c>
      <c r="E2351" t="s">
        <v>23</v>
      </c>
      <c r="F2351" t="s">
        <v>23</v>
      </c>
      <c r="G2351" t="s">
        <v>253</v>
      </c>
      <c r="H2351" t="str">
        <f>"941"</f>
        <v>941</v>
      </c>
      <c r="I2351" t="s">
        <v>4838</v>
      </c>
    </row>
    <row r="2352" spans="1:19" x14ac:dyDescent="0.3">
      <c r="A2352" t="str">
        <f>"26665565"</f>
        <v>26665565</v>
      </c>
      <c r="B2352" t="s">
        <v>4839</v>
      </c>
      <c r="C2352" t="str">
        <f>"706"</f>
        <v>706</v>
      </c>
      <c r="D2352" t="s">
        <v>28</v>
      </c>
      <c r="E2352" t="s">
        <v>83</v>
      </c>
      <c r="F2352" t="s">
        <v>83</v>
      </c>
      <c r="G2352" t="s">
        <v>4840</v>
      </c>
      <c r="H2352" t="str">
        <f>"9499"</f>
        <v>9499</v>
      </c>
      <c r="I2352" t="s">
        <v>31</v>
      </c>
    </row>
    <row r="2353" spans="1:15" x14ac:dyDescent="0.3">
      <c r="A2353" t="str">
        <f>"22752889"</f>
        <v>22752889</v>
      </c>
      <c r="B2353" t="s">
        <v>4841</v>
      </c>
      <c r="C2353" t="str">
        <f>"706"</f>
        <v>706</v>
      </c>
      <c r="D2353" t="s">
        <v>28</v>
      </c>
      <c r="E2353" t="s">
        <v>23</v>
      </c>
      <c r="F2353" t="s">
        <v>23</v>
      </c>
      <c r="G2353" t="s">
        <v>280</v>
      </c>
      <c r="H2353" t="str">
        <f>"94991"</f>
        <v>94991</v>
      </c>
      <c r="I2353" t="s">
        <v>433</v>
      </c>
    </row>
    <row r="2354" spans="1:15" x14ac:dyDescent="0.3">
      <c r="A2354" t="str">
        <f>"22896317"</f>
        <v>22896317</v>
      </c>
      <c r="B2354" t="s">
        <v>4842</v>
      </c>
      <c r="C2354" t="str">
        <f>"706"</f>
        <v>706</v>
      </c>
      <c r="D2354" t="s">
        <v>28</v>
      </c>
      <c r="E2354" t="s">
        <v>29</v>
      </c>
      <c r="F2354" t="s">
        <v>1004</v>
      </c>
      <c r="G2354" t="s">
        <v>4843</v>
      </c>
      <c r="H2354" t="str">
        <f>"9499"</f>
        <v>9499</v>
      </c>
      <c r="I2354" t="s">
        <v>31</v>
      </c>
    </row>
    <row r="2355" spans="1:15" x14ac:dyDescent="0.3">
      <c r="A2355" t="str">
        <f>"22838996"</f>
        <v>22838996</v>
      </c>
      <c r="B2355" t="s">
        <v>4844</v>
      </c>
      <c r="C2355" t="str">
        <f>"706"</f>
        <v>706</v>
      </c>
      <c r="D2355" t="s">
        <v>28</v>
      </c>
      <c r="E2355" t="s">
        <v>83</v>
      </c>
      <c r="F2355" t="s">
        <v>183</v>
      </c>
      <c r="G2355" t="s">
        <v>3979</v>
      </c>
      <c r="H2355" t="str">
        <f>"9499"</f>
        <v>9499</v>
      </c>
      <c r="I2355" t="s">
        <v>31</v>
      </c>
    </row>
    <row r="2356" spans="1:15" x14ac:dyDescent="0.3">
      <c r="A2356" t="str">
        <f>"27828972"</f>
        <v>27828972</v>
      </c>
      <c r="B2356" t="s">
        <v>4845</v>
      </c>
      <c r="C2356" t="str">
        <f>"141"</f>
        <v>141</v>
      </c>
      <c r="D2356" t="s">
        <v>112</v>
      </c>
      <c r="E2356" t="s">
        <v>29</v>
      </c>
      <c r="F2356" t="s">
        <v>2220</v>
      </c>
      <c r="G2356" t="s">
        <v>4846</v>
      </c>
      <c r="H2356" t="str">
        <f>"9499"</f>
        <v>9499</v>
      </c>
      <c r="I2356" t="s">
        <v>31</v>
      </c>
      <c r="J2356" t="s">
        <v>423</v>
      </c>
      <c r="K2356" t="s">
        <v>159</v>
      </c>
      <c r="L2356" t="s">
        <v>595</v>
      </c>
      <c r="M2356" t="s">
        <v>146</v>
      </c>
      <c r="N2356" t="s">
        <v>4847</v>
      </c>
      <c r="O2356" t="s">
        <v>4211</v>
      </c>
    </row>
    <row r="2357" spans="1:15" x14ac:dyDescent="0.3">
      <c r="A2357" t="str">
        <f>"26601702"</f>
        <v>26601702</v>
      </c>
      <c r="B2357" t="s">
        <v>4848</v>
      </c>
      <c r="C2357" t="str">
        <f>"706"</f>
        <v>706</v>
      </c>
      <c r="D2357" t="s">
        <v>28</v>
      </c>
      <c r="E2357" t="s">
        <v>23</v>
      </c>
      <c r="F2357" t="s">
        <v>24</v>
      </c>
      <c r="G2357" t="s">
        <v>4849</v>
      </c>
      <c r="H2357" t="str">
        <f>"9499"</f>
        <v>9499</v>
      </c>
      <c r="I2357" t="s">
        <v>31</v>
      </c>
    </row>
    <row r="2358" spans="1:15" x14ac:dyDescent="0.3">
      <c r="A2358" t="str">
        <f>"27054098"</f>
        <v>27054098</v>
      </c>
      <c r="B2358" t="s">
        <v>4850</v>
      </c>
      <c r="C2358" t="str">
        <f>"706"</f>
        <v>706</v>
      </c>
      <c r="D2358" t="s">
        <v>28</v>
      </c>
      <c r="E2358" t="s">
        <v>52</v>
      </c>
      <c r="F2358" t="s">
        <v>65</v>
      </c>
      <c r="G2358" t="s">
        <v>4851</v>
      </c>
      <c r="H2358" t="str">
        <f>"93110"</f>
        <v>93110</v>
      </c>
      <c r="I2358" t="s">
        <v>92</v>
      </c>
    </row>
    <row r="2359" spans="1:15" x14ac:dyDescent="0.3">
      <c r="A2359" t="str">
        <f>"06643027"</f>
        <v>06643027</v>
      </c>
      <c r="B2359" t="s">
        <v>4852</v>
      </c>
      <c r="C2359" t="str">
        <f>"706"</f>
        <v>706</v>
      </c>
      <c r="D2359" t="s">
        <v>28</v>
      </c>
      <c r="E2359" t="s">
        <v>23</v>
      </c>
      <c r="F2359" t="s">
        <v>23</v>
      </c>
      <c r="G2359" t="s">
        <v>4853</v>
      </c>
      <c r="H2359" t="str">
        <f>"94995"</f>
        <v>94995</v>
      </c>
      <c r="I2359" t="s">
        <v>232</v>
      </c>
      <c r="J2359" t="s">
        <v>258</v>
      </c>
    </row>
    <row r="2360" spans="1:15" x14ac:dyDescent="0.3">
      <c r="A2360" t="str">
        <f>"65914261"</f>
        <v>65914261</v>
      </c>
      <c r="B2360" t="s">
        <v>4854</v>
      </c>
      <c r="C2360" t="str">
        <f>"706"</f>
        <v>706</v>
      </c>
      <c r="D2360" t="s">
        <v>28</v>
      </c>
      <c r="E2360" t="s">
        <v>83</v>
      </c>
      <c r="F2360" t="s">
        <v>83</v>
      </c>
      <c r="G2360" t="s">
        <v>1572</v>
      </c>
      <c r="H2360" t="str">
        <f>"9499"</f>
        <v>9499</v>
      </c>
      <c r="I2360" t="s">
        <v>31</v>
      </c>
    </row>
    <row r="2361" spans="1:15" x14ac:dyDescent="0.3">
      <c r="A2361" t="str">
        <f>"71205349"</f>
        <v>71205349</v>
      </c>
      <c r="B2361" t="s">
        <v>4855</v>
      </c>
      <c r="C2361" t="str">
        <f>"706"</f>
        <v>706</v>
      </c>
      <c r="D2361" t="s">
        <v>28</v>
      </c>
      <c r="E2361" t="s">
        <v>23</v>
      </c>
      <c r="F2361" t="s">
        <v>87</v>
      </c>
      <c r="G2361" t="s">
        <v>4856</v>
      </c>
      <c r="H2361" t="str">
        <f>"9499"</f>
        <v>9499</v>
      </c>
      <c r="I2361" t="s">
        <v>31</v>
      </c>
    </row>
    <row r="2362" spans="1:15" x14ac:dyDescent="0.3">
      <c r="A2362" t="str">
        <f>"62831631"</f>
        <v>62831631</v>
      </c>
      <c r="B2362" t="s">
        <v>4857</v>
      </c>
      <c r="C2362" t="str">
        <f t="shared" ref="C2362:C2381" si="171">"736"</f>
        <v>736</v>
      </c>
      <c r="D2362" t="s">
        <v>22</v>
      </c>
      <c r="E2362" t="s">
        <v>52</v>
      </c>
      <c r="F2362" t="s">
        <v>113</v>
      </c>
      <c r="G2362" t="s">
        <v>4858</v>
      </c>
      <c r="H2362" t="str">
        <f>"9499"</f>
        <v>9499</v>
      </c>
      <c r="I2362" t="s">
        <v>31</v>
      </c>
    </row>
    <row r="2363" spans="1:15" x14ac:dyDescent="0.3">
      <c r="A2363" t="str">
        <f>"61703851"</f>
        <v>61703851</v>
      </c>
      <c r="B2363" t="s">
        <v>4859</v>
      </c>
      <c r="C2363" t="str">
        <f t="shared" si="171"/>
        <v>736</v>
      </c>
      <c r="D2363" t="s">
        <v>22</v>
      </c>
      <c r="E2363" t="s">
        <v>52</v>
      </c>
      <c r="F2363" t="s">
        <v>514</v>
      </c>
      <c r="G2363" t="s">
        <v>4860</v>
      </c>
      <c r="H2363" t="str">
        <f>"94993"</f>
        <v>94993</v>
      </c>
      <c r="I2363" t="s">
        <v>50</v>
      </c>
    </row>
    <row r="2364" spans="1:15" x14ac:dyDescent="0.3">
      <c r="A2364" t="str">
        <f>"71245081"</f>
        <v>71245081</v>
      </c>
      <c r="B2364" t="s">
        <v>4861</v>
      </c>
      <c r="C2364" t="str">
        <f t="shared" si="171"/>
        <v>736</v>
      </c>
      <c r="D2364" t="s">
        <v>22</v>
      </c>
      <c r="E2364" t="s">
        <v>23</v>
      </c>
      <c r="F2364" t="s">
        <v>99</v>
      </c>
      <c r="G2364" t="s">
        <v>4862</v>
      </c>
      <c r="H2364" t="str">
        <f t="shared" ref="H2364:H2372" si="172">"9499"</f>
        <v>9499</v>
      </c>
      <c r="I2364" t="s">
        <v>31</v>
      </c>
    </row>
    <row r="2365" spans="1:15" x14ac:dyDescent="0.3">
      <c r="A2365" t="str">
        <f>"61703737"</f>
        <v>61703737</v>
      </c>
      <c r="B2365" t="s">
        <v>4863</v>
      </c>
      <c r="C2365" t="str">
        <f t="shared" si="171"/>
        <v>736</v>
      </c>
      <c r="D2365" t="s">
        <v>22</v>
      </c>
      <c r="E2365" t="s">
        <v>52</v>
      </c>
      <c r="F2365" t="s">
        <v>488</v>
      </c>
      <c r="G2365" t="s">
        <v>4864</v>
      </c>
      <c r="H2365" t="str">
        <f t="shared" si="172"/>
        <v>9499</v>
      </c>
      <c r="I2365" t="s">
        <v>31</v>
      </c>
    </row>
    <row r="2366" spans="1:15" x14ac:dyDescent="0.3">
      <c r="A2366" t="str">
        <f>"62831607"</f>
        <v>62831607</v>
      </c>
      <c r="B2366" t="s">
        <v>4865</v>
      </c>
      <c r="C2366" t="str">
        <f t="shared" si="171"/>
        <v>736</v>
      </c>
      <c r="D2366" t="s">
        <v>22</v>
      </c>
      <c r="E2366" t="s">
        <v>52</v>
      </c>
      <c r="F2366" t="s">
        <v>631</v>
      </c>
      <c r="G2366" t="s">
        <v>4866</v>
      </c>
      <c r="H2366" t="str">
        <f t="shared" si="172"/>
        <v>9499</v>
      </c>
      <c r="I2366" t="s">
        <v>31</v>
      </c>
    </row>
    <row r="2367" spans="1:15" x14ac:dyDescent="0.3">
      <c r="A2367" t="str">
        <f>"70948542"</f>
        <v>70948542</v>
      </c>
      <c r="B2367" t="s">
        <v>4867</v>
      </c>
      <c r="C2367" t="str">
        <f t="shared" si="171"/>
        <v>736</v>
      </c>
      <c r="D2367" t="s">
        <v>22</v>
      </c>
      <c r="E2367" t="s">
        <v>83</v>
      </c>
      <c r="F2367" t="s">
        <v>520</v>
      </c>
      <c r="G2367" t="s">
        <v>4868</v>
      </c>
      <c r="H2367" t="str">
        <f t="shared" si="172"/>
        <v>9499</v>
      </c>
      <c r="I2367" t="s">
        <v>31</v>
      </c>
    </row>
    <row r="2368" spans="1:15" x14ac:dyDescent="0.3">
      <c r="A2368" t="str">
        <f>"47934557"</f>
        <v>47934557</v>
      </c>
      <c r="B2368" t="s">
        <v>4869</v>
      </c>
      <c r="C2368" t="str">
        <f t="shared" si="171"/>
        <v>736</v>
      </c>
      <c r="D2368" t="s">
        <v>22</v>
      </c>
      <c r="E2368" t="s">
        <v>83</v>
      </c>
      <c r="F2368" t="s">
        <v>480</v>
      </c>
      <c r="G2368" t="s">
        <v>4870</v>
      </c>
      <c r="H2368" t="str">
        <f t="shared" si="172"/>
        <v>9499</v>
      </c>
      <c r="I2368" t="s">
        <v>31</v>
      </c>
    </row>
    <row r="2369" spans="1:14" x14ac:dyDescent="0.3">
      <c r="A2369" t="str">
        <f>"63458861"</f>
        <v>63458861</v>
      </c>
      <c r="B2369" t="s">
        <v>4871</v>
      </c>
      <c r="C2369" t="str">
        <f t="shared" si="171"/>
        <v>736</v>
      </c>
      <c r="D2369" t="s">
        <v>22</v>
      </c>
      <c r="E2369" t="s">
        <v>83</v>
      </c>
      <c r="F2369" t="s">
        <v>83</v>
      </c>
      <c r="G2369" t="s">
        <v>4872</v>
      </c>
      <c r="H2369" t="str">
        <f t="shared" si="172"/>
        <v>9499</v>
      </c>
      <c r="I2369" t="s">
        <v>31</v>
      </c>
    </row>
    <row r="2370" spans="1:14" x14ac:dyDescent="0.3">
      <c r="A2370" t="str">
        <f>"63459434"</f>
        <v>63459434</v>
      </c>
      <c r="B2370" t="s">
        <v>4873</v>
      </c>
      <c r="C2370" t="str">
        <f t="shared" si="171"/>
        <v>736</v>
      </c>
      <c r="D2370" t="s">
        <v>22</v>
      </c>
      <c r="E2370" t="s">
        <v>83</v>
      </c>
      <c r="F2370" t="s">
        <v>540</v>
      </c>
      <c r="G2370" t="s">
        <v>4874</v>
      </c>
      <c r="H2370" t="str">
        <f t="shared" si="172"/>
        <v>9499</v>
      </c>
      <c r="I2370" t="s">
        <v>31</v>
      </c>
    </row>
    <row r="2371" spans="1:14" x14ac:dyDescent="0.3">
      <c r="A2371" t="str">
        <f>"63459507"</f>
        <v>63459507</v>
      </c>
      <c r="B2371" t="s">
        <v>4875</v>
      </c>
      <c r="C2371" t="str">
        <f t="shared" si="171"/>
        <v>736</v>
      </c>
      <c r="D2371" t="s">
        <v>22</v>
      </c>
      <c r="E2371" t="s">
        <v>83</v>
      </c>
      <c r="F2371" t="s">
        <v>4876</v>
      </c>
      <c r="G2371" t="s">
        <v>4877</v>
      </c>
      <c r="H2371" t="str">
        <f t="shared" si="172"/>
        <v>9499</v>
      </c>
      <c r="I2371" t="s">
        <v>31</v>
      </c>
    </row>
    <row r="2372" spans="1:14" x14ac:dyDescent="0.3">
      <c r="A2372" t="str">
        <f>"61703362"</f>
        <v>61703362</v>
      </c>
      <c r="B2372" t="s">
        <v>4878</v>
      </c>
      <c r="C2372" t="str">
        <f t="shared" si="171"/>
        <v>736</v>
      </c>
      <c r="D2372" t="s">
        <v>22</v>
      </c>
      <c r="E2372" t="s">
        <v>52</v>
      </c>
      <c r="F2372" t="s">
        <v>379</v>
      </c>
      <c r="G2372" t="s">
        <v>4879</v>
      </c>
      <c r="H2372" t="str">
        <f t="shared" si="172"/>
        <v>9499</v>
      </c>
      <c r="I2372" t="s">
        <v>31</v>
      </c>
    </row>
    <row r="2373" spans="1:14" x14ac:dyDescent="0.3">
      <c r="A2373" t="str">
        <f>"65325605"</f>
        <v>65325605</v>
      </c>
      <c r="B2373" t="s">
        <v>4880</v>
      </c>
      <c r="C2373" t="str">
        <f t="shared" si="171"/>
        <v>736</v>
      </c>
      <c r="D2373" t="s">
        <v>22</v>
      </c>
      <c r="E2373" t="s">
        <v>52</v>
      </c>
      <c r="F2373" t="s">
        <v>94</v>
      </c>
      <c r="G2373" t="s">
        <v>1915</v>
      </c>
      <c r="H2373" t="str">
        <f>"94"</f>
        <v>94</v>
      </c>
      <c r="I2373" t="s">
        <v>1016</v>
      </c>
    </row>
    <row r="2374" spans="1:14" x14ac:dyDescent="0.3">
      <c r="A2374" t="str">
        <f>"61703281"</f>
        <v>61703281</v>
      </c>
      <c r="B2374" t="s">
        <v>4881</v>
      </c>
      <c r="C2374" t="str">
        <f t="shared" si="171"/>
        <v>736</v>
      </c>
      <c r="D2374" t="s">
        <v>22</v>
      </c>
      <c r="E2374" t="s">
        <v>52</v>
      </c>
      <c r="F2374" t="s">
        <v>951</v>
      </c>
      <c r="G2374" t="s">
        <v>4882</v>
      </c>
      <c r="H2374" t="str">
        <f>"9499"</f>
        <v>9499</v>
      </c>
      <c r="I2374" t="s">
        <v>31</v>
      </c>
    </row>
    <row r="2375" spans="1:14" x14ac:dyDescent="0.3">
      <c r="A2375" t="str">
        <f>"61703346"</f>
        <v>61703346</v>
      </c>
      <c r="B2375" t="s">
        <v>4883</v>
      </c>
      <c r="C2375" t="str">
        <f t="shared" si="171"/>
        <v>736</v>
      </c>
      <c r="D2375" t="s">
        <v>22</v>
      </c>
      <c r="E2375" t="s">
        <v>52</v>
      </c>
      <c r="F2375" t="s">
        <v>2736</v>
      </c>
      <c r="G2375" t="s">
        <v>4884</v>
      </c>
      <c r="H2375" t="str">
        <f>"9499"</f>
        <v>9499</v>
      </c>
      <c r="I2375" t="s">
        <v>31</v>
      </c>
    </row>
    <row r="2376" spans="1:14" x14ac:dyDescent="0.3">
      <c r="A2376" t="str">
        <f>"47935766"</f>
        <v>47935766</v>
      </c>
      <c r="B2376" t="s">
        <v>4885</v>
      </c>
      <c r="C2376" t="str">
        <f t="shared" si="171"/>
        <v>736</v>
      </c>
      <c r="D2376" t="s">
        <v>22</v>
      </c>
      <c r="E2376" t="s">
        <v>83</v>
      </c>
      <c r="F2376" t="s">
        <v>537</v>
      </c>
      <c r="G2376" t="s">
        <v>4886</v>
      </c>
      <c r="H2376" t="str">
        <f>"9499"</f>
        <v>9499</v>
      </c>
      <c r="I2376" t="s">
        <v>31</v>
      </c>
    </row>
    <row r="2377" spans="1:14" x14ac:dyDescent="0.3">
      <c r="A2377" t="str">
        <f>"60370190"</f>
        <v>60370190</v>
      </c>
      <c r="B2377" t="s">
        <v>4887</v>
      </c>
      <c r="C2377" t="str">
        <f t="shared" si="171"/>
        <v>736</v>
      </c>
      <c r="D2377" t="s">
        <v>22</v>
      </c>
      <c r="E2377" t="s">
        <v>52</v>
      </c>
      <c r="F2377" t="s">
        <v>612</v>
      </c>
      <c r="G2377" t="s">
        <v>4231</v>
      </c>
      <c r="H2377" t="str">
        <f>"9499"</f>
        <v>9499</v>
      </c>
      <c r="I2377" t="s">
        <v>31</v>
      </c>
    </row>
    <row r="2378" spans="1:14" x14ac:dyDescent="0.3">
      <c r="A2378" t="str">
        <f>"62182641"</f>
        <v>62182641</v>
      </c>
      <c r="B2378" t="s">
        <v>4888</v>
      </c>
      <c r="C2378" t="str">
        <f t="shared" si="171"/>
        <v>736</v>
      </c>
      <c r="D2378" t="s">
        <v>22</v>
      </c>
      <c r="E2378" t="s">
        <v>23</v>
      </c>
      <c r="F2378" t="s">
        <v>141</v>
      </c>
      <c r="G2378" t="s">
        <v>4889</v>
      </c>
      <c r="H2378" t="str">
        <f>"9499"</f>
        <v>9499</v>
      </c>
      <c r="I2378" t="s">
        <v>31</v>
      </c>
    </row>
    <row r="2379" spans="1:14" x14ac:dyDescent="0.3">
      <c r="A2379" t="str">
        <f>"65822838"</f>
        <v>65822838</v>
      </c>
      <c r="B2379" t="s">
        <v>4890</v>
      </c>
      <c r="C2379" t="str">
        <f t="shared" si="171"/>
        <v>736</v>
      </c>
      <c r="D2379" t="s">
        <v>22</v>
      </c>
      <c r="E2379" t="s">
        <v>23</v>
      </c>
      <c r="F2379" t="s">
        <v>4891</v>
      </c>
      <c r="G2379" t="s">
        <v>4892</v>
      </c>
      <c r="H2379" t="str">
        <f>"93290"</f>
        <v>93290</v>
      </c>
      <c r="I2379" t="s">
        <v>126</v>
      </c>
    </row>
    <row r="2380" spans="1:14" x14ac:dyDescent="0.3">
      <c r="A2380" t="str">
        <f>"72533757"</f>
        <v>72533757</v>
      </c>
      <c r="B2380" t="s">
        <v>4893</v>
      </c>
      <c r="C2380" t="str">
        <f t="shared" si="171"/>
        <v>736</v>
      </c>
      <c r="D2380" t="s">
        <v>22</v>
      </c>
      <c r="E2380" t="s">
        <v>52</v>
      </c>
      <c r="F2380" t="s">
        <v>80</v>
      </c>
      <c r="G2380" t="s">
        <v>4894</v>
      </c>
      <c r="H2380" t="str">
        <f>"9499"</f>
        <v>9499</v>
      </c>
      <c r="I2380" t="s">
        <v>31</v>
      </c>
    </row>
    <row r="2381" spans="1:14" x14ac:dyDescent="0.3">
      <c r="A2381" t="str">
        <f>"67027946"</f>
        <v>67027946</v>
      </c>
      <c r="B2381" t="s">
        <v>4895</v>
      </c>
      <c r="C2381" t="str">
        <f t="shared" si="171"/>
        <v>736</v>
      </c>
      <c r="D2381" t="s">
        <v>22</v>
      </c>
      <c r="E2381" t="s">
        <v>23</v>
      </c>
      <c r="F2381" t="s">
        <v>24</v>
      </c>
      <c r="G2381" t="s">
        <v>4896</v>
      </c>
      <c r="H2381" t="str">
        <f>"9499"</f>
        <v>9499</v>
      </c>
      <c r="I2381" t="s">
        <v>31</v>
      </c>
    </row>
    <row r="2382" spans="1:14" x14ac:dyDescent="0.3">
      <c r="A2382" t="str">
        <f>"22608974"</f>
        <v>22608974</v>
      </c>
      <c r="B2382" t="s">
        <v>4897</v>
      </c>
      <c r="C2382" t="str">
        <f>"706"</f>
        <v>706</v>
      </c>
      <c r="D2382" t="s">
        <v>28</v>
      </c>
      <c r="E2382" t="s">
        <v>52</v>
      </c>
      <c r="F2382" t="s">
        <v>612</v>
      </c>
      <c r="G2382" t="s">
        <v>4898</v>
      </c>
      <c r="H2382" t="str">
        <f>"94993"</f>
        <v>94993</v>
      </c>
      <c r="I2382" t="s">
        <v>50</v>
      </c>
    </row>
    <row r="2383" spans="1:14" x14ac:dyDescent="0.3">
      <c r="A2383" t="str">
        <f>"22887172"</f>
        <v>22887172</v>
      </c>
      <c r="B2383" t="s">
        <v>4899</v>
      </c>
      <c r="C2383" t="str">
        <f>"706"</f>
        <v>706</v>
      </c>
      <c r="D2383" t="s">
        <v>28</v>
      </c>
      <c r="E2383" t="s">
        <v>23</v>
      </c>
      <c r="F2383" t="s">
        <v>24</v>
      </c>
      <c r="G2383" t="s">
        <v>4900</v>
      </c>
      <c r="H2383" t="str">
        <f>"9499"</f>
        <v>9499</v>
      </c>
      <c r="I2383" t="s">
        <v>31</v>
      </c>
    </row>
    <row r="2384" spans="1:14" x14ac:dyDescent="0.3">
      <c r="A2384" t="str">
        <f>"22875611"</f>
        <v>22875611</v>
      </c>
      <c r="B2384" t="s">
        <v>4901</v>
      </c>
      <c r="C2384" t="str">
        <f>"706"</f>
        <v>706</v>
      </c>
      <c r="D2384" t="s">
        <v>28</v>
      </c>
      <c r="E2384" t="s">
        <v>52</v>
      </c>
      <c r="F2384" t="s">
        <v>234</v>
      </c>
      <c r="G2384" t="s">
        <v>1414</v>
      </c>
      <c r="H2384" t="str">
        <f>"9499"</f>
        <v>9499</v>
      </c>
      <c r="I2384" t="s">
        <v>31</v>
      </c>
      <c r="J2384" t="s">
        <v>4902</v>
      </c>
      <c r="K2384" t="s">
        <v>312</v>
      </c>
      <c r="L2384" t="s">
        <v>159</v>
      </c>
      <c r="M2384" t="s">
        <v>146</v>
      </c>
      <c r="N2384" t="s">
        <v>160</v>
      </c>
    </row>
    <row r="2385" spans="1:9" x14ac:dyDescent="0.3">
      <c r="A2385" t="str">
        <f>"19083769"</f>
        <v>19083769</v>
      </c>
      <c r="B2385" t="s">
        <v>4903</v>
      </c>
      <c r="C2385" t="str">
        <f>"706"</f>
        <v>706</v>
      </c>
      <c r="D2385" t="s">
        <v>28</v>
      </c>
      <c r="E2385" t="s">
        <v>83</v>
      </c>
      <c r="F2385" t="s">
        <v>2795</v>
      </c>
      <c r="G2385" t="s">
        <v>4904</v>
      </c>
      <c r="H2385" t="str">
        <f>"01700"</f>
        <v>01700</v>
      </c>
      <c r="I2385" t="s">
        <v>1501</v>
      </c>
    </row>
    <row r="2386" spans="1:9" x14ac:dyDescent="0.3">
      <c r="A2386" t="str">
        <f>"45211400"</f>
        <v>45211400</v>
      </c>
      <c r="B2386" t="s">
        <v>4905</v>
      </c>
      <c r="C2386" t="str">
        <f>"706"</f>
        <v>706</v>
      </c>
      <c r="D2386" t="s">
        <v>28</v>
      </c>
      <c r="E2386" t="s">
        <v>29</v>
      </c>
      <c r="F2386" t="s">
        <v>3236</v>
      </c>
      <c r="G2386" t="s">
        <v>4906</v>
      </c>
      <c r="H2386" t="str">
        <f>"01700"</f>
        <v>01700</v>
      </c>
      <c r="I2386" t="s">
        <v>1501</v>
      </c>
    </row>
    <row r="2387" spans="1:9" x14ac:dyDescent="0.3">
      <c r="A2387" t="str">
        <f>"00546721"</f>
        <v>00546721</v>
      </c>
      <c r="B2387" t="s">
        <v>4907</v>
      </c>
      <c r="C2387" t="str">
        <f t="shared" ref="C2387:C2406" si="173">"736"</f>
        <v>736</v>
      </c>
      <c r="D2387" t="s">
        <v>22</v>
      </c>
      <c r="E2387" t="s">
        <v>52</v>
      </c>
      <c r="F2387" t="s">
        <v>612</v>
      </c>
      <c r="G2387" t="s">
        <v>4908</v>
      </c>
      <c r="H2387" t="str">
        <f>"9499"</f>
        <v>9499</v>
      </c>
      <c r="I2387" t="s">
        <v>31</v>
      </c>
    </row>
    <row r="2388" spans="1:9" x14ac:dyDescent="0.3">
      <c r="A2388" t="str">
        <f>"60382813"</f>
        <v>60382813</v>
      </c>
      <c r="B2388" t="s">
        <v>4909</v>
      </c>
      <c r="C2388" t="str">
        <f t="shared" si="173"/>
        <v>736</v>
      </c>
      <c r="D2388" t="s">
        <v>22</v>
      </c>
      <c r="E2388" t="s">
        <v>83</v>
      </c>
      <c r="F2388" t="s">
        <v>175</v>
      </c>
      <c r="G2388" t="s">
        <v>1341</v>
      </c>
      <c r="H2388" t="str">
        <f>"9499"</f>
        <v>9499</v>
      </c>
      <c r="I2388" t="s">
        <v>31</v>
      </c>
    </row>
    <row r="2389" spans="1:9" x14ac:dyDescent="0.3">
      <c r="A2389" t="str">
        <f>"00547981"</f>
        <v>00547981</v>
      </c>
      <c r="B2389" t="s">
        <v>4910</v>
      </c>
      <c r="C2389" t="str">
        <f t="shared" si="173"/>
        <v>736</v>
      </c>
      <c r="D2389" t="s">
        <v>22</v>
      </c>
      <c r="E2389" t="s">
        <v>83</v>
      </c>
      <c r="F2389" t="s">
        <v>480</v>
      </c>
      <c r="G2389" t="s">
        <v>4911</v>
      </c>
      <c r="H2389" t="str">
        <f>"9499"</f>
        <v>9499</v>
      </c>
      <c r="I2389" t="s">
        <v>31</v>
      </c>
    </row>
    <row r="2390" spans="1:9" x14ac:dyDescent="0.3">
      <c r="A2390" t="str">
        <f>"60575875"</f>
        <v>60575875</v>
      </c>
      <c r="B2390" t="s">
        <v>4912</v>
      </c>
      <c r="C2390" t="str">
        <f t="shared" si="173"/>
        <v>736</v>
      </c>
      <c r="D2390" t="s">
        <v>22</v>
      </c>
      <c r="E2390" t="s">
        <v>52</v>
      </c>
      <c r="F2390" t="s">
        <v>65</v>
      </c>
      <c r="G2390" t="s">
        <v>4913</v>
      </c>
      <c r="H2390" t="str">
        <f>"9499"</f>
        <v>9499</v>
      </c>
      <c r="I2390" t="s">
        <v>31</v>
      </c>
    </row>
    <row r="2391" spans="1:9" x14ac:dyDescent="0.3">
      <c r="A2391" t="str">
        <f>"00547964"</f>
        <v>00547964</v>
      </c>
      <c r="B2391" t="s">
        <v>4914</v>
      </c>
      <c r="C2391" t="str">
        <f t="shared" si="173"/>
        <v>736</v>
      </c>
      <c r="D2391" t="s">
        <v>22</v>
      </c>
      <c r="E2391" t="s">
        <v>83</v>
      </c>
      <c r="F2391" t="s">
        <v>183</v>
      </c>
      <c r="G2391" t="s">
        <v>4098</v>
      </c>
      <c r="H2391" t="str">
        <f>"94993"</f>
        <v>94993</v>
      </c>
      <c r="I2391" t="s">
        <v>50</v>
      </c>
    </row>
    <row r="2392" spans="1:9" x14ac:dyDescent="0.3">
      <c r="A2392" t="str">
        <f>"75011379"</f>
        <v>75011379</v>
      </c>
      <c r="B2392" t="s">
        <v>4915</v>
      </c>
      <c r="C2392" t="str">
        <f t="shared" si="173"/>
        <v>736</v>
      </c>
      <c r="D2392" t="s">
        <v>22</v>
      </c>
      <c r="E2392" t="s">
        <v>52</v>
      </c>
      <c r="F2392" t="s">
        <v>1625</v>
      </c>
      <c r="G2392" t="s">
        <v>4916</v>
      </c>
      <c r="H2392" t="str">
        <f t="shared" ref="H2392:H2397" si="174">"9499"</f>
        <v>9499</v>
      </c>
      <c r="I2392" t="s">
        <v>31</v>
      </c>
    </row>
    <row r="2393" spans="1:9" x14ac:dyDescent="0.3">
      <c r="A2393" t="str">
        <f>"00548073"</f>
        <v>00548073</v>
      </c>
      <c r="B2393" t="s">
        <v>4917</v>
      </c>
      <c r="C2393" t="str">
        <f t="shared" si="173"/>
        <v>736</v>
      </c>
      <c r="D2393" t="s">
        <v>22</v>
      </c>
      <c r="E2393" t="s">
        <v>83</v>
      </c>
      <c r="F2393" t="s">
        <v>83</v>
      </c>
      <c r="G2393" t="s">
        <v>4918</v>
      </c>
      <c r="H2393" t="str">
        <f t="shared" si="174"/>
        <v>9499</v>
      </c>
      <c r="I2393" t="s">
        <v>31</v>
      </c>
    </row>
    <row r="2394" spans="1:9" x14ac:dyDescent="0.3">
      <c r="A2394" t="str">
        <f>"00548081"</f>
        <v>00548081</v>
      </c>
      <c r="B2394" t="s">
        <v>4919</v>
      </c>
      <c r="C2394" t="str">
        <f t="shared" si="173"/>
        <v>736</v>
      </c>
      <c r="D2394" t="s">
        <v>22</v>
      </c>
      <c r="E2394" t="s">
        <v>52</v>
      </c>
      <c r="F2394" t="s">
        <v>234</v>
      </c>
      <c r="G2394" t="s">
        <v>4920</v>
      </c>
      <c r="H2394" t="str">
        <f t="shared" si="174"/>
        <v>9499</v>
      </c>
      <c r="I2394" t="s">
        <v>31</v>
      </c>
    </row>
    <row r="2395" spans="1:9" x14ac:dyDescent="0.3">
      <c r="A2395" t="str">
        <f>"60575565"</f>
        <v>60575565</v>
      </c>
      <c r="B2395" t="s">
        <v>4921</v>
      </c>
      <c r="C2395" t="str">
        <f t="shared" si="173"/>
        <v>736</v>
      </c>
      <c r="D2395" t="s">
        <v>22</v>
      </c>
      <c r="E2395" t="s">
        <v>83</v>
      </c>
      <c r="F2395" t="s">
        <v>409</v>
      </c>
      <c r="G2395" t="s">
        <v>4922</v>
      </c>
      <c r="H2395" t="str">
        <f t="shared" si="174"/>
        <v>9499</v>
      </c>
      <c r="I2395" t="s">
        <v>31</v>
      </c>
    </row>
    <row r="2396" spans="1:9" x14ac:dyDescent="0.3">
      <c r="A2396" t="str">
        <f>"00548154"</f>
        <v>00548154</v>
      </c>
      <c r="B2396" t="s">
        <v>4923</v>
      </c>
      <c r="C2396" t="str">
        <f t="shared" si="173"/>
        <v>736</v>
      </c>
      <c r="D2396" t="s">
        <v>22</v>
      </c>
      <c r="E2396" t="s">
        <v>52</v>
      </c>
      <c r="F2396" t="s">
        <v>73</v>
      </c>
      <c r="G2396" t="s">
        <v>4924</v>
      </c>
      <c r="H2396" t="str">
        <f t="shared" si="174"/>
        <v>9499</v>
      </c>
      <c r="I2396" t="s">
        <v>31</v>
      </c>
    </row>
    <row r="2397" spans="1:9" x14ac:dyDescent="0.3">
      <c r="A2397" t="str">
        <f>"00548065"</f>
        <v>00548065</v>
      </c>
      <c r="B2397" t="s">
        <v>4925</v>
      </c>
      <c r="C2397" t="str">
        <f t="shared" si="173"/>
        <v>736</v>
      </c>
      <c r="D2397" t="s">
        <v>22</v>
      </c>
      <c r="E2397" t="s">
        <v>52</v>
      </c>
      <c r="F2397" t="s">
        <v>1027</v>
      </c>
      <c r="G2397" t="s">
        <v>2108</v>
      </c>
      <c r="H2397" t="str">
        <f t="shared" si="174"/>
        <v>9499</v>
      </c>
      <c r="I2397" t="s">
        <v>31</v>
      </c>
    </row>
    <row r="2398" spans="1:9" x14ac:dyDescent="0.3">
      <c r="A2398" t="str">
        <f>"00547042"</f>
        <v>00547042</v>
      </c>
      <c r="B2398" t="s">
        <v>4926</v>
      </c>
      <c r="C2398" t="str">
        <f t="shared" si="173"/>
        <v>736</v>
      </c>
      <c r="D2398" t="s">
        <v>22</v>
      </c>
      <c r="E2398" t="s">
        <v>23</v>
      </c>
      <c r="F2398" t="s">
        <v>24</v>
      </c>
      <c r="G2398" t="s">
        <v>4927</v>
      </c>
      <c r="H2398" t="str">
        <f>"94993"</f>
        <v>94993</v>
      </c>
      <c r="I2398" t="s">
        <v>50</v>
      </c>
    </row>
    <row r="2399" spans="1:9" x14ac:dyDescent="0.3">
      <c r="A2399" t="str">
        <f>"65792335"</f>
        <v>65792335</v>
      </c>
      <c r="B2399" t="s">
        <v>4928</v>
      </c>
      <c r="C2399" t="str">
        <f t="shared" si="173"/>
        <v>736</v>
      </c>
      <c r="D2399" t="s">
        <v>22</v>
      </c>
      <c r="E2399" t="s">
        <v>23</v>
      </c>
      <c r="F2399" t="s">
        <v>3995</v>
      </c>
      <c r="G2399" t="s">
        <v>3996</v>
      </c>
      <c r="H2399" t="str">
        <f>"9499"</f>
        <v>9499</v>
      </c>
      <c r="I2399" t="s">
        <v>31</v>
      </c>
    </row>
    <row r="2400" spans="1:9" x14ac:dyDescent="0.3">
      <c r="A2400" t="str">
        <f>"00557242"</f>
        <v>00557242</v>
      </c>
      <c r="B2400" t="s">
        <v>4929</v>
      </c>
      <c r="C2400" t="str">
        <f t="shared" si="173"/>
        <v>736</v>
      </c>
      <c r="D2400" t="s">
        <v>22</v>
      </c>
      <c r="E2400" t="s">
        <v>23</v>
      </c>
      <c r="F2400" t="s">
        <v>350</v>
      </c>
      <c r="G2400" t="s">
        <v>437</v>
      </c>
      <c r="H2400" t="str">
        <f>"9499"</f>
        <v>9499</v>
      </c>
      <c r="I2400" t="s">
        <v>31</v>
      </c>
    </row>
    <row r="2401" spans="1:10" x14ac:dyDescent="0.3">
      <c r="A2401" t="str">
        <f>"00557269"</f>
        <v>00557269</v>
      </c>
      <c r="B2401" t="s">
        <v>4930</v>
      </c>
      <c r="C2401" t="str">
        <f t="shared" si="173"/>
        <v>736</v>
      </c>
      <c r="D2401" t="s">
        <v>22</v>
      </c>
      <c r="E2401" t="s">
        <v>52</v>
      </c>
      <c r="F2401" t="s">
        <v>379</v>
      </c>
      <c r="G2401" t="s">
        <v>4931</v>
      </c>
      <c r="H2401" t="str">
        <f>"94993"</f>
        <v>94993</v>
      </c>
      <c r="I2401" t="s">
        <v>50</v>
      </c>
    </row>
    <row r="2402" spans="1:10" x14ac:dyDescent="0.3">
      <c r="A2402" t="str">
        <f>"00557323"</f>
        <v>00557323</v>
      </c>
      <c r="B2402" t="s">
        <v>4932</v>
      </c>
      <c r="C2402" t="str">
        <f t="shared" si="173"/>
        <v>736</v>
      </c>
      <c r="D2402" t="s">
        <v>22</v>
      </c>
      <c r="E2402" t="s">
        <v>52</v>
      </c>
      <c r="F2402" t="s">
        <v>52</v>
      </c>
      <c r="G2402" t="s">
        <v>4933</v>
      </c>
      <c r="H2402" t="str">
        <f t="shared" ref="H2402:H2407" si="175">"9499"</f>
        <v>9499</v>
      </c>
      <c r="I2402" t="s">
        <v>31</v>
      </c>
    </row>
    <row r="2403" spans="1:10" x14ac:dyDescent="0.3">
      <c r="A2403" t="str">
        <f>"00557331"</f>
        <v>00557331</v>
      </c>
      <c r="B2403" t="s">
        <v>4934</v>
      </c>
      <c r="C2403" t="str">
        <f t="shared" si="173"/>
        <v>736</v>
      </c>
      <c r="D2403" t="s">
        <v>22</v>
      </c>
      <c r="E2403" t="s">
        <v>52</v>
      </c>
      <c r="F2403" t="s">
        <v>113</v>
      </c>
      <c r="G2403" t="s">
        <v>4935</v>
      </c>
      <c r="H2403" t="str">
        <f t="shared" si="175"/>
        <v>9499</v>
      </c>
      <c r="I2403" t="s">
        <v>31</v>
      </c>
    </row>
    <row r="2404" spans="1:10" x14ac:dyDescent="0.3">
      <c r="A2404" t="str">
        <f>"00557340"</f>
        <v>00557340</v>
      </c>
      <c r="B2404" t="s">
        <v>4936</v>
      </c>
      <c r="C2404" t="str">
        <f t="shared" si="173"/>
        <v>736</v>
      </c>
      <c r="D2404" t="s">
        <v>22</v>
      </c>
      <c r="E2404" t="s">
        <v>52</v>
      </c>
      <c r="F2404" t="s">
        <v>94</v>
      </c>
      <c r="G2404" t="s">
        <v>4937</v>
      </c>
      <c r="H2404" t="str">
        <f t="shared" si="175"/>
        <v>9499</v>
      </c>
      <c r="I2404" t="s">
        <v>31</v>
      </c>
    </row>
    <row r="2405" spans="1:10" x14ac:dyDescent="0.3">
      <c r="A2405" t="str">
        <f>"00547956"</f>
        <v>00547956</v>
      </c>
      <c r="B2405" t="s">
        <v>4938</v>
      </c>
      <c r="C2405" t="str">
        <f t="shared" si="173"/>
        <v>736</v>
      </c>
      <c r="D2405" t="s">
        <v>22</v>
      </c>
      <c r="E2405" t="s">
        <v>23</v>
      </c>
      <c r="F2405" t="s">
        <v>23</v>
      </c>
      <c r="G2405" t="s">
        <v>3359</v>
      </c>
      <c r="H2405" t="str">
        <f t="shared" si="175"/>
        <v>9499</v>
      </c>
      <c r="I2405" t="s">
        <v>31</v>
      </c>
    </row>
    <row r="2406" spans="1:10" x14ac:dyDescent="0.3">
      <c r="A2406" t="str">
        <f>"00547034"</f>
        <v>00547034</v>
      </c>
      <c r="B2406" t="s">
        <v>4939</v>
      </c>
      <c r="C2406" t="str">
        <f t="shared" si="173"/>
        <v>736</v>
      </c>
      <c r="D2406" t="s">
        <v>22</v>
      </c>
      <c r="E2406" t="s">
        <v>23</v>
      </c>
      <c r="F2406" t="s">
        <v>141</v>
      </c>
      <c r="G2406" t="s">
        <v>4940</v>
      </c>
      <c r="H2406" t="str">
        <f t="shared" si="175"/>
        <v>9499</v>
      </c>
      <c r="I2406" t="s">
        <v>31</v>
      </c>
    </row>
    <row r="2407" spans="1:10" x14ac:dyDescent="0.3">
      <c r="A2407" t="str">
        <f>"22737014"</f>
        <v>22737014</v>
      </c>
      <c r="B2407" t="s">
        <v>4941</v>
      </c>
      <c r="C2407" t="str">
        <f t="shared" ref="C2407:C2413" si="176">"706"</f>
        <v>706</v>
      </c>
      <c r="D2407" t="s">
        <v>28</v>
      </c>
      <c r="E2407" t="s">
        <v>23</v>
      </c>
      <c r="F2407" t="s">
        <v>23</v>
      </c>
      <c r="G2407" t="s">
        <v>4942</v>
      </c>
      <c r="H2407" t="str">
        <f t="shared" si="175"/>
        <v>9499</v>
      </c>
      <c r="I2407" t="s">
        <v>31</v>
      </c>
    </row>
    <row r="2408" spans="1:10" x14ac:dyDescent="0.3">
      <c r="A2408" t="str">
        <f>"06668721"</f>
        <v>06668721</v>
      </c>
      <c r="B2408" t="s">
        <v>4943</v>
      </c>
      <c r="C2408" t="str">
        <f t="shared" si="176"/>
        <v>706</v>
      </c>
      <c r="D2408" t="s">
        <v>28</v>
      </c>
      <c r="E2408" t="s">
        <v>23</v>
      </c>
      <c r="F2408" t="s">
        <v>68</v>
      </c>
      <c r="G2408" t="s">
        <v>3384</v>
      </c>
      <c r="H2408" t="str">
        <f>"93190"</f>
        <v>93190</v>
      </c>
      <c r="I2408" t="s">
        <v>59</v>
      </c>
    </row>
    <row r="2409" spans="1:10" x14ac:dyDescent="0.3">
      <c r="A2409" t="str">
        <f>"70870616"</f>
        <v>70870616</v>
      </c>
      <c r="B2409" t="s">
        <v>4944</v>
      </c>
      <c r="C2409" t="str">
        <f t="shared" si="176"/>
        <v>706</v>
      </c>
      <c r="D2409" t="s">
        <v>28</v>
      </c>
      <c r="E2409" t="s">
        <v>83</v>
      </c>
      <c r="F2409" t="s">
        <v>83</v>
      </c>
      <c r="G2409" t="s">
        <v>4945</v>
      </c>
      <c r="H2409" t="str">
        <f>"9499"</f>
        <v>9499</v>
      </c>
      <c r="I2409" t="s">
        <v>31</v>
      </c>
    </row>
    <row r="2410" spans="1:10" x14ac:dyDescent="0.3">
      <c r="A2410" t="str">
        <f>"68727160"</f>
        <v>68727160</v>
      </c>
      <c r="B2410" t="s">
        <v>4946</v>
      </c>
      <c r="C2410" t="str">
        <f t="shared" si="176"/>
        <v>706</v>
      </c>
      <c r="D2410" t="s">
        <v>28</v>
      </c>
      <c r="E2410" t="s">
        <v>52</v>
      </c>
      <c r="F2410" t="s">
        <v>234</v>
      </c>
      <c r="G2410" t="s">
        <v>4947</v>
      </c>
      <c r="H2410" t="str">
        <f>"94991"</f>
        <v>94991</v>
      </c>
      <c r="I2410" t="s">
        <v>433</v>
      </c>
    </row>
    <row r="2411" spans="1:10" x14ac:dyDescent="0.3">
      <c r="A2411" t="str">
        <f>"17367808"</f>
        <v>17367808</v>
      </c>
      <c r="B2411" t="s">
        <v>4948</v>
      </c>
      <c r="C2411" t="str">
        <f t="shared" si="176"/>
        <v>706</v>
      </c>
      <c r="D2411" t="s">
        <v>28</v>
      </c>
      <c r="E2411" t="s">
        <v>29</v>
      </c>
      <c r="F2411" t="s">
        <v>38</v>
      </c>
      <c r="G2411" t="s">
        <v>4949</v>
      </c>
      <c r="H2411" t="str">
        <f>"9499"</f>
        <v>9499</v>
      </c>
      <c r="I2411" t="s">
        <v>31</v>
      </c>
    </row>
    <row r="2412" spans="1:10" x14ac:dyDescent="0.3">
      <c r="A2412" t="str">
        <f>"07715102"</f>
        <v>07715102</v>
      </c>
      <c r="B2412" t="s">
        <v>4950</v>
      </c>
      <c r="C2412" t="str">
        <f t="shared" si="176"/>
        <v>706</v>
      </c>
      <c r="D2412" t="s">
        <v>28</v>
      </c>
      <c r="E2412" t="s">
        <v>83</v>
      </c>
      <c r="F2412" t="s">
        <v>130</v>
      </c>
      <c r="G2412" t="s">
        <v>4951</v>
      </c>
      <c r="H2412" t="str">
        <f>"9499"</f>
        <v>9499</v>
      </c>
      <c r="I2412" t="s">
        <v>31</v>
      </c>
    </row>
    <row r="2413" spans="1:10" x14ac:dyDescent="0.3">
      <c r="A2413" t="str">
        <f>"22675027"</f>
        <v>22675027</v>
      </c>
      <c r="B2413" t="s">
        <v>4952</v>
      </c>
      <c r="C2413" t="str">
        <f t="shared" si="176"/>
        <v>706</v>
      </c>
      <c r="D2413" t="s">
        <v>28</v>
      </c>
      <c r="E2413" t="s">
        <v>83</v>
      </c>
      <c r="F2413" t="s">
        <v>130</v>
      </c>
      <c r="G2413" t="s">
        <v>1672</v>
      </c>
      <c r="H2413" t="str">
        <f>"90010"</f>
        <v>90010</v>
      </c>
      <c r="I2413" t="s">
        <v>2014</v>
      </c>
    </row>
    <row r="2414" spans="1:10" x14ac:dyDescent="0.3">
      <c r="A2414" t="str">
        <f>"11637544"</f>
        <v>11637544</v>
      </c>
      <c r="B2414" t="s">
        <v>4953</v>
      </c>
      <c r="C2414" t="str">
        <f>"161"</f>
        <v>161</v>
      </c>
      <c r="D2414" t="s">
        <v>152</v>
      </c>
      <c r="E2414" t="s">
        <v>23</v>
      </c>
      <c r="F2414" t="s">
        <v>23</v>
      </c>
      <c r="G2414" t="s">
        <v>4954</v>
      </c>
      <c r="H2414" t="str">
        <f>"8810"</f>
        <v>8810</v>
      </c>
      <c r="I2414" t="s">
        <v>1134</v>
      </c>
      <c r="J2414" t="s">
        <v>40</v>
      </c>
    </row>
    <row r="2415" spans="1:10" x14ac:dyDescent="0.3">
      <c r="A2415" t="str">
        <f>"22900144"</f>
        <v>22900144</v>
      </c>
      <c r="B2415" t="s">
        <v>4955</v>
      </c>
      <c r="C2415" t="str">
        <f>"706"</f>
        <v>706</v>
      </c>
      <c r="D2415" t="s">
        <v>28</v>
      </c>
      <c r="E2415" t="s">
        <v>52</v>
      </c>
      <c r="F2415" t="s">
        <v>514</v>
      </c>
      <c r="G2415" t="s">
        <v>4956</v>
      </c>
      <c r="H2415" t="str">
        <f>"94993"</f>
        <v>94993</v>
      </c>
      <c r="I2415" t="s">
        <v>50</v>
      </c>
    </row>
    <row r="2416" spans="1:10" x14ac:dyDescent="0.3">
      <c r="A2416" t="str">
        <f>"62182595"</f>
        <v>62182595</v>
      </c>
      <c r="B2416" t="s">
        <v>4957</v>
      </c>
      <c r="C2416" t="str">
        <f>"736"</f>
        <v>736</v>
      </c>
      <c r="D2416" t="s">
        <v>22</v>
      </c>
      <c r="E2416" t="s">
        <v>23</v>
      </c>
      <c r="F2416" t="s">
        <v>141</v>
      </c>
      <c r="G2416" t="s">
        <v>4958</v>
      </c>
      <c r="H2416" t="str">
        <f>"93120"</f>
        <v>93120</v>
      </c>
      <c r="I2416" t="s">
        <v>54</v>
      </c>
    </row>
    <row r="2417" spans="1:10" x14ac:dyDescent="0.3">
      <c r="A2417" t="str">
        <f>"70238618"</f>
        <v>70238618</v>
      </c>
      <c r="B2417" t="s">
        <v>4959</v>
      </c>
      <c r="C2417" t="str">
        <f>"736"</f>
        <v>736</v>
      </c>
      <c r="D2417" t="s">
        <v>22</v>
      </c>
      <c r="E2417" t="s">
        <v>29</v>
      </c>
      <c r="F2417" t="s">
        <v>195</v>
      </c>
      <c r="G2417" t="s">
        <v>4960</v>
      </c>
      <c r="H2417" t="str">
        <f>"9499"</f>
        <v>9499</v>
      </c>
      <c r="I2417" t="s">
        <v>31</v>
      </c>
      <c r="J2417" t="s">
        <v>54</v>
      </c>
    </row>
    <row r="2418" spans="1:10" x14ac:dyDescent="0.3">
      <c r="A2418" t="str">
        <f>"01171844"</f>
        <v>01171844</v>
      </c>
      <c r="B2418" t="s">
        <v>4961</v>
      </c>
      <c r="C2418" t="str">
        <f>"736"</f>
        <v>736</v>
      </c>
      <c r="D2418" t="s">
        <v>22</v>
      </c>
      <c r="E2418" t="s">
        <v>52</v>
      </c>
      <c r="F2418" t="s">
        <v>379</v>
      </c>
      <c r="G2418" t="s">
        <v>4962</v>
      </c>
      <c r="H2418" t="str">
        <f>"94993"</f>
        <v>94993</v>
      </c>
      <c r="I2418" t="s">
        <v>50</v>
      </c>
    </row>
    <row r="2419" spans="1:10" x14ac:dyDescent="0.3">
      <c r="A2419" t="str">
        <f>"23163739"</f>
        <v>23163739</v>
      </c>
      <c r="B2419" t="s">
        <v>4963</v>
      </c>
      <c r="C2419" t="str">
        <f>"706"</f>
        <v>706</v>
      </c>
      <c r="D2419" t="s">
        <v>28</v>
      </c>
      <c r="E2419" t="s">
        <v>52</v>
      </c>
      <c r="F2419" t="s">
        <v>2736</v>
      </c>
      <c r="G2419" t="s">
        <v>4964</v>
      </c>
      <c r="H2419" t="str">
        <f>"94993"</f>
        <v>94993</v>
      </c>
      <c r="I2419" t="s">
        <v>50</v>
      </c>
    </row>
    <row r="2420" spans="1:10" x14ac:dyDescent="0.3">
      <c r="A2420" t="str">
        <f>"62182552"</f>
        <v>62182552</v>
      </c>
      <c r="B2420" t="s">
        <v>4965</v>
      </c>
      <c r="C2420" t="str">
        <f>"736"</f>
        <v>736</v>
      </c>
      <c r="D2420" t="s">
        <v>22</v>
      </c>
      <c r="E2420" t="s">
        <v>23</v>
      </c>
      <c r="F2420" t="s">
        <v>87</v>
      </c>
      <c r="G2420" t="s">
        <v>4966</v>
      </c>
      <c r="H2420" t="str">
        <f>"9499"</f>
        <v>9499</v>
      </c>
      <c r="I2420" t="s">
        <v>31</v>
      </c>
    </row>
    <row r="2421" spans="1:10" x14ac:dyDescent="0.3">
      <c r="A2421" t="str">
        <f>"22848258"</f>
        <v>22848258</v>
      </c>
      <c r="B2421" t="s">
        <v>4967</v>
      </c>
      <c r="C2421" t="str">
        <f>"706"</f>
        <v>706</v>
      </c>
      <c r="D2421" t="s">
        <v>28</v>
      </c>
      <c r="E2421" t="s">
        <v>29</v>
      </c>
      <c r="F2421" t="s">
        <v>607</v>
      </c>
      <c r="G2421" t="s">
        <v>4968</v>
      </c>
      <c r="H2421" t="str">
        <f>"94993"</f>
        <v>94993</v>
      </c>
      <c r="I2421" t="s">
        <v>50</v>
      </c>
    </row>
    <row r="2422" spans="1:10" x14ac:dyDescent="0.3">
      <c r="A2422" t="str">
        <f>"01599119"</f>
        <v>01599119</v>
      </c>
      <c r="B2422" t="s">
        <v>4969</v>
      </c>
      <c r="C2422" t="str">
        <f>"706"</f>
        <v>706</v>
      </c>
      <c r="D2422" t="s">
        <v>28</v>
      </c>
      <c r="E2422" t="s">
        <v>29</v>
      </c>
      <c r="F2422" t="s">
        <v>271</v>
      </c>
      <c r="G2422" t="s">
        <v>1660</v>
      </c>
      <c r="H2422" t="str">
        <f>"94993"</f>
        <v>94993</v>
      </c>
      <c r="I2422" t="s">
        <v>50</v>
      </c>
    </row>
    <row r="2423" spans="1:10" x14ac:dyDescent="0.3">
      <c r="A2423" t="str">
        <f>"09888918"</f>
        <v>09888918</v>
      </c>
      <c r="B2423" t="s">
        <v>4970</v>
      </c>
      <c r="C2423" t="str">
        <f>"706"</f>
        <v>706</v>
      </c>
      <c r="D2423" t="s">
        <v>28</v>
      </c>
      <c r="E2423" t="s">
        <v>52</v>
      </c>
      <c r="F2423" t="s">
        <v>379</v>
      </c>
      <c r="G2423" t="s">
        <v>4971</v>
      </c>
      <c r="H2423" t="str">
        <f>"94993"</f>
        <v>94993</v>
      </c>
      <c r="I2423" t="s">
        <v>50</v>
      </c>
    </row>
    <row r="2424" spans="1:10" x14ac:dyDescent="0.3">
      <c r="A2424" t="str">
        <f>"01495151"</f>
        <v>01495151</v>
      </c>
      <c r="B2424" t="s">
        <v>4972</v>
      </c>
      <c r="C2424" t="str">
        <f>"706"</f>
        <v>706</v>
      </c>
      <c r="D2424" t="s">
        <v>28</v>
      </c>
      <c r="E2424" t="s">
        <v>29</v>
      </c>
      <c r="F2424" t="s">
        <v>4973</v>
      </c>
      <c r="G2424" t="s">
        <v>4974</v>
      </c>
      <c r="H2424" t="str">
        <f>"9499"</f>
        <v>9499</v>
      </c>
      <c r="I2424" t="s">
        <v>31</v>
      </c>
    </row>
    <row r="2425" spans="1:10" x14ac:dyDescent="0.3">
      <c r="A2425" t="str">
        <f>"22867295"</f>
        <v>22867295</v>
      </c>
      <c r="B2425" t="s">
        <v>4975</v>
      </c>
      <c r="C2425" t="str">
        <f>"706"</f>
        <v>706</v>
      </c>
      <c r="D2425" t="s">
        <v>28</v>
      </c>
      <c r="E2425" t="s">
        <v>83</v>
      </c>
      <c r="F2425" t="s">
        <v>4976</v>
      </c>
      <c r="G2425" t="s">
        <v>4977</v>
      </c>
      <c r="H2425" t="str">
        <f>"9499"</f>
        <v>9499</v>
      </c>
      <c r="I2425" t="s">
        <v>31</v>
      </c>
    </row>
    <row r="2426" spans="1:10" x14ac:dyDescent="0.3">
      <c r="A2426" t="str">
        <f>"49156225"</f>
        <v>49156225</v>
      </c>
      <c r="B2426" t="s">
        <v>4978</v>
      </c>
      <c r="C2426" t="str">
        <f>"736"</f>
        <v>736</v>
      </c>
      <c r="D2426" t="s">
        <v>22</v>
      </c>
      <c r="E2426" t="s">
        <v>23</v>
      </c>
      <c r="F2426" t="s">
        <v>23</v>
      </c>
      <c r="G2426" t="s">
        <v>4979</v>
      </c>
      <c r="H2426" t="str">
        <f>"93120"</f>
        <v>93120</v>
      </c>
      <c r="I2426" t="s">
        <v>54</v>
      </c>
    </row>
    <row r="2427" spans="1:10" x14ac:dyDescent="0.3">
      <c r="A2427" t="str">
        <f>"10770259"</f>
        <v>10770259</v>
      </c>
      <c r="B2427" t="s">
        <v>4980</v>
      </c>
      <c r="C2427" t="str">
        <f>"706"</f>
        <v>706</v>
      </c>
      <c r="D2427" t="s">
        <v>28</v>
      </c>
      <c r="E2427" t="s">
        <v>83</v>
      </c>
      <c r="F2427" t="s">
        <v>873</v>
      </c>
      <c r="G2427" t="s">
        <v>4981</v>
      </c>
      <c r="H2427" t="str">
        <f>"9499"</f>
        <v>9499</v>
      </c>
      <c r="I2427" t="s">
        <v>31</v>
      </c>
    </row>
    <row r="2428" spans="1:10" x14ac:dyDescent="0.3">
      <c r="A2428" t="str">
        <f>"60990091"</f>
        <v>60990091</v>
      </c>
      <c r="B2428" t="s">
        <v>4982</v>
      </c>
      <c r="C2428" t="str">
        <f>"736"</f>
        <v>736</v>
      </c>
      <c r="D2428" t="s">
        <v>22</v>
      </c>
      <c r="E2428" t="s">
        <v>29</v>
      </c>
      <c r="F2428" t="s">
        <v>195</v>
      </c>
      <c r="G2428" t="s">
        <v>4983</v>
      </c>
      <c r="H2428" t="str">
        <f>"93120"</f>
        <v>93120</v>
      </c>
      <c r="I2428" t="s">
        <v>54</v>
      </c>
    </row>
    <row r="2429" spans="1:10" x14ac:dyDescent="0.3">
      <c r="A2429" t="str">
        <f>"01641557"</f>
        <v>01641557</v>
      </c>
      <c r="B2429" t="s">
        <v>4984</v>
      </c>
      <c r="C2429" t="str">
        <f>"706"</f>
        <v>706</v>
      </c>
      <c r="D2429" t="s">
        <v>28</v>
      </c>
      <c r="E2429" t="s">
        <v>23</v>
      </c>
      <c r="F2429" t="s">
        <v>141</v>
      </c>
      <c r="G2429" t="s">
        <v>4985</v>
      </c>
      <c r="H2429" t="str">
        <f>"9499"</f>
        <v>9499</v>
      </c>
      <c r="I2429" t="s">
        <v>31</v>
      </c>
    </row>
    <row r="2430" spans="1:10" x14ac:dyDescent="0.3">
      <c r="A2430" t="str">
        <f>"22749641"</f>
        <v>22749641</v>
      </c>
      <c r="B2430" t="s">
        <v>4986</v>
      </c>
      <c r="C2430" t="str">
        <f>"736"</f>
        <v>736</v>
      </c>
      <c r="D2430" t="s">
        <v>22</v>
      </c>
      <c r="E2430" t="s">
        <v>52</v>
      </c>
      <c r="F2430" t="s">
        <v>612</v>
      </c>
      <c r="G2430" t="s">
        <v>963</v>
      </c>
      <c r="H2430" t="str">
        <f>"9499"</f>
        <v>9499</v>
      </c>
      <c r="I2430" t="s">
        <v>31</v>
      </c>
    </row>
    <row r="2431" spans="1:10" x14ac:dyDescent="0.3">
      <c r="A2431" t="str">
        <f>"22663886"</f>
        <v>22663886</v>
      </c>
      <c r="B2431" t="s">
        <v>4987</v>
      </c>
      <c r="C2431" t="str">
        <f>"706"</f>
        <v>706</v>
      </c>
      <c r="D2431" t="s">
        <v>28</v>
      </c>
      <c r="E2431" t="s">
        <v>52</v>
      </c>
      <c r="F2431" t="s">
        <v>2400</v>
      </c>
      <c r="G2431" t="s">
        <v>4988</v>
      </c>
      <c r="H2431" t="str">
        <f>"931"</f>
        <v>931</v>
      </c>
      <c r="I2431" t="s">
        <v>26</v>
      </c>
    </row>
    <row r="2432" spans="1:10" x14ac:dyDescent="0.3">
      <c r="A2432" t="str">
        <f>"26580853"</f>
        <v>26580853</v>
      </c>
      <c r="B2432" t="s">
        <v>4989</v>
      </c>
      <c r="C2432" t="str">
        <f>"706"</f>
        <v>706</v>
      </c>
      <c r="D2432" t="s">
        <v>28</v>
      </c>
      <c r="E2432" t="s">
        <v>29</v>
      </c>
      <c r="F2432" t="s">
        <v>38</v>
      </c>
      <c r="G2432" t="s">
        <v>4990</v>
      </c>
      <c r="H2432" t="str">
        <f>"94993"</f>
        <v>94993</v>
      </c>
      <c r="I2432" t="s">
        <v>50</v>
      </c>
    </row>
    <row r="2433" spans="1:14" x14ac:dyDescent="0.3">
      <c r="A2433" t="str">
        <f>"07457758"</f>
        <v>07457758</v>
      </c>
      <c r="B2433" t="s">
        <v>4991</v>
      </c>
      <c r="C2433" t="str">
        <f>"706"</f>
        <v>706</v>
      </c>
      <c r="D2433" t="s">
        <v>28</v>
      </c>
      <c r="E2433" t="s">
        <v>52</v>
      </c>
      <c r="F2433" t="s">
        <v>1788</v>
      </c>
      <c r="G2433" t="s">
        <v>4992</v>
      </c>
      <c r="H2433" t="str">
        <f>"93190"</f>
        <v>93190</v>
      </c>
      <c r="I2433" t="s">
        <v>59</v>
      </c>
    </row>
    <row r="2434" spans="1:14" x14ac:dyDescent="0.3">
      <c r="A2434" t="str">
        <f>"22819886"</f>
        <v>22819886</v>
      </c>
      <c r="B2434" t="s">
        <v>4993</v>
      </c>
      <c r="C2434" t="str">
        <f>"706"</f>
        <v>706</v>
      </c>
      <c r="D2434" t="s">
        <v>28</v>
      </c>
      <c r="E2434" t="s">
        <v>23</v>
      </c>
      <c r="F2434" t="s">
        <v>2620</v>
      </c>
      <c r="G2434" t="s">
        <v>4994</v>
      </c>
      <c r="H2434" t="str">
        <f>"94993"</f>
        <v>94993</v>
      </c>
      <c r="I2434" t="s">
        <v>50</v>
      </c>
    </row>
    <row r="2435" spans="1:14" x14ac:dyDescent="0.3">
      <c r="A2435" t="str">
        <f>"26605996"</f>
        <v>26605996</v>
      </c>
      <c r="B2435" t="s">
        <v>4995</v>
      </c>
      <c r="C2435" t="str">
        <f>"706"</f>
        <v>706</v>
      </c>
      <c r="D2435" t="s">
        <v>28</v>
      </c>
      <c r="E2435" t="s">
        <v>52</v>
      </c>
      <c r="F2435" t="s">
        <v>52</v>
      </c>
      <c r="G2435" t="s">
        <v>4996</v>
      </c>
      <c r="H2435" t="str">
        <f>"9499"</f>
        <v>9499</v>
      </c>
      <c r="I2435" t="s">
        <v>31</v>
      </c>
    </row>
    <row r="2436" spans="1:14" x14ac:dyDescent="0.3">
      <c r="A2436" t="str">
        <f>"67010067"</f>
        <v>67010067</v>
      </c>
      <c r="B2436" t="s">
        <v>4997</v>
      </c>
      <c r="C2436" t="str">
        <f>"736"</f>
        <v>736</v>
      </c>
      <c r="D2436" t="s">
        <v>22</v>
      </c>
      <c r="E2436" t="s">
        <v>23</v>
      </c>
      <c r="F2436" t="s">
        <v>23</v>
      </c>
      <c r="G2436" t="s">
        <v>4998</v>
      </c>
      <c r="H2436" t="str">
        <f>"93120"</f>
        <v>93120</v>
      </c>
      <c r="I2436" t="s">
        <v>54</v>
      </c>
    </row>
    <row r="2437" spans="1:14" x14ac:dyDescent="0.3">
      <c r="A2437" t="str">
        <f>"01745590"</f>
        <v>01745590</v>
      </c>
      <c r="B2437" t="s">
        <v>4999</v>
      </c>
      <c r="C2437" t="str">
        <f>"706"</f>
        <v>706</v>
      </c>
      <c r="D2437" t="s">
        <v>28</v>
      </c>
      <c r="E2437" t="s">
        <v>29</v>
      </c>
      <c r="F2437" t="s">
        <v>1004</v>
      </c>
      <c r="G2437" t="s">
        <v>5000</v>
      </c>
      <c r="H2437" t="str">
        <f>"94993"</f>
        <v>94993</v>
      </c>
      <c r="I2437" t="s">
        <v>50</v>
      </c>
    </row>
    <row r="2438" spans="1:14" x14ac:dyDescent="0.3">
      <c r="A2438" t="str">
        <f>"07567138"</f>
        <v>07567138</v>
      </c>
      <c r="B2438" t="s">
        <v>5001</v>
      </c>
      <c r="C2438" t="str">
        <f>"706"</f>
        <v>706</v>
      </c>
      <c r="D2438" t="s">
        <v>28</v>
      </c>
      <c r="E2438" t="s">
        <v>29</v>
      </c>
      <c r="F2438" t="s">
        <v>1810</v>
      </c>
      <c r="G2438" t="s">
        <v>5002</v>
      </c>
      <c r="H2438" t="str">
        <f>"93190"</f>
        <v>93190</v>
      </c>
      <c r="I2438" t="s">
        <v>59</v>
      </c>
      <c r="J2438" t="s">
        <v>4311</v>
      </c>
      <c r="K2438" t="s">
        <v>159</v>
      </c>
      <c r="L2438" t="s">
        <v>146</v>
      </c>
      <c r="M2438" t="s">
        <v>262</v>
      </c>
      <c r="N2438" t="s">
        <v>162</v>
      </c>
    </row>
    <row r="2439" spans="1:14" x14ac:dyDescent="0.3">
      <c r="A2439" t="str">
        <f>"23296445"</f>
        <v>23296445</v>
      </c>
      <c r="B2439" t="s">
        <v>5003</v>
      </c>
      <c r="C2439" t="str">
        <f>"706"</f>
        <v>706</v>
      </c>
      <c r="D2439" t="s">
        <v>28</v>
      </c>
      <c r="E2439" t="s">
        <v>29</v>
      </c>
      <c r="F2439" t="s">
        <v>195</v>
      </c>
      <c r="G2439" t="s">
        <v>5004</v>
      </c>
      <c r="H2439" t="str">
        <f>"93120"</f>
        <v>93120</v>
      </c>
      <c r="I2439" t="s">
        <v>54</v>
      </c>
    </row>
    <row r="2440" spans="1:14" x14ac:dyDescent="0.3">
      <c r="A2440" t="str">
        <f>"08382344"</f>
        <v>08382344</v>
      </c>
      <c r="B2440" t="s">
        <v>5005</v>
      </c>
      <c r="C2440" t="str">
        <f>"706"</f>
        <v>706</v>
      </c>
      <c r="D2440" t="s">
        <v>28</v>
      </c>
      <c r="E2440" t="s">
        <v>83</v>
      </c>
      <c r="F2440" t="s">
        <v>3465</v>
      </c>
      <c r="G2440" t="s">
        <v>5006</v>
      </c>
      <c r="H2440" t="str">
        <f>"94991"</f>
        <v>94991</v>
      </c>
      <c r="I2440" t="s">
        <v>433</v>
      </c>
    </row>
    <row r="2441" spans="1:14" x14ac:dyDescent="0.3">
      <c r="A2441" t="str">
        <f>"29309212"</f>
        <v>29309212</v>
      </c>
      <c r="B2441" t="s">
        <v>5007</v>
      </c>
      <c r="C2441" t="str">
        <f>"141"</f>
        <v>141</v>
      </c>
      <c r="D2441" t="s">
        <v>112</v>
      </c>
      <c r="E2441" t="s">
        <v>83</v>
      </c>
      <c r="F2441" t="s">
        <v>183</v>
      </c>
      <c r="G2441" t="s">
        <v>5008</v>
      </c>
      <c r="H2441" t="str">
        <f>"85600"</f>
        <v>85600</v>
      </c>
      <c r="I2441" t="s">
        <v>173</v>
      </c>
      <c r="J2441" t="s">
        <v>5009</v>
      </c>
      <c r="K2441" t="s">
        <v>31</v>
      </c>
      <c r="L2441" t="s">
        <v>163</v>
      </c>
    </row>
    <row r="2442" spans="1:14" x14ac:dyDescent="0.3">
      <c r="A2442" t="str">
        <f>"26659875"</f>
        <v>26659875</v>
      </c>
      <c r="B2442" t="s">
        <v>5010</v>
      </c>
      <c r="C2442" t="str">
        <f>"706"</f>
        <v>706</v>
      </c>
      <c r="D2442" t="s">
        <v>28</v>
      </c>
      <c r="E2442" t="s">
        <v>52</v>
      </c>
      <c r="F2442" t="s">
        <v>113</v>
      </c>
      <c r="G2442" t="s">
        <v>5011</v>
      </c>
      <c r="H2442" t="str">
        <f>"94991"</f>
        <v>94991</v>
      </c>
      <c r="I2442" t="s">
        <v>433</v>
      </c>
    </row>
    <row r="2443" spans="1:14" x14ac:dyDescent="0.3">
      <c r="A2443" t="str">
        <f>"75051028"</f>
        <v>75051028</v>
      </c>
      <c r="B2443" t="s">
        <v>5012</v>
      </c>
      <c r="C2443" t="str">
        <f>"736"</f>
        <v>736</v>
      </c>
      <c r="D2443" t="s">
        <v>22</v>
      </c>
      <c r="E2443" t="s">
        <v>23</v>
      </c>
      <c r="F2443" t="s">
        <v>245</v>
      </c>
      <c r="G2443" t="s">
        <v>5013</v>
      </c>
      <c r="H2443" t="str">
        <f>"931"</f>
        <v>931</v>
      </c>
      <c r="I2443" t="s">
        <v>26</v>
      </c>
    </row>
    <row r="2444" spans="1:14" x14ac:dyDescent="0.3">
      <c r="A2444" t="str">
        <f>"11736771"</f>
        <v>11736771</v>
      </c>
      <c r="B2444" t="s">
        <v>5014</v>
      </c>
      <c r="C2444" t="str">
        <f t="shared" ref="C2444:C2505" si="177">"706"</f>
        <v>706</v>
      </c>
      <c r="D2444" t="s">
        <v>28</v>
      </c>
      <c r="E2444" t="s">
        <v>83</v>
      </c>
      <c r="F2444" t="s">
        <v>4274</v>
      </c>
      <c r="G2444" t="s">
        <v>5015</v>
      </c>
      <c r="H2444" t="str">
        <f>"94993"</f>
        <v>94993</v>
      </c>
      <c r="I2444" t="s">
        <v>50</v>
      </c>
    </row>
    <row r="2445" spans="1:14" x14ac:dyDescent="0.3">
      <c r="A2445" t="str">
        <f>"05510341"</f>
        <v>05510341</v>
      </c>
      <c r="B2445" t="s">
        <v>5016</v>
      </c>
      <c r="C2445" t="str">
        <f t="shared" si="177"/>
        <v>706</v>
      </c>
      <c r="D2445" t="s">
        <v>28</v>
      </c>
      <c r="E2445" t="s">
        <v>23</v>
      </c>
      <c r="F2445" t="s">
        <v>23</v>
      </c>
      <c r="G2445" t="s">
        <v>5017</v>
      </c>
      <c r="H2445" t="str">
        <f>"9499"</f>
        <v>9499</v>
      </c>
      <c r="I2445" t="s">
        <v>31</v>
      </c>
    </row>
    <row r="2446" spans="1:14" x14ac:dyDescent="0.3">
      <c r="A2446" t="str">
        <f>"01725084"</f>
        <v>01725084</v>
      </c>
      <c r="B2446" t="s">
        <v>5018</v>
      </c>
      <c r="C2446" t="str">
        <f t="shared" si="177"/>
        <v>706</v>
      </c>
      <c r="D2446" t="s">
        <v>28</v>
      </c>
      <c r="E2446" t="s">
        <v>23</v>
      </c>
      <c r="F2446" t="s">
        <v>282</v>
      </c>
      <c r="G2446" t="s">
        <v>5019</v>
      </c>
      <c r="H2446" t="str">
        <f>"9499"</f>
        <v>9499</v>
      </c>
      <c r="I2446" t="s">
        <v>31</v>
      </c>
    </row>
    <row r="2447" spans="1:14" x14ac:dyDescent="0.3">
      <c r="A2447" t="str">
        <f>"26667673"</f>
        <v>26667673</v>
      </c>
      <c r="B2447" t="s">
        <v>5020</v>
      </c>
      <c r="C2447" t="str">
        <f t="shared" si="177"/>
        <v>706</v>
      </c>
      <c r="D2447" t="s">
        <v>28</v>
      </c>
      <c r="E2447" t="s">
        <v>52</v>
      </c>
      <c r="F2447" t="s">
        <v>379</v>
      </c>
      <c r="G2447" t="s">
        <v>5021</v>
      </c>
      <c r="H2447" t="str">
        <f>"93110"</f>
        <v>93110</v>
      </c>
      <c r="I2447" t="s">
        <v>92</v>
      </c>
    </row>
    <row r="2448" spans="1:14" x14ac:dyDescent="0.3">
      <c r="A2448" t="str">
        <f>"01622625"</f>
        <v>01622625</v>
      </c>
      <c r="B2448" t="s">
        <v>5022</v>
      </c>
      <c r="C2448" t="str">
        <f t="shared" si="177"/>
        <v>706</v>
      </c>
      <c r="D2448" t="s">
        <v>28</v>
      </c>
      <c r="E2448" t="s">
        <v>52</v>
      </c>
      <c r="F2448" t="s">
        <v>113</v>
      </c>
      <c r="G2448" t="s">
        <v>5023</v>
      </c>
      <c r="H2448" t="str">
        <f>"017"</f>
        <v>017</v>
      </c>
      <c r="I2448" t="s">
        <v>1501</v>
      </c>
    </row>
    <row r="2449" spans="1:9" x14ac:dyDescent="0.3">
      <c r="A2449" t="str">
        <f>"62182757"</f>
        <v>62182757</v>
      </c>
      <c r="B2449" t="s">
        <v>5024</v>
      </c>
      <c r="C2449" t="str">
        <f t="shared" si="177"/>
        <v>706</v>
      </c>
      <c r="D2449" t="s">
        <v>28</v>
      </c>
      <c r="E2449" t="s">
        <v>23</v>
      </c>
      <c r="F2449" t="s">
        <v>3449</v>
      </c>
      <c r="G2449" t="s">
        <v>5025</v>
      </c>
      <c r="H2449" t="str">
        <f>"01700"</f>
        <v>01700</v>
      </c>
      <c r="I2449" t="s">
        <v>1501</v>
      </c>
    </row>
    <row r="2450" spans="1:9" x14ac:dyDescent="0.3">
      <c r="A2450" t="str">
        <f>"64438881"</f>
        <v>64438881</v>
      </c>
      <c r="B2450" t="s">
        <v>5026</v>
      </c>
      <c r="C2450" t="str">
        <f t="shared" si="177"/>
        <v>706</v>
      </c>
      <c r="D2450" t="s">
        <v>28</v>
      </c>
      <c r="E2450" t="s">
        <v>52</v>
      </c>
      <c r="F2450" t="s">
        <v>1170</v>
      </c>
      <c r="G2450" t="s">
        <v>5027</v>
      </c>
      <c r="H2450" t="str">
        <f>"01700"</f>
        <v>01700</v>
      </c>
      <c r="I2450" t="s">
        <v>1501</v>
      </c>
    </row>
    <row r="2451" spans="1:9" x14ac:dyDescent="0.3">
      <c r="A2451" t="str">
        <f>"48472816"</f>
        <v>48472816</v>
      </c>
      <c r="B2451" t="s">
        <v>5028</v>
      </c>
      <c r="C2451" t="str">
        <f t="shared" si="177"/>
        <v>706</v>
      </c>
      <c r="D2451" t="s">
        <v>28</v>
      </c>
      <c r="E2451" t="s">
        <v>23</v>
      </c>
      <c r="F2451" t="s">
        <v>245</v>
      </c>
      <c r="G2451" t="s">
        <v>5029</v>
      </c>
      <c r="H2451" t="str">
        <f>"01700"</f>
        <v>01700</v>
      </c>
      <c r="I2451" t="s">
        <v>1501</v>
      </c>
    </row>
    <row r="2452" spans="1:9" x14ac:dyDescent="0.3">
      <c r="A2452" t="str">
        <f>"01519689"</f>
        <v>01519689</v>
      </c>
      <c r="B2452" t="s">
        <v>5030</v>
      </c>
      <c r="C2452" t="str">
        <f t="shared" si="177"/>
        <v>706</v>
      </c>
      <c r="D2452" t="s">
        <v>28</v>
      </c>
      <c r="E2452" t="s">
        <v>29</v>
      </c>
      <c r="F2452" t="s">
        <v>685</v>
      </c>
      <c r="G2452" t="s">
        <v>5031</v>
      </c>
      <c r="H2452" t="str">
        <f>"9499"</f>
        <v>9499</v>
      </c>
      <c r="I2452" t="s">
        <v>31</v>
      </c>
    </row>
    <row r="2453" spans="1:9" x14ac:dyDescent="0.3">
      <c r="A2453" t="str">
        <f>"27037355"</f>
        <v>27037355</v>
      </c>
      <c r="B2453" t="s">
        <v>5032</v>
      </c>
      <c r="C2453" t="str">
        <f t="shared" si="177"/>
        <v>706</v>
      </c>
      <c r="D2453" t="s">
        <v>28</v>
      </c>
      <c r="E2453" t="s">
        <v>52</v>
      </c>
      <c r="F2453" t="s">
        <v>113</v>
      </c>
      <c r="G2453" t="s">
        <v>5023</v>
      </c>
      <c r="H2453" t="str">
        <f t="shared" ref="H2453:H2459" si="178">"01700"</f>
        <v>01700</v>
      </c>
      <c r="I2453" t="s">
        <v>1501</v>
      </c>
    </row>
    <row r="2454" spans="1:9" x14ac:dyDescent="0.3">
      <c r="A2454" t="str">
        <f>"28558260"</f>
        <v>28558260</v>
      </c>
      <c r="B2454" t="s">
        <v>5033</v>
      </c>
      <c r="C2454" t="str">
        <f t="shared" si="177"/>
        <v>706</v>
      </c>
      <c r="D2454" t="s">
        <v>28</v>
      </c>
      <c r="E2454" t="s">
        <v>83</v>
      </c>
      <c r="F2454" t="s">
        <v>473</v>
      </c>
      <c r="G2454" t="s">
        <v>5034</v>
      </c>
      <c r="H2454" t="str">
        <f t="shared" si="178"/>
        <v>01700</v>
      </c>
      <c r="I2454" t="s">
        <v>1501</v>
      </c>
    </row>
    <row r="2455" spans="1:9" x14ac:dyDescent="0.3">
      <c r="A2455" t="str">
        <f>"47930438"</f>
        <v>47930438</v>
      </c>
      <c r="B2455" t="s">
        <v>5035</v>
      </c>
      <c r="C2455" t="str">
        <f t="shared" si="177"/>
        <v>706</v>
      </c>
      <c r="D2455" t="s">
        <v>28</v>
      </c>
      <c r="E2455" t="s">
        <v>83</v>
      </c>
      <c r="F2455" t="s">
        <v>1532</v>
      </c>
      <c r="G2455" t="s">
        <v>5036</v>
      </c>
      <c r="H2455" t="str">
        <f t="shared" si="178"/>
        <v>01700</v>
      </c>
      <c r="I2455" t="s">
        <v>1501</v>
      </c>
    </row>
    <row r="2456" spans="1:9" x14ac:dyDescent="0.3">
      <c r="A2456" t="str">
        <f>"26621215"</f>
        <v>26621215</v>
      </c>
      <c r="B2456" t="s">
        <v>5037</v>
      </c>
      <c r="C2456" t="str">
        <f t="shared" si="177"/>
        <v>706</v>
      </c>
      <c r="D2456" t="s">
        <v>28</v>
      </c>
      <c r="E2456" t="s">
        <v>23</v>
      </c>
      <c r="F2456" t="s">
        <v>296</v>
      </c>
      <c r="G2456" t="s">
        <v>5038</v>
      </c>
      <c r="H2456" t="str">
        <f t="shared" si="178"/>
        <v>01700</v>
      </c>
      <c r="I2456" t="s">
        <v>1501</v>
      </c>
    </row>
    <row r="2457" spans="1:9" x14ac:dyDescent="0.3">
      <c r="A2457" t="str">
        <f>"65326563"</f>
        <v>65326563</v>
      </c>
      <c r="B2457" t="s">
        <v>5039</v>
      </c>
      <c r="C2457" t="str">
        <f t="shared" si="177"/>
        <v>706</v>
      </c>
      <c r="D2457" t="s">
        <v>28</v>
      </c>
      <c r="E2457" t="s">
        <v>52</v>
      </c>
      <c r="F2457" t="s">
        <v>1257</v>
      </c>
      <c r="G2457" t="s">
        <v>1813</v>
      </c>
      <c r="H2457" t="str">
        <f t="shared" si="178"/>
        <v>01700</v>
      </c>
      <c r="I2457" t="s">
        <v>1501</v>
      </c>
    </row>
    <row r="2458" spans="1:9" x14ac:dyDescent="0.3">
      <c r="A2458" t="str">
        <f>"22761411"</f>
        <v>22761411</v>
      </c>
      <c r="B2458" t="s">
        <v>5040</v>
      </c>
      <c r="C2458" t="str">
        <f t="shared" si="177"/>
        <v>706</v>
      </c>
      <c r="D2458" t="s">
        <v>28</v>
      </c>
      <c r="E2458" t="s">
        <v>23</v>
      </c>
      <c r="F2458" t="s">
        <v>459</v>
      </c>
      <c r="G2458" t="s">
        <v>5041</v>
      </c>
      <c r="H2458" t="str">
        <f t="shared" si="178"/>
        <v>01700</v>
      </c>
      <c r="I2458" t="s">
        <v>1501</v>
      </c>
    </row>
    <row r="2459" spans="1:9" x14ac:dyDescent="0.3">
      <c r="A2459" t="str">
        <f>"26621452"</f>
        <v>26621452</v>
      </c>
      <c r="B2459" t="s">
        <v>5042</v>
      </c>
      <c r="C2459" t="str">
        <f t="shared" si="177"/>
        <v>706</v>
      </c>
      <c r="D2459" t="s">
        <v>28</v>
      </c>
      <c r="E2459" t="s">
        <v>83</v>
      </c>
      <c r="F2459" t="s">
        <v>473</v>
      </c>
      <c r="G2459" t="s">
        <v>5043</v>
      </c>
      <c r="H2459" t="str">
        <f t="shared" si="178"/>
        <v>01700</v>
      </c>
      <c r="I2459" t="s">
        <v>1501</v>
      </c>
    </row>
    <row r="2460" spans="1:9" x14ac:dyDescent="0.3">
      <c r="A2460" t="str">
        <f>"01461389"</f>
        <v>01461389</v>
      </c>
      <c r="B2460" t="s">
        <v>5044</v>
      </c>
      <c r="C2460" t="str">
        <f t="shared" si="177"/>
        <v>706</v>
      </c>
      <c r="D2460" t="s">
        <v>28</v>
      </c>
      <c r="E2460" t="s">
        <v>29</v>
      </c>
      <c r="F2460" t="s">
        <v>117</v>
      </c>
      <c r="G2460" t="s">
        <v>5045</v>
      </c>
      <c r="H2460" t="str">
        <f>"0170"</f>
        <v>0170</v>
      </c>
      <c r="I2460" t="s">
        <v>1501</v>
      </c>
    </row>
    <row r="2461" spans="1:9" x14ac:dyDescent="0.3">
      <c r="A2461" t="str">
        <f>"27060331"</f>
        <v>27060331</v>
      </c>
      <c r="B2461" t="s">
        <v>5046</v>
      </c>
      <c r="C2461" t="str">
        <f t="shared" si="177"/>
        <v>706</v>
      </c>
      <c r="D2461" t="s">
        <v>28</v>
      </c>
      <c r="E2461" t="s">
        <v>52</v>
      </c>
      <c r="F2461" t="s">
        <v>1078</v>
      </c>
      <c r="G2461" t="s">
        <v>5047</v>
      </c>
      <c r="H2461" t="str">
        <f>"01700"</f>
        <v>01700</v>
      </c>
      <c r="I2461" t="s">
        <v>1501</v>
      </c>
    </row>
    <row r="2462" spans="1:9" x14ac:dyDescent="0.3">
      <c r="A2462" t="str">
        <f>"01579959"</f>
        <v>01579959</v>
      </c>
      <c r="B2462" t="s">
        <v>5048</v>
      </c>
      <c r="C2462" t="str">
        <f t="shared" si="177"/>
        <v>706</v>
      </c>
      <c r="D2462" t="s">
        <v>28</v>
      </c>
      <c r="E2462" t="s">
        <v>52</v>
      </c>
      <c r="F2462" t="s">
        <v>5049</v>
      </c>
      <c r="G2462" t="s">
        <v>5050</v>
      </c>
      <c r="H2462" t="str">
        <f>"017"</f>
        <v>017</v>
      </c>
      <c r="I2462" t="s">
        <v>1501</v>
      </c>
    </row>
    <row r="2463" spans="1:9" x14ac:dyDescent="0.3">
      <c r="A2463" t="str">
        <f>"70961646"</f>
        <v>70961646</v>
      </c>
      <c r="B2463" t="s">
        <v>5051</v>
      </c>
      <c r="C2463" t="str">
        <f t="shared" si="177"/>
        <v>706</v>
      </c>
      <c r="D2463" t="s">
        <v>28</v>
      </c>
      <c r="E2463" t="s">
        <v>52</v>
      </c>
      <c r="F2463" t="s">
        <v>927</v>
      </c>
      <c r="G2463" t="s">
        <v>5052</v>
      </c>
      <c r="H2463" t="str">
        <f t="shared" ref="H2463:H2469" si="179">"01700"</f>
        <v>01700</v>
      </c>
      <c r="I2463" t="s">
        <v>1501</v>
      </c>
    </row>
    <row r="2464" spans="1:9" x14ac:dyDescent="0.3">
      <c r="A2464" t="str">
        <f>"62182510"</f>
        <v>62182510</v>
      </c>
      <c r="B2464" t="s">
        <v>5053</v>
      </c>
      <c r="C2464" t="str">
        <f t="shared" si="177"/>
        <v>706</v>
      </c>
      <c r="D2464" t="s">
        <v>28</v>
      </c>
      <c r="E2464" t="s">
        <v>23</v>
      </c>
      <c r="F2464" t="s">
        <v>1877</v>
      </c>
      <c r="G2464" t="s">
        <v>1878</v>
      </c>
      <c r="H2464" t="str">
        <f t="shared" si="179"/>
        <v>01700</v>
      </c>
      <c r="I2464" t="s">
        <v>1501</v>
      </c>
    </row>
    <row r="2465" spans="1:9" x14ac:dyDescent="0.3">
      <c r="A2465" t="str">
        <f>"69725624"</f>
        <v>69725624</v>
      </c>
      <c r="B2465" t="s">
        <v>5054</v>
      </c>
      <c r="C2465" t="str">
        <f t="shared" si="177"/>
        <v>706</v>
      </c>
      <c r="D2465" t="s">
        <v>28</v>
      </c>
      <c r="E2465" t="s">
        <v>23</v>
      </c>
      <c r="F2465" t="s">
        <v>107</v>
      </c>
      <c r="G2465" t="s">
        <v>5055</v>
      </c>
      <c r="H2465" t="str">
        <f t="shared" si="179"/>
        <v>01700</v>
      </c>
      <c r="I2465" t="s">
        <v>1501</v>
      </c>
    </row>
    <row r="2466" spans="1:9" x14ac:dyDescent="0.3">
      <c r="A2466" t="str">
        <f>"26620812"</f>
        <v>26620812</v>
      </c>
      <c r="B2466" t="s">
        <v>5056</v>
      </c>
      <c r="C2466" t="str">
        <f t="shared" si="177"/>
        <v>706</v>
      </c>
      <c r="D2466" t="s">
        <v>28</v>
      </c>
      <c r="E2466" t="s">
        <v>52</v>
      </c>
      <c r="F2466" t="s">
        <v>1829</v>
      </c>
      <c r="G2466" t="s">
        <v>5057</v>
      </c>
      <c r="H2466" t="str">
        <f t="shared" si="179"/>
        <v>01700</v>
      </c>
      <c r="I2466" t="s">
        <v>1501</v>
      </c>
    </row>
    <row r="2467" spans="1:9" x14ac:dyDescent="0.3">
      <c r="A2467" t="str">
        <f>"26617269"</f>
        <v>26617269</v>
      </c>
      <c r="B2467" t="s">
        <v>5058</v>
      </c>
      <c r="C2467" t="str">
        <f t="shared" si="177"/>
        <v>706</v>
      </c>
      <c r="D2467" t="s">
        <v>28</v>
      </c>
      <c r="E2467" t="s">
        <v>83</v>
      </c>
      <c r="F2467" t="s">
        <v>1867</v>
      </c>
      <c r="G2467" t="s">
        <v>5059</v>
      </c>
      <c r="H2467" t="str">
        <f t="shared" si="179"/>
        <v>01700</v>
      </c>
      <c r="I2467" t="s">
        <v>1501</v>
      </c>
    </row>
    <row r="2468" spans="1:9" x14ac:dyDescent="0.3">
      <c r="A2468" t="str">
        <f>"46277226"</f>
        <v>46277226</v>
      </c>
      <c r="B2468" t="s">
        <v>5060</v>
      </c>
      <c r="C2468" t="str">
        <f t="shared" si="177"/>
        <v>706</v>
      </c>
      <c r="D2468" t="s">
        <v>28</v>
      </c>
      <c r="E2468" t="s">
        <v>23</v>
      </c>
      <c r="F2468" t="s">
        <v>2706</v>
      </c>
      <c r="G2468" t="s">
        <v>5061</v>
      </c>
      <c r="H2468" t="str">
        <f t="shared" si="179"/>
        <v>01700</v>
      </c>
      <c r="I2468" t="s">
        <v>1501</v>
      </c>
    </row>
    <row r="2469" spans="1:9" x14ac:dyDescent="0.3">
      <c r="A2469" t="str">
        <f>"60370378"</f>
        <v>60370378</v>
      </c>
      <c r="B2469" t="s">
        <v>5062</v>
      </c>
      <c r="C2469" t="str">
        <f t="shared" si="177"/>
        <v>706</v>
      </c>
      <c r="D2469" t="s">
        <v>28</v>
      </c>
      <c r="E2469" t="s">
        <v>52</v>
      </c>
      <c r="F2469" t="s">
        <v>379</v>
      </c>
      <c r="G2469" t="s">
        <v>5063</v>
      </c>
      <c r="H2469" t="str">
        <f t="shared" si="179"/>
        <v>01700</v>
      </c>
      <c r="I2469" t="s">
        <v>1501</v>
      </c>
    </row>
    <row r="2470" spans="1:9" x14ac:dyDescent="0.3">
      <c r="A2470" t="str">
        <f>"01518178"</f>
        <v>01518178</v>
      </c>
      <c r="B2470" t="s">
        <v>5064</v>
      </c>
      <c r="C2470" t="str">
        <f t="shared" si="177"/>
        <v>706</v>
      </c>
      <c r="D2470" t="s">
        <v>28</v>
      </c>
      <c r="E2470" t="s">
        <v>29</v>
      </c>
      <c r="F2470" t="s">
        <v>685</v>
      </c>
      <c r="G2470" t="s">
        <v>5031</v>
      </c>
      <c r="H2470" t="str">
        <f>"9499"</f>
        <v>9499</v>
      </c>
      <c r="I2470" t="s">
        <v>31</v>
      </c>
    </row>
    <row r="2471" spans="1:9" x14ac:dyDescent="0.3">
      <c r="A2471" t="str">
        <f>"65325931"</f>
        <v>65325931</v>
      </c>
      <c r="B2471" t="s">
        <v>5065</v>
      </c>
      <c r="C2471" t="str">
        <f t="shared" si="177"/>
        <v>706</v>
      </c>
      <c r="D2471" t="s">
        <v>28</v>
      </c>
      <c r="E2471" t="s">
        <v>52</v>
      </c>
      <c r="F2471" t="s">
        <v>1170</v>
      </c>
      <c r="G2471" t="s">
        <v>5066</v>
      </c>
      <c r="H2471" t="str">
        <f>"01700"</f>
        <v>01700</v>
      </c>
      <c r="I2471" t="s">
        <v>1501</v>
      </c>
    </row>
    <row r="2472" spans="1:9" x14ac:dyDescent="0.3">
      <c r="A2472" t="str">
        <f>"26591286"</f>
        <v>26591286</v>
      </c>
      <c r="B2472" t="s">
        <v>5067</v>
      </c>
      <c r="C2472" t="str">
        <f t="shared" si="177"/>
        <v>706</v>
      </c>
      <c r="D2472" t="s">
        <v>28</v>
      </c>
      <c r="E2472" t="s">
        <v>52</v>
      </c>
      <c r="F2472" t="s">
        <v>517</v>
      </c>
      <c r="G2472" t="s">
        <v>5068</v>
      </c>
      <c r="H2472" t="str">
        <f>"01700"</f>
        <v>01700</v>
      </c>
      <c r="I2472" t="s">
        <v>1501</v>
      </c>
    </row>
    <row r="2473" spans="1:9" x14ac:dyDescent="0.3">
      <c r="A2473" t="str">
        <f>"02252091"</f>
        <v>02252091</v>
      </c>
      <c r="B2473" t="s">
        <v>5069</v>
      </c>
      <c r="C2473" t="str">
        <f t="shared" si="177"/>
        <v>706</v>
      </c>
      <c r="D2473" t="s">
        <v>28</v>
      </c>
      <c r="E2473" t="s">
        <v>52</v>
      </c>
      <c r="F2473" t="s">
        <v>65</v>
      </c>
      <c r="G2473" t="s">
        <v>65</v>
      </c>
      <c r="H2473" t="str">
        <f>"0170"</f>
        <v>0170</v>
      </c>
      <c r="I2473" t="s">
        <v>1501</v>
      </c>
    </row>
    <row r="2474" spans="1:9" x14ac:dyDescent="0.3">
      <c r="A2474" t="str">
        <f>"26620502"</f>
        <v>26620502</v>
      </c>
      <c r="B2474" t="s">
        <v>5070</v>
      </c>
      <c r="C2474" t="str">
        <f t="shared" si="177"/>
        <v>706</v>
      </c>
      <c r="D2474" t="s">
        <v>28</v>
      </c>
      <c r="E2474" t="s">
        <v>23</v>
      </c>
      <c r="F2474" t="s">
        <v>282</v>
      </c>
      <c r="G2474" t="s">
        <v>5071</v>
      </c>
      <c r="H2474" t="str">
        <f t="shared" ref="H2474:H2480" si="180">"01700"</f>
        <v>01700</v>
      </c>
      <c r="I2474" t="s">
        <v>1501</v>
      </c>
    </row>
    <row r="2475" spans="1:9" x14ac:dyDescent="0.3">
      <c r="A2475" t="str">
        <f>"26595389"</f>
        <v>26595389</v>
      </c>
      <c r="B2475" t="s">
        <v>5072</v>
      </c>
      <c r="C2475" t="str">
        <f t="shared" si="177"/>
        <v>706</v>
      </c>
      <c r="D2475" t="s">
        <v>28</v>
      </c>
      <c r="E2475" t="s">
        <v>23</v>
      </c>
      <c r="F2475" t="s">
        <v>721</v>
      </c>
      <c r="G2475" t="s">
        <v>5073</v>
      </c>
      <c r="H2475" t="str">
        <f t="shared" si="180"/>
        <v>01700</v>
      </c>
      <c r="I2475" t="s">
        <v>1501</v>
      </c>
    </row>
    <row r="2476" spans="1:9" x14ac:dyDescent="0.3">
      <c r="A2476" t="str">
        <f>"26624435"</f>
        <v>26624435</v>
      </c>
      <c r="B2476" t="s">
        <v>5074</v>
      </c>
      <c r="C2476" t="str">
        <f t="shared" si="177"/>
        <v>706</v>
      </c>
      <c r="D2476" t="s">
        <v>28</v>
      </c>
      <c r="E2476" t="s">
        <v>23</v>
      </c>
      <c r="F2476" t="s">
        <v>1880</v>
      </c>
      <c r="G2476" t="s">
        <v>5075</v>
      </c>
      <c r="H2476" t="str">
        <f t="shared" si="180"/>
        <v>01700</v>
      </c>
      <c r="I2476" t="s">
        <v>1501</v>
      </c>
    </row>
    <row r="2477" spans="1:9" x14ac:dyDescent="0.3">
      <c r="A2477" t="str">
        <f>"47863706"</f>
        <v>47863706</v>
      </c>
      <c r="B2477" t="s">
        <v>5076</v>
      </c>
      <c r="C2477" t="str">
        <f t="shared" si="177"/>
        <v>706</v>
      </c>
      <c r="D2477" t="s">
        <v>28</v>
      </c>
      <c r="E2477" t="s">
        <v>29</v>
      </c>
      <c r="F2477" t="s">
        <v>1221</v>
      </c>
      <c r="G2477" t="s">
        <v>5077</v>
      </c>
      <c r="H2477" t="str">
        <f t="shared" si="180"/>
        <v>01700</v>
      </c>
      <c r="I2477" t="s">
        <v>1501</v>
      </c>
    </row>
    <row r="2478" spans="1:9" x14ac:dyDescent="0.3">
      <c r="A2478" t="str">
        <f>"26630842"</f>
        <v>26630842</v>
      </c>
      <c r="B2478" t="s">
        <v>5078</v>
      </c>
      <c r="C2478" t="str">
        <f t="shared" si="177"/>
        <v>706</v>
      </c>
      <c r="D2478" t="s">
        <v>28</v>
      </c>
      <c r="E2478" t="s">
        <v>83</v>
      </c>
      <c r="F2478" t="s">
        <v>520</v>
      </c>
      <c r="G2478" t="s">
        <v>5079</v>
      </c>
      <c r="H2478" t="str">
        <f t="shared" si="180"/>
        <v>01700</v>
      </c>
      <c r="I2478" t="s">
        <v>1501</v>
      </c>
    </row>
    <row r="2479" spans="1:9" x14ac:dyDescent="0.3">
      <c r="A2479" t="str">
        <f>"26626217"</f>
        <v>26626217</v>
      </c>
      <c r="B2479" t="s">
        <v>5080</v>
      </c>
      <c r="C2479" t="str">
        <f t="shared" si="177"/>
        <v>706</v>
      </c>
      <c r="D2479" t="s">
        <v>28</v>
      </c>
      <c r="E2479" t="s">
        <v>29</v>
      </c>
      <c r="F2479" t="s">
        <v>685</v>
      </c>
      <c r="G2479" t="s">
        <v>5031</v>
      </c>
      <c r="H2479" t="str">
        <f t="shared" si="180"/>
        <v>01700</v>
      </c>
      <c r="I2479" t="s">
        <v>1501</v>
      </c>
    </row>
    <row r="2480" spans="1:9" x14ac:dyDescent="0.3">
      <c r="A2480" t="str">
        <f>"26623510"</f>
        <v>26623510</v>
      </c>
      <c r="B2480" t="s">
        <v>5081</v>
      </c>
      <c r="C2480" t="str">
        <f t="shared" si="177"/>
        <v>706</v>
      </c>
      <c r="D2480" t="s">
        <v>28</v>
      </c>
      <c r="E2480" t="s">
        <v>52</v>
      </c>
      <c r="F2480" t="s">
        <v>2795</v>
      </c>
      <c r="G2480" t="s">
        <v>5082</v>
      </c>
      <c r="H2480" t="str">
        <f t="shared" si="180"/>
        <v>01700</v>
      </c>
      <c r="I2480" t="s">
        <v>1501</v>
      </c>
    </row>
    <row r="2481" spans="1:9" x14ac:dyDescent="0.3">
      <c r="A2481" t="str">
        <f>"01518194"</f>
        <v>01518194</v>
      </c>
      <c r="B2481" t="s">
        <v>5083</v>
      </c>
      <c r="C2481" t="str">
        <f t="shared" si="177"/>
        <v>706</v>
      </c>
      <c r="D2481" t="s">
        <v>28</v>
      </c>
      <c r="E2481" t="s">
        <v>29</v>
      </c>
      <c r="F2481" t="s">
        <v>685</v>
      </c>
      <c r="G2481" t="s">
        <v>5031</v>
      </c>
      <c r="H2481" t="str">
        <f>"9499"</f>
        <v>9499</v>
      </c>
      <c r="I2481" t="s">
        <v>31</v>
      </c>
    </row>
    <row r="2482" spans="1:9" x14ac:dyDescent="0.3">
      <c r="A2482" t="str">
        <f>"63459485"</f>
        <v>63459485</v>
      </c>
      <c r="B2482" t="s">
        <v>5084</v>
      </c>
      <c r="C2482" t="str">
        <f t="shared" si="177"/>
        <v>706</v>
      </c>
      <c r="D2482" t="s">
        <v>28</v>
      </c>
      <c r="E2482" t="s">
        <v>83</v>
      </c>
      <c r="F2482" t="s">
        <v>1718</v>
      </c>
      <c r="G2482" t="s">
        <v>5085</v>
      </c>
      <c r="H2482" t="str">
        <f>"01700"</f>
        <v>01700</v>
      </c>
      <c r="I2482" t="s">
        <v>1501</v>
      </c>
    </row>
    <row r="2483" spans="1:9" x14ac:dyDescent="0.3">
      <c r="A2483" t="str">
        <f>"48489484"</f>
        <v>48489484</v>
      </c>
      <c r="B2483" t="s">
        <v>5086</v>
      </c>
      <c r="C2483" t="str">
        <f t="shared" si="177"/>
        <v>706</v>
      </c>
      <c r="D2483" t="s">
        <v>28</v>
      </c>
      <c r="E2483" t="s">
        <v>52</v>
      </c>
      <c r="F2483" t="s">
        <v>113</v>
      </c>
      <c r="G2483" t="s">
        <v>5087</v>
      </c>
      <c r="H2483" t="str">
        <f>"01700"</f>
        <v>01700</v>
      </c>
      <c r="I2483" t="s">
        <v>1501</v>
      </c>
    </row>
    <row r="2484" spans="1:9" x14ac:dyDescent="0.3">
      <c r="A2484" t="str">
        <f>"01989138"</f>
        <v>01989138</v>
      </c>
      <c r="B2484" t="s">
        <v>5088</v>
      </c>
      <c r="C2484" t="str">
        <f t="shared" si="177"/>
        <v>706</v>
      </c>
      <c r="D2484" t="s">
        <v>28</v>
      </c>
      <c r="E2484" t="s">
        <v>52</v>
      </c>
      <c r="F2484" t="s">
        <v>2806</v>
      </c>
      <c r="G2484" t="s">
        <v>2807</v>
      </c>
      <c r="H2484" t="str">
        <f>"01700"</f>
        <v>01700</v>
      </c>
      <c r="I2484" t="s">
        <v>1501</v>
      </c>
    </row>
    <row r="2485" spans="1:9" x14ac:dyDescent="0.3">
      <c r="A2485" t="str">
        <f>"26560577"</f>
        <v>26560577</v>
      </c>
      <c r="B2485" t="s">
        <v>5089</v>
      </c>
      <c r="C2485" t="str">
        <f t="shared" si="177"/>
        <v>706</v>
      </c>
      <c r="D2485" t="s">
        <v>28</v>
      </c>
      <c r="E2485" t="s">
        <v>29</v>
      </c>
      <c r="F2485" t="s">
        <v>1796</v>
      </c>
      <c r="G2485" t="s">
        <v>5090</v>
      </c>
      <c r="H2485" t="str">
        <f>"01700"</f>
        <v>01700</v>
      </c>
      <c r="I2485" t="s">
        <v>1501</v>
      </c>
    </row>
    <row r="2486" spans="1:9" x14ac:dyDescent="0.3">
      <c r="A2486" t="str">
        <f>"01831810"</f>
        <v>01831810</v>
      </c>
      <c r="B2486" t="s">
        <v>5091</v>
      </c>
      <c r="C2486" t="str">
        <f t="shared" si="177"/>
        <v>706</v>
      </c>
      <c r="D2486" t="s">
        <v>28</v>
      </c>
      <c r="E2486" t="s">
        <v>29</v>
      </c>
      <c r="F2486" t="s">
        <v>29</v>
      </c>
      <c r="G2486" t="s">
        <v>29</v>
      </c>
      <c r="H2486" t="str">
        <f>"9499"</f>
        <v>9499</v>
      </c>
      <c r="I2486" t="s">
        <v>31</v>
      </c>
    </row>
    <row r="2487" spans="1:9" x14ac:dyDescent="0.3">
      <c r="A2487" t="str">
        <f>"26617811"</f>
        <v>26617811</v>
      </c>
      <c r="B2487" t="s">
        <v>5092</v>
      </c>
      <c r="C2487" t="str">
        <f t="shared" si="177"/>
        <v>706</v>
      </c>
      <c r="D2487" t="s">
        <v>28</v>
      </c>
      <c r="E2487" t="s">
        <v>23</v>
      </c>
      <c r="F2487" t="s">
        <v>793</v>
      </c>
      <c r="G2487" t="s">
        <v>5093</v>
      </c>
      <c r="H2487" t="str">
        <f>"01700"</f>
        <v>01700</v>
      </c>
      <c r="I2487" t="s">
        <v>1501</v>
      </c>
    </row>
    <row r="2488" spans="1:9" x14ac:dyDescent="0.3">
      <c r="A2488" t="str">
        <f>"04844424"</f>
        <v>04844424</v>
      </c>
      <c r="B2488" t="s">
        <v>5094</v>
      </c>
      <c r="C2488" t="str">
        <f t="shared" si="177"/>
        <v>706</v>
      </c>
      <c r="D2488" t="s">
        <v>28</v>
      </c>
      <c r="E2488" t="s">
        <v>52</v>
      </c>
      <c r="F2488" t="s">
        <v>234</v>
      </c>
      <c r="G2488" t="s">
        <v>5095</v>
      </c>
      <c r="H2488" t="str">
        <f>"9499"</f>
        <v>9499</v>
      </c>
      <c r="I2488" t="s">
        <v>31</v>
      </c>
    </row>
    <row r="2489" spans="1:9" x14ac:dyDescent="0.3">
      <c r="A2489" t="str">
        <f>"22662103"</f>
        <v>22662103</v>
      </c>
      <c r="B2489" t="s">
        <v>5096</v>
      </c>
      <c r="C2489" t="str">
        <f t="shared" si="177"/>
        <v>706</v>
      </c>
      <c r="D2489" t="s">
        <v>28</v>
      </c>
      <c r="E2489" t="s">
        <v>83</v>
      </c>
      <c r="F2489" t="s">
        <v>175</v>
      </c>
      <c r="G2489" t="s">
        <v>5097</v>
      </c>
      <c r="H2489" t="str">
        <f>"94993"</f>
        <v>94993</v>
      </c>
      <c r="I2489" t="s">
        <v>50</v>
      </c>
    </row>
    <row r="2490" spans="1:9" x14ac:dyDescent="0.3">
      <c r="A2490" t="str">
        <f>"01731114"</f>
        <v>01731114</v>
      </c>
      <c r="B2490" t="s">
        <v>5098</v>
      </c>
      <c r="C2490" t="str">
        <f t="shared" si="177"/>
        <v>706</v>
      </c>
      <c r="D2490" t="s">
        <v>28</v>
      </c>
      <c r="E2490" t="s">
        <v>23</v>
      </c>
      <c r="F2490" t="s">
        <v>87</v>
      </c>
      <c r="G2490" t="s">
        <v>5099</v>
      </c>
      <c r="H2490" t="str">
        <f>"9499"</f>
        <v>9499</v>
      </c>
      <c r="I2490" t="s">
        <v>31</v>
      </c>
    </row>
    <row r="2491" spans="1:9" x14ac:dyDescent="0.3">
      <c r="A2491" t="str">
        <f>"22888721"</f>
        <v>22888721</v>
      </c>
      <c r="B2491" t="s">
        <v>5100</v>
      </c>
      <c r="C2491" t="str">
        <f t="shared" si="177"/>
        <v>706</v>
      </c>
      <c r="D2491" t="s">
        <v>28</v>
      </c>
      <c r="E2491" t="s">
        <v>52</v>
      </c>
      <c r="F2491" t="s">
        <v>631</v>
      </c>
      <c r="G2491" t="s">
        <v>5101</v>
      </c>
      <c r="H2491" t="str">
        <f>"94993"</f>
        <v>94993</v>
      </c>
      <c r="I2491" t="s">
        <v>50</v>
      </c>
    </row>
    <row r="2492" spans="1:9" x14ac:dyDescent="0.3">
      <c r="A2492" t="str">
        <f>"26553406"</f>
        <v>26553406</v>
      </c>
      <c r="B2492" t="s">
        <v>5102</v>
      </c>
      <c r="C2492" t="str">
        <f t="shared" si="177"/>
        <v>706</v>
      </c>
      <c r="D2492" t="s">
        <v>28</v>
      </c>
      <c r="E2492" t="s">
        <v>83</v>
      </c>
      <c r="F2492" t="s">
        <v>409</v>
      </c>
      <c r="G2492" t="s">
        <v>5103</v>
      </c>
      <c r="H2492" t="str">
        <f>"94993"</f>
        <v>94993</v>
      </c>
      <c r="I2492" t="s">
        <v>50</v>
      </c>
    </row>
    <row r="2493" spans="1:9" x14ac:dyDescent="0.3">
      <c r="A2493" t="str">
        <f>"22862048"</f>
        <v>22862048</v>
      </c>
      <c r="B2493" t="s">
        <v>5104</v>
      </c>
      <c r="C2493" t="str">
        <f t="shared" si="177"/>
        <v>706</v>
      </c>
      <c r="D2493" t="s">
        <v>28</v>
      </c>
      <c r="E2493" t="s">
        <v>52</v>
      </c>
      <c r="F2493" t="s">
        <v>864</v>
      </c>
      <c r="G2493" t="s">
        <v>5105</v>
      </c>
      <c r="H2493" t="str">
        <f>"94993"</f>
        <v>94993</v>
      </c>
      <c r="I2493" t="s">
        <v>50</v>
      </c>
    </row>
    <row r="2494" spans="1:9" x14ac:dyDescent="0.3">
      <c r="A2494" t="str">
        <f>"27059791"</f>
        <v>27059791</v>
      </c>
      <c r="B2494" t="s">
        <v>5106</v>
      </c>
      <c r="C2494" t="str">
        <f t="shared" si="177"/>
        <v>706</v>
      </c>
      <c r="D2494" t="s">
        <v>28</v>
      </c>
      <c r="E2494" t="s">
        <v>23</v>
      </c>
      <c r="F2494" t="s">
        <v>141</v>
      </c>
      <c r="G2494" t="s">
        <v>5107</v>
      </c>
      <c r="H2494" t="str">
        <f t="shared" ref="H2494:H2499" si="181">"9499"</f>
        <v>9499</v>
      </c>
      <c r="I2494" t="s">
        <v>31</v>
      </c>
    </row>
    <row r="2495" spans="1:9" x14ac:dyDescent="0.3">
      <c r="A2495" t="str">
        <f>"27011119"</f>
        <v>27011119</v>
      </c>
      <c r="B2495" t="s">
        <v>5108</v>
      </c>
      <c r="C2495" t="str">
        <f t="shared" si="177"/>
        <v>706</v>
      </c>
      <c r="D2495" t="s">
        <v>28</v>
      </c>
      <c r="E2495" t="s">
        <v>23</v>
      </c>
      <c r="F2495" t="s">
        <v>24</v>
      </c>
      <c r="G2495" t="s">
        <v>5109</v>
      </c>
      <c r="H2495" t="str">
        <f t="shared" si="181"/>
        <v>9499</v>
      </c>
      <c r="I2495" t="s">
        <v>31</v>
      </c>
    </row>
    <row r="2496" spans="1:9" x14ac:dyDescent="0.3">
      <c r="A2496" t="str">
        <f>"26526662"</f>
        <v>26526662</v>
      </c>
      <c r="B2496" t="s">
        <v>5110</v>
      </c>
      <c r="C2496" t="str">
        <f t="shared" si="177"/>
        <v>706</v>
      </c>
      <c r="D2496" t="s">
        <v>28</v>
      </c>
      <c r="E2496" t="s">
        <v>52</v>
      </c>
      <c r="F2496" t="s">
        <v>739</v>
      </c>
      <c r="G2496" t="s">
        <v>2064</v>
      </c>
      <c r="H2496" t="str">
        <f t="shared" si="181"/>
        <v>9499</v>
      </c>
      <c r="I2496" t="s">
        <v>31</v>
      </c>
    </row>
    <row r="2497" spans="1:12" x14ac:dyDescent="0.3">
      <c r="A2497" t="str">
        <f>"22907149"</f>
        <v>22907149</v>
      </c>
      <c r="B2497" t="s">
        <v>5111</v>
      </c>
      <c r="C2497" t="str">
        <f t="shared" si="177"/>
        <v>706</v>
      </c>
      <c r="D2497" t="s">
        <v>28</v>
      </c>
      <c r="E2497" t="s">
        <v>29</v>
      </c>
      <c r="F2497" t="s">
        <v>29</v>
      </c>
      <c r="G2497" t="s">
        <v>5112</v>
      </c>
      <c r="H2497" t="str">
        <f t="shared" si="181"/>
        <v>9499</v>
      </c>
      <c r="I2497" t="s">
        <v>31</v>
      </c>
    </row>
    <row r="2498" spans="1:12" x14ac:dyDescent="0.3">
      <c r="A2498" t="str">
        <f>"22178091"</f>
        <v>22178091</v>
      </c>
      <c r="B2498" t="s">
        <v>5113</v>
      </c>
      <c r="C2498" t="str">
        <f t="shared" si="177"/>
        <v>706</v>
      </c>
      <c r="D2498" t="s">
        <v>28</v>
      </c>
      <c r="E2498" t="s">
        <v>52</v>
      </c>
      <c r="F2498" t="s">
        <v>1857</v>
      </c>
      <c r="G2498" t="s">
        <v>5114</v>
      </c>
      <c r="H2498" t="str">
        <f t="shared" si="181"/>
        <v>9499</v>
      </c>
      <c r="I2498" t="s">
        <v>31</v>
      </c>
    </row>
    <row r="2499" spans="1:12" x14ac:dyDescent="0.3">
      <c r="A2499" t="str">
        <f>"26519909"</f>
        <v>26519909</v>
      </c>
      <c r="B2499" t="s">
        <v>5115</v>
      </c>
      <c r="C2499" t="str">
        <f t="shared" si="177"/>
        <v>706</v>
      </c>
      <c r="D2499" t="s">
        <v>28</v>
      </c>
      <c r="E2499" t="s">
        <v>52</v>
      </c>
      <c r="F2499" t="s">
        <v>52</v>
      </c>
      <c r="G2499" t="s">
        <v>1240</v>
      </c>
      <c r="H2499" t="str">
        <f t="shared" si="181"/>
        <v>9499</v>
      </c>
      <c r="I2499" t="s">
        <v>31</v>
      </c>
    </row>
    <row r="2500" spans="1:12" x14ac:dyDescent="0.3">
      <c r="A2500" t="str">
        <f>"09608532"</f>
        <v>09608532</v>
      </c>
      <c r="B2500" t="s">
        <v>5116</v>
      </c>
      <c r="C2500" t="str">
        <f t="shared" si="177"/>
        <v>706</v>
      </c>
      <c r="D2500" t="s">
        <v>28</v>
      </c>
      <c r="E2500" t="s">
        <v>83</v>
      </c>
      <c r="F2500" t="s">
        <v>83</v>
      </c>
      <c r="G2500" t="s">
        <v>5117</v>
      </c>
      <c r="H2500" t="str">
        <f>"94993"</f>
        <v>94993</v>
      </c>
      <c r="I2500" t="s">
        <v>50</v>
      </c>
    </row>
    <row r="2501" spans="1:12" x14ac:dyDescent="0.3">
      <c r="A2501" t="str">
        <f>"04610300"</f>
        <v>04610300</v>
      </c>
      <c r="B2501" t="s">
        <v>5118</v>
      </c>
      <c r="C2501" t="str">
        <f t="shared" si="177"/>
        <v>706</v>
      </c>
      <c r="D2501" t="s">
        <v>28</v>
      </c>
      <c r="E2501" t="s">
        <v>29</v>
      </c>
      <c r="F2501" t="s">
        <v>195</v>
      </c>
      <c r="G2501" t="s">
        <v>5119</v>
      </c>
      <c r="H2501" t="str">
        <f>"9499"</f>
        <v>9499</v>
      </c>
      <c r="I2501" t="s">
        <v>31</v>
      </c>
    </row>
    <row r="2502" spans="1:12" x14ac:dyDescent="0.3">
      <c r="A2502" t="str">
        <f>"22818618"</f>
        <v>22818618</v>
      </c>
      <c r="B2502" t="s">
        <v>5120</v>
      </c>
      <c r="C2502" t="str">
        <f t="shared" si="177"/>
        <v>706</v>
      </c>
      <c r="D2502" t="s">
        <v>28</v>
      </c>
      <c r="E2502" t="s">
        <v>83</v>
      </c>
      <c r="F2502" t="s">
        <v>183</v>
      </c>
      <c r="G2502" t="s">
        <v>1052</v>
      </c>
      <c r="H2502" t="str">
        <f>"9499"</f>
        <v>9499</v>
      </c>
      <c r="I2502" t="s">
        <v>31</v>
      </c>
    </row>
    <row r="2503" spans="1:12" x14ac:dyDescent="0.3">
      <c r="A2503" t="str">
        <f>"14233169"</f>
        <v>14233169</v>
      </c>
      <c r="B2503" t="s">
        <v>5121</v>
      </c>
      <c r="C2503" t="str">
        <f t="shared" si="177"/>
        <v>706</v>
      </c>
      <c r="D2503" t="s">
        <v>28</v>
      </c>
      <c r="E2503" t="s">
        <v>83</v>
      </c>
      <c r="F2503" t="s">
        <v>83</v>
      </c>
      <c r="G2503" t="s">
        <v>5122</v>
      </c>
      <c r="H2503" t="str">
        <f>"94991"</f>
        <v>94991</v>
      </c>
      <c r="I2503" t="s">
        <v>433</v>
      </c>
    </row>
    <row r="2504" spans="1:12" x14ac:dyDescent="0.3">
      <c r="A2504" t="str">
        <f>"27055973"</f>
        <v>27055973</v>
      </c>
      <c r="B2504" t="s">
        <v>5123</v>
      </c>
      <c r="C2504" t="str">
        <f t="shared" si="177"/>
        <v>706</v>
      </c>
      <c r="D2504" t="s">
        <v>28</v>
      </c>
      <c r="E2504" t="s">
        <v>23</v>
      </c>
      <c r="F2504" t="s">
        <v>107</v>
      </c>
      <c r="G2504" t="s">
        <v>5124</v>
      </c>
      <c r="H2504" t="str">
        <f>"9499"</f>
        <v>9499</v>
      </c>
      <c r="I2504" t="s">
        <v>31</v>
      </c>
    </row>
    <row r="2505" spans="1:12" x14ac:dyDescent="0.3">
      <c r="A2505" t="str">
        <f>"27047997"</f>
        <v>27047997</v>
      </c>
      <c r="B2505" t="s">
        <v>5125</v>
      </c>
      <c r="C2505" t="str">
        <f t="shared" si="177"/>
        <v>706</v>
      </c>
      <c r="D2505" t="s">
        <v>28</v>
      </c>
      <c r="E2505" t="s">
        <v>52</v>
      </c>
      <c r="F2505" t="s">
        <v>645</v>
      </c>
      <c r="G2505" t="s">
        <v>5126</v>
      </c>
      <c r="H2505" t="str">
        <f>"93110"</f>
        <v>93110</v>
      </c>
      <c r="I2505" t="s">
        <v>92</v>
      </c>
    </row>
    <row r="2506" spans="1:12" x14ac:dyDescent="0.3">
      <c r="A2506" t="str">
        <f>"26659271"</f>
        <v>26659271</v>
      </c>
      <c r="B2506" t="s">
        <v>5127</v>
      </c>
      <c r="C2506" t="str">
        <f t="shared" ref="C2506:C2535" si="182">"706"</f>
        <v>706</v>
      </c>
      <c r="D2506" t="s">
        <v>28</v>
      </c>
      <c r="E2506" t="s">
        <v>23</v>
      </c>
      <c r="F2506" t="s">
        <v>1492</v>
      </c>
      <c r="G2506" t="s">
        <v>5128</v>
      </c>
      <c r="H2506" t="str">
        <f>"93110"</f>
        <v>93110</v>
      </c>
      <c r="I2506" t="s">
        <v>92</v>
      </c>
    </row>
    <row r="2507" spans="1:12" x14ac:dyDescent="0.3">
      <c r="A2507" t="str">
        <f>"26572346"</f>
        <v>26572346</v>
      </c>
      <c r="B2507" t="s">
        <v>5129</v>
      </c>
      <c r="C2507" t="str">
        <f t="shared" si="182"/>
        <v>706</v>
      </c>
      <c r="D2507" t="s">
        <v>28</v>
      </c>
      <c r="E2507" t="s">
        <v>52</v>
      </c>
      <c r="F2507" t="s">
        <v>73</v>
      </c>
      <c r="G2507" t="s">
        <v>5130</v>
      </c>
      <c r="H2507" t="str">
        <f t="shared" ref="H2507:H2514" si="183">"9499"</f>
        <v>9499</v>
      </c>
      <c r="I2507" t="s">
        <v>31</v>
      </c>
    </row>
    <row r="2508" spans="1:12" x14ac:dyDescent="0.3">
      <c r="A2508" t="str">
        <f>"14612488"</f>
        <v>14612488</v>
      </c>
      <c r="B2508" t="s">
        <v>5131</v>
      </c>
      <c r="C2508" t="str">
        <f t="shared" si="182"/>
        <v>706</v>
      </c>
      <c r="D2508" t="s">
        <v>28</v>
      </c>
      <c r="E2508" t="s">
        <v>29</v>
      </c>
      <c r="F2508" t="s">
        <v>195</v>
      </c>
      <c r="G2508" t="s">
        <v>5132</v>
      </c>
      <c r="H2508" t="str">
        <f t="shared" si="183"/>
        <v>9499</v>
      </c>
      <c r="I2508" t="s">
        <v>31</v>
      </c>
    </row>
    <row r="2509" spans="1:12" x14ac:dyDescent="0.3">
      <c r="A2509" t="str">
        <f>"27054471"</f>
        <v>27054471</v>
      </c>
      <c r="B2509" t="s">
        <v>5133</v>
      </c>
      <c r="C2509" t="str">
        <f t="shared" si="182"/>
        <v>706</v>
      </c>
      <c r="D2509" t="s">
        <v>28</v>
      </c>
      <c r="E2509" t="s">
        <v>52</v>
      </c>
      <c r="F2509" t="s">
        <v>612</v>
      </c>
      <c r="G2509" t="s">
        <v>4450</v>
      </c>
      <c r="H2509" t="str">
        <f t="shared" si="183"/>
        <v>9499</v>
      </c>
      <c r="I2509" t="s">
        <v>31</v>
      </c>
    </row>
    <row r="2510" spans="1:12" x14ac:dyDescent="0.3">
      <c r="A2510" t="str">
        <f>"05215196"</f>
        <v>05215196</v>
      </c>
      <c r="B2510" t="s">
        <v>5134</v>
      </c>
      <c r="C2510" t="str">
        <f t="shared" si="182"/>
        <v>706</v>
      </c>
      <c r="D2510" t="s">
        <v>28</v>
      </c>
      <c r="E2510" t="s">
        <v>52</v>
      </c>
      <c r="F2510" t="s">
        <v>1622</v>
      </c>
      <c r="G2510" t="s">
        <v>5135</v>
      </c>
      <c r="H2510" t="str">
        <f t="shared" si="183"/>
        <v>9499</v>
      </c>
      <c r="I2510" t="s">
        <v>31</v>
      </c>
    </row>
    <row r="2511" spans="1:12" x14ac:dyDescent="0.3">
      <c r="A2511" t="str">
        <f>"26680912"</f>
        <v>26680912</v>
      </c>
      <c r="B2511" t="s">
        <v>5136</v>
      </c>
      <c r="C2511" t="str">
        <f t="shared" si="182"/>
        <v>706</v>
      </c>
      <c r="D2511" t="s">
        <v>28</v>
      </c>
      <c r="E2511" t="s">
        <v>52</v>
      </c>
      <c r="F2511" t="s">
        <v>52</v>
      </c>
      <c r="G2511" t="s">
        <v>5137</v>
      </c>
      <c r="H2511" t="str">
        <f t="shared" si="183"/>
        <v>9499</v>
      </c>
      <c r="I2511" t="s">
        <v>31</v>
      </c>
    </row>
    <row r="2512" spans="1:12" x14ac:dyDescent="0.3">
      <c r="A2512" t="str">
        <f>"69720151"</f>
        <v>69720151</v>
      </c>
      <c r="B2512" t="s">
        <v>5138</v>
      </c>
      <c r="C2512" t="str">
        <f t="shared" si="182"/>
        <v>706</v>
      </c>
      <c r="D2512" t="s">
        <v>28</v>
      </c>
      <c r="E2512" t="s">
        <v>23</v>
      </c>
      <c r="F2512" t="s">
        <v>107</v>
      </c>
      <c r="G2512" t="s">
        <v>5139</v>
      </c>
      <c r="H2512" t="str">
        <f t="shared" si="183"/>
        <v>9499</v>
      </c>
      <c r="I2512" t="s">
        <v>31</v>
      </c>
      <c r="J2512" t="s">
        <v>258</v>
      </c>
      <c r="K2512" t="s">
        <v>161</v>
      </c>
      <c r="L2512" t="s">
        <v>209</v>
      </c>
    </row>
    <row r="2513" spans="1:9" x14ac:dyDescent="0.3">
      <c r="A2513" t="str">
        <f>"26516110"</f>
        <v>26516110</v>
      </c>
      <c r="B2513" t="s">
        <v>5140</v>
      </c>
      <c r="C2513" t="str">
        <f t="shared" si="182"/>
        <v>706</v>
      </c>
      <c r="D2513" t="s">
        <v>28</v>
      </c>
      <c r="E2513" t="s">
        <v>23</v>
      </c>
      <c r="F2513" t="s">
        <v>975</v>
      </c>
      <c r="G2513" t="s">
        <v>5141</v>
      </c>
      <c r="H2513" t="str">
        <f t="shared" si="183"/>
        <v>9499</v>
      </c>
      <c r="I2513" t="s">
        <v>31</v>
      </c>
    </row>
    <row r="2514" spans="1:9" x14ac:dyDescent="0.3">
      <c r="A2514" t="str">
        <f>"02152746"</f>
        <v>02152746</v>
      </c>
      <c r="B2514" t="s">
        <v>5142</v>
      </c>
      <c r="C2514" t="str">
        <f t="shared" si="182"/>
        <v>706</v>
      </c>
      <c r="D2514" t="s">
        <v>28</v>
      </c>
      <c r="E2514" t="s">
        <v>52</v>
      </c>
      <c r="F2514" t="s">
        <v>52</v>
      </c>
      <c r="G2514" t="s">
        <v>5143</v>
      </c>
      <c r="H2514" t="str">
        <f t="shared" si="183"/>
        <v>9499</v>
      </c>
      <c r="I2514" t="s">
        <v>31</v>
      </c>
    </row>
    <row r="2515" spans="1:9" x14ac:dyDescent="0.3">
      <c r="A2515" t="str">
        <f>"69651094"</f>
        <v>69651094</v>
      </c>
      <c r="B2515" t="s">
        <v>5144</v>
      </c>
      <c r="C2515" t="str">
        <f t="shared" si="182"/>
        <v>706</v>
      </c>
      <c r="D2515" t="s">
        <v>28</v>
      </c>
      <c r="E2515" t="s">
        <v>83</v>
      </c>
      <c r="F2515" t="s">
        <v>83</v>
      </c>
      <c r="G2515" t="s">
        <v>5145</v>
      </c>
      <c r="H2515" t="str">
        <f>"94920"</f>
        <v>94920</v>
      </c>
      <c r="I2515" t="s">
        <v>5146</v>
      </c>
    </row>
    <row r="2516" spans="1:9" x14ac:dyDescent="0.3">
      <c r="A2516" t="str">
        <f>"26545241"</f>
        <v>26545241</v>
      </c>
      <c r="B2516" t="s">
        <v>5147</v>
      </c>
      <c r="C2516" t="str">
        <f t="shared" si="182"/>
        <v>706</v>
      </c>
      <c r="D2516" t="s">
        <v>28</v>
      </c>
      <c r="E2516" t="s">
        <v>52</v>
      </c>
      <c r="F2516" t="s">
        <v>65</v>
      </c>
      <c r="G2516" t="s">
        <v>1799</v>
      </c>
      <c r="H2516" t="str">
        <f t="shared" ref="H2516:H2521" si="184">"9499"</f>
        <v>9499</v>
      </c>
      <c r="I2516" t="s">
        <v>31</v>
      </c>
    </row>
    <row r="2517" spans="1:9" x14ac:dyDescent="0.3">
      <c r="A2517" t="str">
        <f>"08172811"</f>
        <v>08172811</v>
      </c>
      <c r="B2517" t="s">
        <v>5148</v>
      </c>
      <c r="C2517" t="str">
        <f t="shared" si="182"/>
        <v>706</v>
      </c>
      <c r="D2517" t="s">
        <v>28</v>
      </c>
      <c r="E2517" t="s">
        <v>52</v>
      </c>
      <c r="F2517" t="s">
        <v>1788</v>
      </c>
      <c r="G2517" t="s">
        <v>5149</v>
      </c>
      <c r="H2517" t="str">
        <f t="shared" si="184"/>
        <v>9499</v>
      </c>
      <c r="I2517" t="s">
        <v>31</v>
      </c>
    </row>
    <row r="2518" spans="1:9" x14ac:dyDescent="0.3">
      <c r="A2518" t="str">
        <f>"22683453"</f>
        <v>22683453</v>
      </c>
      <c r="B2518" t="s">
        <v>5150</v>
      </c>
      <c r="C2518" t="str">
        <f t="shared" si="182"/>
        <v>706</v>
      </c>
      <c r="D2518" t="s">
        <v>28</v>
      </c>
      <c r="E2518" t="s">
        <v>52</v>
      </c>
      <c r="F2518" t="s">
        <v>73</v>
      </c>
      <c r="G2518" t="s">
        <v>5151</v>
      </c>
      <c r="H2518" t="str">
        <f t="shared" si="184"/>
        <v>9499</v>
      </c>
      <c r="I2518" t="s">
        <v>31</v>
      </c>
    </row>
    <row r="2519" spans="1:9" x14ac:dyDescent="0.3">
      <c r="A2519" t="str">
        <f>"26531917"</f>
        <v>26531917</v>
      </c>
      <c r="B2519" t="s">
        <v>5152</v>
      </c>
      <c r="C2519" t="str">
        <f t="shared" si="182"/>
        <v>706</v>
      </c>
      <c r="D2519" t="s">
        <v>28</v>
      </c>
      <c r="E2519" t="s">
        <v>52</v>
      </c>
      <c r="F2519" t="s">
        <v>1676</v>
      </c>
      <c r="G2519" t="s">
        <v>1677</v>
      </c>
      <c r="H2519" t="str">
        <f t="shared" si="184"/>
        <v>9499</v>
      </c>
      <c r="I2519" t="s">
        <v>31</v>
      </c>
    </row>
    <row r="2520" spans="1:9" x14ac:dyDescent="0.3">
      <c r="A2520" t="str">
        <f>"22683160"</f>
        <v>22683160</v>
      </c>
      <c r="B2520" t="s">
        <v>5153</v>
      </c>
      <c r="C2520" t="str">
        <f t="shared" si="182"/>
        <v>706</v>
      </c>
      <c r="D2520" t="s">
        <v>28</v>
      </c>
      <c r="E2520" t="s">
        <v>52</v>
      </c>
      <c r="F2520" t="s">
        <v>2736</v>
      </c>
      <c r="G2520" t="s">
        <v>5154</v>
      </c>
      <c r="H2520" t="str">
        <f t="shared" si="184"/>
        <v>9499</v>
      </c>
      <c r="I2520" t="s">
        <v>31</v>
      </c>
    </row>
    <row r="2521" spans="1:9" x14ac:dyDescent="0.3">
      <c r="A2521" t="str">
        <f>"22903836"</f>
        <v>22903836</v>
      </c>
      <c r="B2521" t="s">
        <v>5155</v>
      </c>
      <c r="C2521" t="str">
        <f t="shared" si="182"/>
        <v>706</v>
      </c>
      <c r="D2521" t="s">
        <v>28</v>
      </c>
      <c r="E2521" t="s">
        <v>52</v>
      </c>
      <c r="F2521" t="s">
        <v>52</v>
      </c>
      <c r="G2521" t="s">
        <v>5156</v>
      </c>
      <c r="H2521" t="str">
        <f t="shared" si="184"/>
        <v>9499</v>
      </c>
      <c r="I2521" t="s">
        <v>31</v>
      </c>
    </row>
    <row r="2522" spans="1:9" x14ac:dyDescent="0.3">
      <c r="A2522" t="str">
        <f>"22685081"</f>
        <v>22685081</v>
      </c>
      <c r="B2522" t="s">
        <v>5157</v>
      </c>
      <c r="C2522" t="str">
        <f t="shared" si="182"/>
        <v>706</v>
      </c>
      <c r="D2522" t="s">
        <v>28</v>
      </c>
      <c r="E2522" t="s">
        <v>52</v>
      </c>
      <c r="F2522" t="s">
        <v>5158</v>
      </c>
      <c r="G2522" t="s">
        <v>5159</v>
      </c>
      <c r="H2522" t="str">
        <f>"90010"</f>
        <v>90010</v>
      </c>
      <c r="I2522" t="s">
        <v>2014</v>
      </c>
    </row>
    <row r="2523" spans="1:9" x14ac:dyDescent="0.3">
      <c r="A2523" t="str">
        <f>"06150462"</f>
        <v>06150462</v>
      </c>
      <c r="B2523" t="s">
        <v>5160</v>
      </c>
      <c r="C2523" t="str">
        <f t="shared" si="182"/>
        <v>706</v>
      </c>
      <c r="D2523" t="s">
        <v>28</v>
      </c>
      <c r="E2523" t="s">
        <v>52</v>
      </c>
      <c r="F2523" t="s">
        <v>113</v>
      </c>
      <c r="G2523" t="s">
        <v>491</v>
      </c>
      <c r="H2523" t="str">
        <f>"9499"</f>
        <v>9499</v>
      </c>
      <c r="I2523" t="s">
        <v>31</v>
      </c>
    </row>
    <row r="2524" spans="1:9" x14ac:dyDescent="0.3">
      <c r="A2524" t="str">
        <f>"22905693"</f>
        <v>22905693</v>
      </c>
      <c r="B2524" t="s">
        <v>5161</v>
      </c>
      <c r="C2524" t="str">
        <f t="shared" si="182"/>
        <v>706</v>
      </c>
      <c r="D2524" t="s">
        <v>28</v>
      </c>
      <c r="E2524" t="s">
        <v>29</v>
      </c>
      <c r="F2524" t="s">
        <v>3480</v>
      </c>
      <c r="G2524" t="s">
        <v>5162</v>
      </c>
      <c r="H2524" t="str">
        <f>"94993"</f>
        <v>94993</v>
      </c>
      <c r="I2524" t="s">
        <v>50</v>
      </c>
    </row>
    <row r="2525" spans="1:9" x14ac:dyDescent="0.3">
      <c r="A2525" t="str">
        <f>"19285922"</f>
        <v>19285922</v>
      </c>
      <c r="B2525" t="s">
        <v>5163</v>
      </c>
      <c r="C2525" t="str">
        <f t="shared" si="182"/>
        <v>706</v>
      </c>
      <c r="D2525" t="s">
        <v>28</v>
      </c>
      <c r="E2525" t="s">
        <v>52</v>
      </c>
      <c r="F2525" t="s">
        <v>1257</v>
      </c>
      <c r="G2525" t="s">
        <v>5164</v>
      </c>
      <c r="H2525" t="str">
        <f>"9499"</f>
        <v>9499</v>
      </c>
      <c r="I2525" t="s">
        <v>31</v>
      </c>
    </row>
    <row r="2526" spans="1:9" x14ac:dyDescent="0.3">
      <c r="A2526" t="str">
        <f>"22890661"</f>
        <v>22890661</v>
      </c>
      <c r="B2526" t="s">
        <v>5165</v>
      </c>
      <c r="C2526" t="str">
        <f t="shared" si="182"/>
        <v>706</v>
      </c>
      <c r="D2526" t="s">
        <v>28</v>
      </c>
      <c r="E2526" t="s">
        <v>23</v>
      </c>
      <c r="F2526" t="s">
        <v>1492</v>
      </c>
      <c r="G2526" t="s">
        <v>5166</v>
      </c>
      <c r="H2526" t="str">
        <f>"94993"</f>
        <v>94993</v>
      </c>
      <c r="I2526" t="s">
        <v>50</v>
      </c>
    </row>
    <row r="2527" spans="1:9" x14ac:dyDescent="0.3">
      <c r="A2527" t="str">
        <f>"19303246"</f>
        <v>19303246</v>
      </c>
      <c r="B2527" t="s">
        <v>5167</v>
      </c>
      <c r="C2527" t="str">
        <f t="shared" si="182"/>
        <v>706</v>
      </c>
      <c r="D2527" t="s">
        <v>28</v>
      </c>
      <c r="E2527" t="s">
        <v>29</v>
      </c>
      <c r="F2527" t="s">
        <v>5168</v>
      </c>
      <c r="G2527" t="s">
        <v>5169</v>
      </c>
      <c r="H2527" t="str">
        <f>"93190"</f>
        <v>93190</v>
      </c>
      <c r="I2527" t="s">
        <v>59</v>
      </c>
    </row>
    <row r="2528" spans="1:9" x14ac:dyDescent="0.3">
      <c r="A2528" t="str">
        <f>"22736972"</f>
        <v>22736972</v>
      </c>
      <c r="B2528" t="s">
        <v>5170</v>
      </c>
      <c r="C2528" t="str">
        <f t="shared" si="182"/>
        <v>706</v>
      </c>
      <c r="D2528" t="s">
        <v>28</v>
      </c>
      <c r="E2528" t="s">
        <v>52</v>
      </c>
      <c r="F2528" t="s">
        <v>1212</v>
      </c>
      <c r="G2528" t="s">
        <v>5171</v>
      </c>
      <c r="H2528" t="str">
        <f>"9499"</f>
        <v>9499</v>
      </c>
      <c r="I2528" t="s">
        <v>31</v>
      </c>
    </row>
    <row r="2529" spans="1:10" x14ac:dyDescent="0.3">
      <c r="A2529" t="str">
        <f>"01286684"</f>
        <v>01286684</v>
      </c>
      <c r="B2529" t="s">
        <v>5172</v>
      </c>
      <c r="C2529" t="str">
        <f t="shared" si="182"/>
        <v>706</v>
      </c>
      <c r="D2529" t="s">
        <v>28</v>
      </c>
      <c r="E2529" t="s">
        <v>29</v>
      </c>
      <c r="F2529" t="s">
        <v>1266</v>
      </c>
      <c r="G2529" t="s">
        <v>5173</v>
      </c>
      <c r="H2529" t="str">
        <f>"01700"</f>
        <v>01700</v>
      </c>
      <c r="I2529" t="s">
        <v>1501</v>
      </c>
    </row>
    <row r="2530" spans="1:10" x14ac:dyDescent="0.3">
      <c r="A2530" t="str">
        <f>"01643878"</f>
        <v>01643878</v>
      </c>
      <c r="B2530" t="s">
        <v>5174</v>
      </c>
      <c r="C2530" t="str">
        <f t="shared" si="182"/>
        <v>706</v>
      </c>
      <c r="D2530" t="s">
        <v>28</v>
      </c>
      <c r="E2530" t="s">
        <v>52</v>
      </c>
      <c r="F2530" t="s">
        <v>379</v>
      </c>
      <c r="G2530" t="s">
        <v>5175</v>
      </c>
      <c r="H2530" t="str">
        <f>"9499"</f>
        <v>9499</v>
      </c>
      <c r="I2530" t="s">
        <v>31</v>
      </c>
    </row>
    <row r="2531" spans="1:10" x14ac:dyDescent="0.3">
      <c r="A2531" t="str">
        <f>"06119051"</f>
        <v>06119051</v>
      </c>
      <c r="B2531" t="s">
        <v>5176</v>
      </c>
      <c r="C2531" t="str">
        <f t="shared" si="182"/>
        <v>706</v>
      </c>
      <c r="D2531" t="s">
        <v>28</v>
      </c>
      <c r="E2531" t="s">
        <v>23</v>
      </c>
      <c r="F2531" t="s">
        <v>1758</v>
      </c>
      <c r="G2531" t="s">
        <v>4434</v>
      </c>
      <c r="H2531" t="str">
        <f>"94995"</f>
        <v>94995</v>
      </c>
      <c r="I2531" t="s">
        <v>232</v>
      </c>
      <c r="J2531" t="s">
        <v>1501</v>
      </c>
    </row>
    <row r="2532" spans="1:10" x14ac:dyDescent="0.3">
      <c r="A2532" t="str">
        <f>"22745912"</f>
        <v>22745912</v>
      </c>
      <c r="B2532" t="s">
        <v>5177</v>
      </c>
      <c r="C2532" t="str">
        <f t="shared" si="182"/>
        <v>706</v>
      </c>
      <c r="D2532" t="s">
        <v>28</v>
      </c>
      <c r="E2532" t="s">
        <v>83</v>
      </c>
      <c r="F2532" t="s">
        <v>83</v>
      </c>
      <c r="G2532" t="s">
        <v>5178</v>
      </c>
      <c r="H2532" t="str">
        <f>"01700"</f>
        <v>01700</v>
      </c>
      <c r="I2532" t="s">
        <v>1501</v>
      </c>
    </row>
    <row r="2533" spans="1:10" x14ac:dyDescent="0.3">
      <c r="A2533" t="str">
        <f>"65325982"</f>
        <v>65325982</v>
      </c>
      <c r="B2533" t="s">
        <v>5179</v>
      </c>
      <c r="C2533" t="str">
        <f t="shared" si="182"/>
        <v>706</v>
      </c>
      <c r="D2533" t="s">
        <v>28</v>
      </c>
      <c r="E2533" t="s">
        <v>52</v>
      </c>
      <c r="F2533" t="s">
        <v>612</v>
      </c>
      <c r="G2533" t="s">
        <v>5180</v>
      </c>
      <c r="H2533" t="str">
        <f>"01700"</f>
        <v>01700</v>
      </c>
      <c r="I2533" t="s">
        <v>1501</v>
      </c>
    </row>
    <row r="2534" spans="1:10" x14ac:dyDescent="0.3">
      <c r="A2534" t="str">
        <f>"75136791"</f>
        <v>75136791</v>
      </c>
      <c r="B2534" t="s">
        <v>5181</v>
      </c>
      <c r="C2534" t="str">
        <f t="shared" si="182"/>
        <v>706</v>
      </c>
      <c r="D2534" t="s">
        <v>28</v>
      </c>
      <c r="E2534" t="s">
        <v>23</v>
      </c>
      <c r="F2534" t="s">
        <v>721</v>
      </c>
      <c r="G2534" t="s">
        <v>5182</v>
      </c>
      <c r="H2534" t="str">
        <f>"01700"</f>
        <v>01700</v>
      </c>
      <c r="I2534" t="s">
        <v>1501</v>
      </c>
    </row>
    <row r="2535" spans="1:10" x14ac:dyDescent="0.3">
      <c r="A2535" t="str">
        <f>"26569256"</f>
        <v>26569256</v>
      </c>
      <c r="B2535" t="s">
        <v>5183</v>
      </c>
      <c r="C2535" t="str">
        <f t="shared" si="182"/>
        <v>706</v>
      </c>
      <c r="D2535" t="s">
        <v>28</v>
      </c>
      <c r="E2535" t="s">
        <v>52</v>
      </c>
      <c r="F2535" t="s">
        <v>796</v>
      </c>
      <c r="G2535" t="s">
        <v>5184</v>
      </c>
      <c r="H2535" t="str">
        <f>"01700"</f>
        <v>01700</v>
      </c>
      <c r="I2535" t="s">
        <v>1501</v>
      </c>
    </row>
    <row r="2536" spans="1:10" x14ac:dyDescent="0.3">
      <c r="A2536" t="str">
        <f>"71205357"</f>
        <v>71205357</v>
      </c>
      <c r="B2536" t="s">
        <v>5185</v>
      </c>
      <c r="C2536" t="str">
        <f t="shared" ref="C2536:C2599" si="185">"706"</f>
        <v>706</v>
      </c>
      <c r="D2536" t="s">
        <v>28</v>
      </c>
      <c r="E2536" t="s">
        <v>52</v>
      </c>
      <c r="F2536" t="s">
        <v>4762</v>
      </c>
      <c r="G2536" t="s">
        <v>4763</v>
      </c>
      <c r="H2536" t="str">
        <f>"01700"</f>
        <v>01700</v>
      </c>
      <c r="I2536" t="s">
        <v>1501</v>
      </c>
    </row>
    <row r="2537" spans="1:10" x14ac:dyDescent="0.3">
      <c r="A2537" t="str">
        <f>"65469747"</f>
        <v>65469747</v>
      </c>
      <c r="B2537" t="s">
        <v>5186</v>
      </c>
      <c r="C2537" t="str">
        <f t="shared" si="185"/>
        <v>706</v>
      </c>
      <c r="D2537" t="s">
        <v>28</v>
      </c>
      <c r="E2537" t="s">
        <v>29</v>
      </c>
      <c r="F2537" t="s">
        <v>1266</v>
      </c>
      <c r="G2537" t="s">
        <v>1266</v>
      </c>
      <c r="H2537" t="str">
        <f>"01700"</f>
        <v>01700</v>
      </c>
      <c r="I2537" t="s">
        <v>1501</v>
      </c>
    </row>
    <row r="2538" spans="1:10" x14ac:dyDescent="0.3">
      <c r="A2538" t="str">
        <f>"01951963"</f>
        <v>01951963</v>
      </c>
      <c r="B2538" t="s">
        <v>5187</v>
      </c>
      <c r="C2538" t="str">
        <f t="shared" si="185"/>
        <v>706</v>
      </c>
      <c r="D2538" t="s">
        <v>28</v>
      </c>
      <c r="E2538" t="s">
        <v>29</v>
      </c>
      <c r="F2538" t="s">
        <v>1266</v>
      </c>
      <c r="G2538" t="s">
        <v>1266</v>
      </c>
      <c r="H2538" t="str">
        <f>"0170"</f>
        <v>0170</v>
      </c>
      <c r="I2538" t="s">
        <v>1501</v>
      </c>
    </row>
    <row r="2539" spans="1:10" x14ac:dyDescent="0.3">
      <c r="A2539" t="str">
        <f>"48506079"</f>
        <v>48506079</v>
      </c>
      <c r="B2539" t="s">
        <v>5188</v>
      </c>
      <c r="C2539" t="str">
        <f t="shared" si="185"/>
        <v>706</v>
      </c>
      <c r="D2539" t="s">
        <v>28</v>
      </c>
      <c r="E2539" t="s">
        <v>52</v>
      </c>
      <c r="F2539" t="s">
        <v>960</v>
      </c>
      <c r="G2539" t="s">
        <v>1763</v>
      </c>
      <c r="H2539" t="str">
        <f t="shared" ref="H2539:H2544" si="186">"01700"</f>
        <v>01700</v>
      </c>
      <c r="I2539" t="s">
        <v>1501</v>
      </c>
    </row>
    <row r="2540" spans="1:10" x14ac:dyDescent="0.3">
      <c r="A2540" t="str">
        <f>"65469755"</f>
        <v>65469755</v>
      </c>
      <c r="B2540" t="s">
        <v>5189</v>
      </c>
      <c r="C2540" t="str">
        <f t="shared" si="185"/>
        <v>706</v>
      </c>
      <c r="D2540" t="s">
        <v>28</v>
      </c>
      <c r="E2540" t="s">
        <v>29</v>
      </c>
      <c r="F2540" t="s">
        <v>117</v>
      </c>
      <c r="G2540" t="s">
        <v>117</v>
      </c>
      <c r="H2540" t="str">
        <f t="shared" si="186"/>
        <v>01700</v>
      </c>
      <c r="I2540" t="s">
        <v>1501</v>
      </c>
    </row>
    <row r="2541" spans="1:10" x14ac:dyDescent="0.3">
      <c r="A2541" t="str">
        <f>"48772941"</f>
        <v>48772941</v>
      </c>
      <c r="B2541" t="s">
        <v>5190</v>
      </c>
      <c r="C2541" t="str">
        <f t="shared" si="185"/>
        <v>706</v>
      </c>
      <c r="D2541" t="s">
        <v>28</v>
      </c>
      <c r="E2541" t="s">
        <v>29</v>
      </c>
      <c r="F2541" t="s">
        <v>45</v>
      </c>
      <c r="G2541" t="s">
        <v>5191</v>
      </c>
      <c r="H2541" t="str">
        <f t="shared" si="186"/>
        <v>01700</v>
      </c>
      <c r="I2541" t="s">
        <v>1501</v>
      </c>
    </row>
    <row r="2542" spans="1:10" x14ac:dyDescent="0.3">
      <c r="A2542" t="str">
        <f>"47935014"</f>
        <v>47935014</v>
      </c>
      <c r="B2542" t="s">
        <v>5192</v>
      </c>
      <c r="C2542" t="str">
        <f t="shared" si="185"/>
        <v>706</v>
      </c>
      <c r="D2542" t="s">
        <v>28</v>
      </c>
      <c r="E2542" t="s">
        <v>83</v>
      </c>
      <c r="F2542" t="s">
        <v>84</v>
      </c>
      <c r="G2542" t="s">
        <v>5193</v>
      </c>
      <c r="H2542" t="str">
        <f t="shared" si="186"/>
        <v>01700</v>
      </c>
      <c r="I2542" t="s">
        <v>1501</v>
      </c>
    </row>
    <row r="2543" spans="1:10" x14ac:dyDescent="0.3">
      <c r="A2543" t="str">
        <f>"62832816"</f>
        <v>62832816</v>
      </c>
      <c r="B2543" t="s">
        <v>5194</v>
      </c>
      <c r="C2543" t="str">
        <f t="shared" si="185"/>
        <v>706</v>
      </c>
      <c r="D2543" t="s">
        <v>28</v>
      </c>
      <c r="E2543" t="s">
        <v>52</v>
      </c>
      <c r="F2543" t="s">
        <v>951</v>
      </c>
      <c r="G2543" t="s">
        <v>5195</v>
      </c>
      <c r="H2543" t="str">
        <f t="shared" si="186"/>
        <v>01700</v>
      </c>
      <c r="I2543" t="s">
        <v>1501</v>
      </c>
    </row>
    <row r="2544" spans="1:10" x14ac:dyDescent="0.3">
      <c r="A2544" t="str">
        <f>"70287767"</f>
        <v>70287767</v>
      </c>
      <c r="B2544" t="s">
        <v>5196</v>
      </c>
      <c r="C2544" t="str">
        <f t="shared" si="185"/>
        <v>706</v>
      </c>
      <c r="D2544" t="s">
        <v>28</v>
      </c>
      <c r="E2544" t="s">
        <v>52</v>
      </c>
      <c r="F2544" t="s">
        <v>80</v>
      </c>
      <c r="G2544" t="s">
        <v>5197</v>
      </c>
      <c r="H2544" t="str">
        <f t="shared" si="186"/>
        <v>01700</v>
      </c>
      <c r="I2544" t="s">
        <v>1501</v>
      </c>
    </row>
    <row r="2545" spans="1:11" x14ac:dyDescent="0.3">
      <c r="A2545" t="str">
        <f>"86787101"</f>
        <v>86787101</v>
      </c>
      <c r="B2545" t="s">
        <v>5198</v>
      </c>
      <c r="C2545" t="str">
        <f t="shared" si="185"/>
        <v>706</v>
      </c>
      <c r="D2545" t="s">
        <v>28</v>
      </c>
      <c r="E2545" t="s">
        <v>52</v>
      </c>
      <c r="F2545" t="s">
        <v>362</v>
      </c>
      <c r="G2545" t="s">
        <v>5199</v>
      </c>
      <c r="H2545" t="str">
        <f>"017"</f>
        <v>017</v>
      </c>
      <c r="I2545" t="s">
        <v>1501</v>
      </c>
    </row>
    <row r="2546" spans="1:11" x14ac:dyDescent="0.3">
      <c r="A2546" t="str">
        <f>"01343491"</f>
        <v>01343491</v>
      </c>
      <c r="B2546" t="s">
        <v>5200</v>
      </c>
      <c r="C2546" t="str">
        <f t="shared" si="185"/>
        <v>706</v>
      </c>
      <c r="D2546" t="s">
        <v>28</v>
      </c>
      <c r="E2546" t="s">
        <v>23</v>
      </c>
      <c r="F2546" t="s">
        <v>695</v>
      </c>
      <c r="G2546" t="s">
        <v>5201</v>
      </c>
      <c r="H2546" t="str">
        <f>"017"</f>
        <v>017</v>
      </c>
      <c r="I2546" t="s">
        <v>1501</v>
      </c>
    </row>
    <row r="2547" spans="1:11" x14ac:dyDescent="0.3">
      <c r="A2547" t="str">
        <f>"63414821"</f>
        <v>63414821</v>
      </c>
      <c r="B2547" t="s">
        <v>5202</v>
      </c>
      <c r="C2547" t="str">
        <f t="shared" si="185"/>
        <v>706</v>
      </c>
      <c r="D2547" t="s">
        <v>28</v>
      </c>
      <c r="E2547" t="s">
        <v>83</v>
      </c>
      <c r="F2547" t="s">
        <v>183</v>
      </c>
      <c r="G2547" t="s">
        <v>183</v>
      </c>
      <c r="H2547" t="str">
        <f t="shared" ref="H2547:H2559" si="187">"01700"</f>
        <v>01700</v>
      </c>
      <c r="I2547" t="s">
        <v>1501</v>
      </c>
    </row>
    <row r="2548" spans="1:11" x14ac:dyDescent="0.3">
      <c r="A2548" t="str">
        <f>"01993551"</f>
        <v>01993551</v>
      </c>
      <c r="B2548" t="s">
        <v>5203</v>
      </c>
      <c r="C2548" t="str">
        <f t="shared" si="185"/>
        <v>706</v>
      </c>
      <c r="D2548" t="s">
        <v>28</v>
      </c>
      <c r="E2548" t="s">
        <v>83</v>
      </c>
      <c r="F2548" t="s">
        <v>183</v>
      </c>
      <c r="G2548" t="s">
        <v>5204</v>
      </c>
      <c r="H2548" t="str">
        <f t="shared" si="187"/>
        <v>01700</v>
      </c>
      <c r="I2548" t="s">
        <v>1501</v>
      </c>
    </row>
    <row r="2549" spans="1:11" x14ac:dyDescent="0.3">
      <c r="A2549" t="str">
        <f>"01630504"</f>
        <v>01630504</v>
      </c>
      <c r="B2549" t="s">
        <v>5205</v>
      </c>
      <c r="C2549" t="str">
        <f t="shared" si="185"/>
        <v>706</v>
      </c>
      <c r="D2549" t="s">
        <v>28</v>
      </c>
      <c r="E2549" t="s">
        <v>23</v>
      </c>
      <c r="F2549" t="s">
        <v>975</v>
      </c>
      <c r="G2549" t="s">
        <v>5206</v>
      </c>
      <c r="H2549" t="str">
        <f t="shared" si="187"/>
        <v>01700</v>
      </c>
      <c r="I2549" t="s">
        <v>1501</v>
      </c>
    </row>
    <row r="2550" spans="1:11" x14ac:dyDescent="0.3">
      <c r="A2550" t="str">
        <f>"22612882"</f>
        <v>22612882</v>
      </c>
      <c r="B2550" t="s">
        <v>5207</v>
      </c>
      <c r="C2550" t="str">
        <f t="shared" si="185"/>
        <v>706</v>
      </c>
      <c r="D2550" t="s">
        <v>28</v>
      </c>
      <c r="E2550" t="s">
        <v>23</v>
      </c>
      <c r="F2550" t="s">
        <v>24</v>
      </c>
      <c r="G2550" t="s">
        <v>5208</v>
      </c>
      <c r="H2550" t="str">
        <f t="shared" si="187"/>
        <v>01700</v>
      </c>
      <c r="I2550" t="s">
        <v>1501</v>
      </c>
      <c r="J2550" t="s">
        <v>161</v>
      </c>
      <c r="K2550" t="s">
        <v>209</v>
      </c>
    </row>
    <row r="2551" spans="1:11" x14ac:dyDescent="0.3">
      <c r="A2551" t="str">
        <f>"47935081"</f>
        <v>47935081</v>
      </c>
      <c r="B2551" t="s">
        <v>5209</v>
      </c>
      <c r="C2551" t="str">
        <f t="shared" si="185"/>
        <v>706</v>
      </c>
      <c r="D2551" t="s">
        <v>28</v>
      </c>
      <c r="E2551" t="s">
        <v>83</v>
      </c>
      <c r="F2551" t="s">
        <v>183</v>
      </c>
      <c r="G2551" t="s">
        <v>5210</v>
      </c>
      <c r="H2551" t="str">
        <f t="shared" si="187"/>
        <v>01700</v>
      </c>
      <c r="I2551" t="s">
        <v>1501</v>
      </c>
    </row>
    <row r="2552" spans="1:11" x14ac:dyDescent="0.3">
      <c r="A2552" t="str">
        <f>"48491233"</f>
        <v>48491233</v>
      </c>
      <c r="B2552" t="s">
        <v>5211</v>
      </c>
      <c r="C2552" t="str">
        <f t="shared" si="185"/>
        <v>706</v>
      </c>
      <c r="D2552" t="s">
        <v>28</v>
      </c>
      <c r="E2552" t="s">
        <v>52</v>
      </c>
      <c r="F2552" t="s">
        <v>52</v>
      </c>
      <c r="G2552" t="s">
        <v>5212</v>
      </c>
      <c r="H2552" t="str">
        <f t="shared" si="187"/>
        <v>01700</v>
      </c>
      <c r="I2552" t="s">
        <v>1501</v>
      </c>
    </row>
    <row r="2553" spans="1:11" x14ac:dyDescent="0.3">
      <c r="A2553" t="str">
        <f>"71156364"</f>
        <v>71156364</v>
      </c>
      <c r="B2553" t="s">
        <v>5213</v>
      </c>
      <c r="C2553" t="str">
        <f t="shared" si="185"/>
        <v>706</v>
      </c>
      <c r="D2553" t="s">
        <v>28</v>
      </c>
      <c r="E2553" t="s">
        <v>52</v>
      </c>
      <c r="F2553" t="s">
        <v>1212</v>
      </c>
      <c r="G2553" t="s">
        <v>5214</v>
      </c>
      <c r="H2553" t="str">
        <f t="shared" si="187"/>
        <v>01700</v>
      </c>
      <c r="I2553" t="s">
        <v>1501</v>
      </c>
    </row>
    <row r="2554" spans="1:11" x14ac:dyDescent="0.3">
      <c r="A2554" t="str">
        <f>"22870300"</f>
        <v>22870300</v>
      </c>
      <c r="B2554" t="s">
        <v>5215</v>
      </c>
      <c r="C2554" t="str">
        <f t="shared" si="185"/>
        <v>706</v>
      </c>
      <c r="D2554" t="s">
        <v>28</v>
      </c>
      <c r="E2554" t="s">
        <v>29</v>
      </c>
      <c r="F2554" t="s">
        <v>195</v>
      </c>
      <c r="G2554" t="s">
        <v>5216</v>
      </c>
      <c r="H2554" t="str">
        <f t="shared" si="187"/>
        <v>01700</v>
      </c>
      <c r="I2554" t="s">
        <v>1501</v>
      </c>
    </row>
    <row r="2555" spans="1:11" x14ac:dyDescent="0.3">
      <c r="A2555" t="str">
        <f>"22744517"</f>
        <v>22744517</v>
      </c>
      <c r="B2555" t="s">
        <v>5217</v>
      </c>
      <c r="C2555" t="str">
        <f t="shared" si="185"/>
        <v>706</v>
      </c>
      <c r="D2555" t="s">
        <v>28</v>
      </c>
      <c r="E2555" t="s">
        <v>23</v>
      </c>
      <c r="F2555" t="s">
        <v>23</v>
      </c>
      <c r="G2555" t="s">
        <v>602</v>
      </c>
      <c r="H2555" t="str">
        <f t="shared" si="187"/>
        <v>01700</v>
      </c>
      <c r="I2555" t="s">
        <v>1501</v>
      </c>
    </row>
    <row r="2556" spans="1:11" x14ac:dyDescent="0.3">
      <c r="A2556" t="str">
        <f>"75076284"</f>
        <v>75076284</v>
      </c>
      <c r="B2556" t="s">
        <v>5218</v>
      </c>
      <c r="C2556" t="str">
        <f t="shared" si="185"/>
        <v>706</v>
      </c>
      <c r="D2556" t="s">
        <v>28</v>
      </c>
      <c r="E2556" t="s">
        <v>52</v>
      </c>
      <c r="F2556" t="s">
        <v>52</v>
      </c>
      <c r="G2556" t="s">
        <v>5219</v>
      </c>
      <c r="H2556" t="str">
        <f t="shared" si="187"/>
        <v>01700</v>
      </c>
      <c r="I2556" t="s">
        <v>1501</v>
      </c>
    </row>
    <row r="2557" spans="1:11" x14ac:dyDescent="0.3">
      <c r="A2557" t="str">
        <f>"26675951"</f>
        <v>26675951</v>
      </c>
      <c r="B2557" t="s">
        <v>5220</v>
      </c>
      <c r="C2557" t="str">
        <f t="shared" si="185"/>
        <v>706</v>
      </c>
      <c r="D2557" t="s">
        <v>28</v>
      </c>
      <c r="E2557" t="s">
        <v>29</v>
      </c>
      <c r="F2557" t="s">
        <v>685</v>
      </c>
      <c r="G2557" t="s">
        <v>5221</v>
      </c>
      <c r="H2557" t="str">
        <f t="shared" si="187"/>
        <v>01700</v>
      </c>
      <c r="I2557" t="s">
        <v>1501</v>
      </c>
    </row>
    <row r="2558" spans="1:11" x14ac:dyDescent="0.3">
      <c r="A2558" t="str">
        <f>"60042320"</f>
        <v>60042320</v>
      </c>
      <c r="B2558" t="s">
        <v>5222</v>
      </c>
      <c r="C2558" t="str">
        <f t="shared" si="185"/>
        <v>706</v>
      </c>
      <c r="D2558" t="s">
        <v>28</v>
      </c>
      <c r="E2558" t="s">
        <v>29</v>
      </c>
      <c r="F2558" t="s">
        <v>250</v>
      </c>
      <c r="G2558" t="s">
        <v>2739</v>
      </c>
      <c r="H2558" t="str">
        <f t="shared" si="187"/>
        <v>01700</v>
      </c>
      <c r="I2558" t="s">
        <v>1501</v>
      </c>
    </row>
    <row r="2559" spans="1:11" x14ac:dyDescent="0.3">
      <c r="A2559" t="str">
        <f>"71199870"</f>
        <v>71199870</v>
      </c>
      <c r="B2559" t="s">
        <v>5223</v>
      </c>
      <c r="C2559" t="str">
        <f t="shared" si="185"/>
        <v>706</v>
      </c>
      <c r="D2559" t="s">
        <v>28</v>
      </c>
      <c r="E2559" t="s">
        <v>52</v>
      </c>
      <c r="F2559" t="s">
        <v>2078</v>
      </c>
      <c r="G2559" t="s">
        <v>5224</v>
      </c>
      <c r="H2559" t="str">
        <f t="shared" si="187"/>
        <v>01700</v>
      </c>
      <c r="I2559" t="s">
        <v>1501</v>
      </c>
    </row>
    <row r="2560" spans="1:11" x14ac:dyDescent="0.3">
      <c r="A2560" t="str">
        <f>"01896342"</f>
        <v>01896342</v>
      </c>
      <c r="B2560" t="s">
        <v>5225</v>
      </c>
      <c r="C2560" t="str">
        <f t="shared" si="185"/>
        <v>706</v>
      </c>
      <c r="D2560" t="s">
        <v>28</v>
      </c>
      <c r="E2560" t="s">
        <v>83</v>
      </c>
      <c r="F2560" t="s">
        <v>2795</v>
      </c>
      <c r="G2560" t="s">
        <v>2795</v>
      </c>
      <c r="H2560" t="str">
        <f>"0170"</f>
        <v>0170</v>
      </c>
      <c r="I2560" t="s">
        <v>1501</v>
      </c>
    </row>
    <row r="2561" spans="1:10" x14ac:dyDescent="0.3">
      <c r="A2561" t="str">
        <f>"47863692"</f>
        <v>47863692</v>
      </c>
      <c r="B2561" t="s">
        <v>5226</v>
      </c>
      <c r="C2561" t="str">
        <f t="shared" si="185"/>
        <v>706</v>
      </c>
      <c r="D2561" t="s">
        <v>28</v>
      </c>
      <c r="E2561" t="s">
        <v>29</v>
      </c>
      <c r="F2561" t="s">
        <v>1266</v>
      </c>
      <c r="G2561" t="s">
        <v>1266</v>
      </c>
      <c r="H2561" t="str">
        <f t="shared" ref="H2561:H2580" si="188">"01700"</f>
        <v>01700</v>
      </c>
      <c r="I2561" t="s">
        <v>1501</v>
      </c>
    </row>
    <row r="2562" spans="1:10" x14ac:dyDescent="0.3">
      <c r="A2562" t="str">
        <f>"48471909"</f>
        <v>48471909</v>
      </c>
      <c r="B2562" t="s">
        <v>5227</v>
      </c>
      <c r="C2562" t="str">
        <f t="shared" si="185"/>
        <v>706</v>
      </c>
      <c r="D2562" t="s">
        <v>28</v>
      </c>
      <c r="E2562" t="s">
        <v>23</v>
      </c>
      <c r="F2562" t="s">
        <v>4161</v>
      </c>
      <c r="G2562" t="s">
        <v>4162</v>
      </c>
      <c r="H2562" t="str">
        <f t="shared" si="188"/>
        <v>01700</v>
      </c>
      <c r="I2562" t="s">
        <v>1501</v>
      </c>
    </row>
    <row r="2563" spans="1:10" x14ac:dyDescent="0.3">
      <c r="A2563" t="str">
        <f>"64124193"</f>
        <v>64124193</v>
      </c>
      <c r="B2563" t="s">
        <v>5228</v>
      </c>
      <c r="C2563" t="str">
        <f t="shared" si="185"/>
        <v>706</v>
      </c>
      <c r="D2563" t="s">
        <v>28</v>
      </c>
      <c r="E2563" t="s">
        <v>29</v>
      </c>
      <c r="F2563" t="s">
        <v>1445</v>
      </c>
      <c r="G2563" t="s">
        <v>5229</v>
      </c>
      <c r="H2563" t="str">
        <f t="shared" si="188"/>
        <v>01700</v>
      </c>
      <c r="I2563" t="s">
        <v>1501</v>
      </c>
    </row>
    <row r="2564" spans="1:10" x14ac:dyDescent="0.3">
      <c r="A2564" t="str">
        <f>"22895922"</f>
        <v>22895922</v>
      </c>
      <c r="B2564" t="s">
        <v>5230</v>
      </c>
      <c r="C2564" t="str">
        <f t="shared" si="185"/>
        <v>706</v>
      </c>
      <c r="D2564" t="s">
        <v>28</v>
      </c>
      <c r="E2564" t="s">
        <v>29</v>
      </c>
      <c r="F2564" t="s">
        <v>1874</v>
      </c>
      <c r="G2564" t="s">
        <v>5231</v>
      </c>
      <c r="H2564" t="str">
        <f t="shared" si="188"/>
        <v>01700</v>
      </c>
      <c r="I2564" t="s">
        <v>1501</v>
      </c>
    </row>
    <row r="2565" spans="1:10" x14ac:dyDescent="0.3">
      <c r="A2565" t="str">
        <f>"17504422"</f>
        <v>17504422</v>
      </c>
      <c r="B2565" t="s">
        <v>5232</v>
      </c>
      <c r="C2565" t="str">
        <f t="shared" si="185"/>
        <v>706</v>
      </c>
      <c r="D2565" t="s">
        <v>28</v>
      </c>
      <c r="E2565" t="s">
        <v>29</v>
      </c>
      <c r="F2565" t="s">
        <v>681</v>
      </c>
      <c r="G2565" t="s">
        <v>5233</v>
      </c>
      <c r="H2565" t="str">
        <f t="shared" si="188"/>
        <v>01700</v>
      </c>
      <c r="I2565" t="s">
        <v>1501</v>
      </c>
    </row>
    <row r="2566" spans="1:10" x14ac:dyDescent="0.3">
      <c r="A2566" t="str">
        <f>"65469780"</f>
        <v>65469780</v>
      </c>
      <c r="B2566" t="s">
        <v>5234</v>
      </c>
      <c r="C2566" t="str">
        <f t="shared" si="185"/>
        <v>706</v>
      </c>
      <c r="D2566" t="s">
        <v>28</v>
      </c>
      <c r="E2566" t="s">
        <v>29</v>
      </c>
      <c r="F2566" t="s">
        <v>1121</v>
      </c>
      <c r="G2566" t="s">
        <v>1121</v>
      </c>
      <c r="H2566" t="str">
        <f t="shared" si="188"/>
        <v>01700</v>
      </c>
      <c r="I2566" t="s">
        <v>1501</v>
      </c>
    </row>
    <row r="2567" spans="1:10" x14ac:dyDescent="0.3">
      <c r="A2567" t="str">
        <f>"47863676"</f>
        <v>47863676</v>
      </c>
      <c r="B2567" t="s">
        <v>5235</v>
      </c>
      <c r="C2567" t="str">
        <f t="shared" si="185"/>
        <v>706</v>
      </c>
      <c r="D2567" t="s">
        <v>28</v>
      </c>
      <c r="E2567" t="s">
        <v>29</v>
      </c>
      <c r="F2567" t="s">
        <v>1266</v>
      </c>
      <c r="G2567" t="s">
        <v>1266</v>
      </c>
      <c r="H2567" t="str">
        <f t="shared" si="188"/>
        <v>01700</v>
      </c>
      <c r="I2567" t="s">
        <v>1501</v>
      </c>
    </row>
    <row r="2568" spans="1:10" x14ac:dyDescent="0.3">
      <c r="A2568" t="str">
        <f>"47930047"</f>
        <v>47930047</v>
      </c>
      <c r="B2568" t="s">
        <v>5236</v>
      </c>
      <c r="C2568" t="str">
        <f t="shared" si="185"/>
        <v>706</v>
      </c>
      <c r="D2568" t="s">
        <v>28</v>
      </c>
      <c r="E2568" t="s">
        <v>83</v>
      </c>
      <c r="F2568" t="s">
        <v>227</v>
      </c>
      <c r="G2568" t="s">
        <v>5237</v>
      </c>
      <c r="H2568" t="str">
        <f t="shared" si="188"/>
        <v>01700</v>
      </c>
      <c r="I2568" t="s">
        <v>1501</v>
      </c>
    </row>
    <row r="2569" spans="1:10" x14ac:dyDescent="0.3">
      <c r="A2569" t="str">
        <f>"01964593"</f>
        <v>01964593</v>
      </c>
      <c r="B2569" t="s">
        <v>5238</v>
      </c>
      <c r="C2569" t="str">
        <f t="shared" si="185"/>
        <v>706</v>
      </c>
      <c r="D2569" t="s">
        <v>28</v>
      </c>
      <c r="E2569" t="s">
        <v>83</v>
      </c>
      <c r="F2569" t="s">
        <v>1042</v>
      </c>
      <c r="G2569" t="s">
        <v>1042</v>
      </c>
      <c r="H2569" t="str">
        <f t="shared" si="188"/>
        <v>01700</v>
      </c>
      <c r="I2569" t="s">
        <v>1501</v>
      </c>
    </row>
    <row r="2570" spans="1:10" x14ac:dyDescent="0.3">
      <c r="A2570" t="str">
        <f>"60370246"</f>
        <v>60370246</v>
      </c>
      <c r="B2570" t="s">
        <v>5239</v>
      </c>
      <c r="C2570" t="str">
        <f t="shared" si="185"/>
        <v>706</v>
      </c>
      <c r="D2570" t="s">
        <v>28</v>
      </c>
      <c r="E2570" t="s">
        <v>52</v>
      </c>
      <c r="F2570" t="s">
        <v>344</v>
      </c>
      <c r="G2570" t="s">
        <v>344</v>
      </c>
      <c r="H2570" t="str">
        <f t="shared" si="188"/>
        <v>01700</v>
      </c>
      <c r="I2570" t="s">
        <v>1501</v>
      </c>
      <c r="J2570" t="s">
        <v>5240</v>
      </c>
    </row>
    <row r="2571" spans="1:10" x14ac:dyDescent="0.3">
      <c r="A2571" t="str">
        <f>"00851990"</f>
        <v>00851990</v>
      </c>
      <c r="B2571" t="s">
        <v>5241</v>
      </c>
      <c r="C2571" t="str">
        <f t="shared" si="185"/>
        <v>706</v>
      </c>
      <c r="D2571" t="s">
        <v>28</v>
      </c>
      <c r="E2571" t="s">
        <v>29</v>
      </c>
      <c r="F2571" t="s">
        <v>1874</v>
      </c>
      <c r="G2571" t="s">
        <v>5242</v>
      </c>
      <c r="H2571" t="str">
        <f t="shared" si="188"/>
        <v>01700</v>
      </c>
      <c r="I2571" t="s">
        <v>1501</v>
      </c>
    </row>
    <row r="2572" spans="1:10" x14ac:dyDescent="0.3">
      <c r="A2572" t="str">
        <f>"47863455"</f>
        <v>47863455</v>
      </c>
      <c r="B2572" t="s">
        <v>5243</v>
      </c>
      <c r="C2572" t="str">
        <f t="shared" si="185"/>
        <v>706</v>
      </c>
      <c r="D2572" t="s">
        <v>28</v>
      </c>
      <c r="E2572" t="s">
        <v>29</v>
      </c>
      <c r="F2572" t="s">
        <v>195</v>
      </c>
      <c r="G2572" t="s">
        <v>5244</v>
      </c>
      <c r="H2572" t="str">
        <f t="shared" si="188"/>
        <v>01700</v>
      </c>
      <c r="I2572" t="s">
        <v>1501</v>
      </c>
    </row>
    <row r="2573" spans="1:10" x14ac:dyDescent="0.3">
      <c r="A2573" t="str">
        <f>"60042443"</f>
        <v>60042443</v>
      </c>
      <c r="B2573" t="s">
        <v>5245</v>
      </c>
      <c r="C2573" t="str">
        <f t="shared" si="185"/>
        <v>706</v>
      </c>
      <c r="D2573" t="s">
        <v>28</v>
      </c>
      <c r="E2573" t="s">
        <v>29</v>
      </c>
      <c r="F2573" t="s">
        <v>138</v>
      </c>
      <c r="G2573" t="s">
        <v>5246</v>
      </c>
      <c r="H2573" t="str">
        <f t="shared" si="188"/>
        <v>01700</v>
      </c>
      <c r="I2573" t="s">
        <v>1501</v>
      </c>
    </row>
    <row r="2574" spans="1:10" x14ac:dyDescent="0.3">
      <c r="A2574" t="str">
        <f>"65888171"</f>
        <v>65888171</v>
      </c>
      <c r="B2574" t="s">
        <v>5247</v>
      </c>
      <c r="C2574" t="str">
        <f t="shared" si="185"/>
        <v>706</v>
      </c>
      <c r="D2574" t="s">
        <v>28</v>
      </c>
      <c r="E2574" t="s">
        <v>29</v>
      </c>
      <c r="F2574" t="s">
        <v>1266</v>
      </c>
      <c r="G2574" t="s">
        <v>1266</v>
      </c>
      <c r="H2574" t="str">
        <f t="shared" si="188"/>
        <v>01700</v>
      </c>
      <c r="I2574" t="s">
        <v>1501</v>
      </c>
    </row>
    <row r="2575" spans="1:10" x14ac:dyDescent="0.3">
      <c r="A2575" t="str">
        <f>"48472352"</f>
        <v>48472352</v>
      </c>
      <c r="B2575" t="s">
        <v>5248</v>
      </c>
      <c r="C2575" t="str">
        <f t="shared" si="185"/>
        <v>706</v>
      </c>
      <c r="D2575" t="s">
        <v>28</v>
      </c>
      <c r="E2575" t="s">
        <v>23</v>
      </c>
      <c r="F2575" t="s">
        <v>5249</v>
      </c>
      <c r="G2575" t="s">
        <v>5250</v>
      </c>
      <c r="H2575" t="str">
        <f t="shared" si="188"/>
        <v>01700</v>
      </c>
      <c r="I2575" t="s">
        <v>1501</v>
      </c>
    </row>
    <row r="2576" spans="1:10" x14ac:dyDescent="0.3">
      <c r="A2576" t="str">
        <f>"60990473"</f>
        <v>60990473</v>
      </c>
      <c r="B2576" t="s">
        <v>5251</v>
      </c>
      <c r="C2576" t="str">
        <f t="shared" si="185"/>
        <v>706</v>
      </c>
      <c r="D2576" t="s">
        <v>28</v>
      </c>
      <c r="E2576" t="s">
        <v>29</v>
      </c>
      <c r="F2576" t="s">
        <v>852</v>
      </c>
      <c r="G2576" t="s">
        <v>5252</v>
      </c>
      <c r="H2576" t="str">
        <f t="shared" si="188"/>
        <v>01700</v>
      </c>
      <c r="I2576" t="s">
        <v>1501</v>
      </c>
    </row>
    <row r="2577" spans="1:12" x14ac:dyDescent="0.3">
      <c r="A2577" t="str">
        <f>"22608907"</f>
        <v>22608907</v>
      </c>
      <c r="B2577" t="s">
        <v>5253</v>
      </c>
      <c r="C2577" t="str">
        <f t="shared" si="185"/>
        <v>706</v>
      </c>
      <c r="D2577" t="s">
        <v>28</v>
      </c>
      <c r="E2577" t="s">
        <v>23</v>
      </c>
      <c r="F2577" t="s">
        <v>23</v>
      </c>
      <c r="G2577" t="s">
        <v>602</v>
      </c>
      <c r="H2577" t="str">
        <f t="shared" si="188"/>
        <v>01700</v>
      </c>
      <c r="I2577" t="s">
        <v>1501</v>
      </c>
    </row>
    <row r="2578" spans="1:12" x14ac:dyDescent="0.3">
      <c r="A2578" t="str">
        <f>"47933925"</f>
        <v>47933925</v>
      </c>
      <c r="B2578" t="s">
        <v>5254</v>
      </c>
      <c r="C2578" t="str">
        <f t="shared" si="185"/>
        <v>706</v>
      </c>
      <c r="D2578" t="s">
        <v>28</v>
      </c>
      <c r="E2578" t="s">
        <v>83</v>
      </c>
      <c r="F2578" t="s">
        <v>991</v>
      </c>
      <c r="G2578" t="s">
        <v>5255</v>
      </c>
      <c r="H2578" t="str">
        <f t="shared" si="188"/>
        <v>01700</v>
      </c>
      <c r="I2578" t="s">
        <v>1501</v>
      </c>
    </row>
    <row r="2579" spans="1:12" x14ac:dyDescent="0.3">
      <c r="A2579" t="str">
        <f>"47933836"</f>
        <v>47933836</v>
      </c>
      <c r="B2579" t="s">
        <v>5256</v>
      </c>
      <c r="C2579" t="str">
        <f t="shared" si="185"/>
        <v>706</v>
      </c>
      <c r="D2579" t="s">
        <v>28</v>
      </c>
      <c r="E2579" t="s">
        <v>83</v>
      </c>
      <c r="F2579" t="s">
        <v>1691</v>
      </c>
      <c r="G2579" t="s">
        <v>5257</v>
      </c>
      <c r="H2579" t="str">
        <f t="shared" si="188"/>
        <v>01700</v>
      </c>
      <c r="I2579" t="s">
        <v>1501</v>
      </c>
    </row>
    <row r="2580" spans="1:12" x14ac:dyDescent="0.3">
      <c r="A2580" t="str">
        <f>"00851981"</f>
        <v>00851981</v>
      </c>
      <c r="B2580" t="s">
        <v>5258</v>
      </c>
      <c r="C2580" t="str">
        <f t="shared" si="185"/>
        <v>706</v>
      </c>
      <c r="D2580" t="s">
        <v>28</v>
      </c>
      <c r="E2580" t="s">
        <v>29</v>
      </c>
      <c r="F2580" t="s">
        <v>685</v>
      </c>
      <c r="G2580" t="s">
        <v>5259</v>
      </c>
      <c r="H2580" t="str">
        <f t="shared" si="188"/>
        <v>01700</v>
      </c>
      <c r="I2580" t="s">
        <v>1501</v>
      </c>
    </row>
    <row r="2581" spans="1:12" x14ac:dyDescent="0.3">
      <c r="A2581" t="str">
        <f>"01870904"</f>
        <v>01870904</v>
      </c>
      <c r="B2581" t="s">
        <v>5260</v>
      </c>
      <c r="C2581" t="str">
        <f t="shared" si="185"/>
        <v>706</v>
      </c>
      <c r="D2581" t="s">
        <v>28</v>
      </c>
      <c r="E2581" t="s">
        <v>52</v>
      </c>
      <c r="F2581" t="s">
        <v>673</v>
      </c>
      <c r="G2581" t="s">
        <v>5261</v>
      </c>
      <c r="H2581" t="str">
        <f>"017"</f>
        <v>017</v>
      </c>
      <c r="I2581" t="s">
        <v>1501</v>
      </c>
    </row>
    <row r="2582" spans="1:12" x14ac:dyDescent="0.3">
      <c r="A2582" t="str">
        <f>"64123103"</f>
        <v>64123103</v>
      </c>
      <c r="B2582" t="s">
        <v>5262</v>
      </c>
      <c r="C2582" t="str">
        <f t="shared" si="185"/>
        <v>706</v>
      </c>
      <c r="D2582" t="s">
        <v>28</v>
      </c>
      <c r="E2582" t="s">
        <v>29</v>
      </c>
      <c r="F2582" t="s">
        <v>306</v>
      </c>
      <c r="G2582" t="s">
        <v>5263</v>
      </c>
      <c r="H2582" t="str">
        <f t="shared" ref="H2582:H2628" si="189">"01700"</f>
        <v>01700</v>
      </c>
      <c r="I2582" t="s">
        <v>1501</v>
      </c>
    </row>
    <row r="2583" spans="1:12" x14ac:dyDescent="0.3">
      <c r="A2583" t="str">
        <f>"01676041"</f>
        <v>01676041</v>
      </c>
      <c r="B2583" t="s">
        <v>5264</v>
      </c>
      <c r="C2583" t="str">
        <f t="shared" si="185"/>
        <v>706</v>
      </c>
      <c r="D2583" t="s">
        <v>28</v>
      </c>
      <c r="E2583" t="s">
        <v>52</v>
      </c>
      <c r="F2583" t="s">
        <v>1257</v>
      </c>
      <c r="G2583" t="s">
        <v>5265</v>
      </c>
      <c r="H2583" t="str">
        <f t="shared" si="189"/>
        <v>01700</v>
      </c>
      <c r="I2583" t="s">
        <v>1501</v>
      </c>
      <c r="J2583" t="s">
        <v>5266</v>
      </c>
      <c r="K2583" t="s">
        <v>2630</v>
      </c>
      <c r="L2583" t="s">
        <v>2350</v>
      </c>
    </row>
    <row r="2584" spans="1:12" x14ac:dyDescent="0.3">
      <c r="A2584" t="str">
        <f>"49158287"</f>
        <v>49158287</v>
      </c>
      <c r="B2584" t="s">
        <v>5267</v>
      </c>
      <c r="C2584" t="str">
        <f t="shared" si="185"/>
        <v>706</v>
      </c>
      <c r="D2584" t="s">
        <v>28</v>
      </c>
      <c r="E2584" t="s">
        <v>23</v>
      </c>
      <c r="F2584" t="s">
        <v>1254</v>
      </c>
      <c r="G2584" t="s">
        <v>5268</v>
      </c>
      <c r="H2584" t="str">
        <f t="shared" si="189"/>
        <v>01700</v>
      </c>
      <c r="I2584" t="s">
        <v>1501</v>
      </c>
    </row>
    <row r="2585" spans="1:12" x14ac:dyDescent="0.3">
      <c r="A2585" t="str">
        <f>"48472620"</f>
        <v>48472620</v>
      </c>
      <c r="B2585" t="s">
        <v>5269</v>
      </c>
      <c r="C2585" t="str">
        <f t="shared" si="185"/>
        <v>706</v>
      </c>
      <c r="D2585" t="s">
        <v>28</v>
      </c>
      <c r="E2585" t="s">
        <v>23</v>
      </c>
      <c r="F2585" t="s">
        <v>23</v>
      </c>
      <c r="G2585" t="s">
        <v>5270</v>
      </c>
      <c r="H2585" t="str">
        <f t="shared" si="189"/>
        <v>01700</v>
      </c>
      <c r="I2585" t="s">
        <v>1501</v>
      </c>
    </row>
    <row r="2586" spans="1:12" x14ac:dyDescent="0.3">
      <c r="A2586" t="str">
        <f>"22894306"</f>
        <v>22894306</v>
      </c>
      <c r="B2586" t="s">
        <v>5271</v>
      </c>
      <c r="C2586" t="str">
        <f t="shared" si="185"/>
        <v>706</v>
      </c>
      <c r="D2586" t="s">
        <v>28</v>
      </c>
      <c r="E2586" t="s">
        <v>52</v>
      </c>
      <c r="F2586" t="s">
        <v>80</v>
      </c>
      <c r="G2586" t="s">
        <v>5272</v>
      </c>
      <c r="H2586" t="str">
        <f t="shared" si="189"/>
        <v>01700</v>
      </c>
      <c r="I2586" t="s">
        <v>1501</v>
      </c>
    </row>
    <row r="2587" spans="1:12" x14ac:dyDescent="0.3">
      <c r="A2587" t="str">
        <f>"07099291"</f>
        <v>07099291</v>
      </c>
      <c r="B2587" t="s">
        <v>5273</v>
      </c>
      <c r="C2587" t="str">
        <f t="shared" si="185"/>
        <v>706</v>
      </c>
      <c r="D2587" t="s">
        <v>28</v>
      </c>
      <c r="E2587" t="s">
        <v>52</v>
      </c>
      <c r="F2587" t="s">
        <v>951</v>
      </c>
      <c r="G2587" t="s">
        <v>5274</v>
      </c>
      <c r="H2587" t="str">
        <f t="shared" si="189"/>
        <v>01700</v>
      </c>
      <c r="I2587" t="s">
        <v>1501</v>
      </c>
    </row>
    <row r="2588" spans="1:12" x14ac:dyDescent="0.3">
      <c r="A2588" t="str">
        <f>"75035995"</f>
        <v>75035995</v>
      </c>
      <c r="B2588" t="s">
        <v>5275</v>
      </c>
      <c r="C2588" t="str">
        <f t="shared" si="185"/>
        <v>706</v>
      </c>
      <c r="D2588" t="s">
        <v>28</v>
      </c>
      <c r="E2588" t="s">
        <v>23</v>
      </c>
      <c r="F2588" t="s">
        <v>957</v>
      </c>
      <c r="G2588" t="s">
        <v>5276</v>
      </c>
      <c r="H2588" t="str">
        <f t="shared" si="189"/>
        <v>01700</v>
      </c>
      <c r="I2588" t="s">
        <v>1501</v>
      </c>
    </row>
    <row r="2589" spans="1:12" x14ac:dyDescent="0.3">
      <c r="A2589" t="str">
        <f>"70265640"</f>
        <v>70265640</v>
      </c>
      <c r="B2589" t="s">
        <v>5277</v>
      </c>
      <c r="C2589" t="str">
        <f t="shared" si="185"/>
        <v>706</v>
      </c>
      <c r="D2589" t="s">
        <v>28</v>
      </c>
      <c r="E2589" t="s">
        <v>52</v>
      </c>
      <c r="F2589" t="s">
        <v>488</v>
      </c>
      <c r="G2589" t="s">
        <v>1768</v>
      </c>
      <c r="H2589" t="str">
        <f t="shared" si="189"/>
        <v>01700</v>
      </c>
      <c r="I2589" t="s">
        <v>1501</v>
      </c>
    </row>
    <row r="2590" spans="1:12" x14ac:dyDescent="0.3">
      <c r="A2590" t="str">
        <f>"70951675"</f>
        <v>70951675</v>
      </c>
      <c r="B2590" t="s">
        <v>5278</v>
      </c>
      <c r="C2590" t="str">
        <f t="shared" si="185"/>
        <v>706</v>
      </c>
      <c r="D2590" t="s">
        <v>28</v>
      </c>
      <c r="E2590" t="s">
        <v>52</v>
      </c>
      <c r="F2590" t="s">
        <v>781</v>
      </c>
      <c r="G2590" t="s">
        <v>925</v>
      </c>
      <c r="H2590" t="str">
        <f t="shared" si="189"/>
        <v>01700</v>
      </c>
      <c r="I2590" t="s">
        <v>1501</v>
      </c>
    </row>
    <row r="2591" spans="1:12" x14ac:dyDescent="0.3">
      <c r="A2591" t="str">
        <f>"01815792"</f>
        <v>01815792</v>
      </c>
      <c r="B2591" t="s">
        <v>5279</v>
      </c>
      <c r="C2591" t="str">
        <f t="shared" si="185"/>
        <v>706</v>
      </c>
      <c r="D2591" t="s">
        <v>28</v>
      </c>
      <c r="E2591" t="s">
        <v>29</v>
      </c>
      <c r="F2591" t="s">
        <v>271</v>
      </c>
      <c r="G2591" t="s">
        <v>1660</v>
      </c>
      <c r="H2591" t="str">
        <f t="shared" si="189"/>
        <v>01700</v>
      </c>
      <c r="I2591" t="s">
        <v>1501</v>
      </c>
    </row>
    <row r="2592" spans="1:12" x14ac:dyDescent="0.3">
      <c r="A2592" t="str">
        <f>"67009859"</f>
        <v>67009859</v>
      </c>
      <c r="B2592" t="s">
        <v>5280</v>
      </c>
      <c r="C2592" t="str">
        <f t="shared" si="185"/>
        <v>706</v>
      </c>
      <c r="D2592" t="s">
        <v>28</v>
      </c>
      <c r="E2592" t="s">
        <v>52</v>
      </c>
      <c r="F2592" t="s">
        <v>52</v>
      </c>
      <c r="G2592" t="s">
        <v>2771</v>
      </c>
      <c r="H2592" t="str">
        <f t="shared" si="189"/>
        <v>01700</v>
      </c>
      <c r="I2592" t="s">
        <v>1501</v>
      </c>
    </row>
    <row r="2593" spans="1:13" x14ac:dyDescent="0.3">
      <c r="A2593" t="str">
        <f>"26622009"</f>
        <v>26622009</v>
      </c>
      <c r="B2593" t="s">
        <v>5281</v>
      </c>
      <c r="C2593" t="str">
        <f t="shared" si="185"/>
        <v>706</v>
      </c>
      <c r="D2593" t="s">
        <v>28</v>
      </c>
      <c r="E2593" t="s">
        <v>83</v>
      </c>
      <c r="F2593" t="s">
        <v>1691</v>
      </c>
      <c r="G2593" t="s">
        <v>5282</v>
      </c>
      <c r="H2593" t="str">
        <f t="shared" si="189"/>
        <v>01700</v>
      </c>
      <c r="I2593" t="s">
        <v>1501</v>
      </c>
    </row>
    <row r="2594" spans="1:13" x14ac:dyDescent="0.3">
      <c r="A2594" t="str">
        <f>"47863447"</f>
        <v>47863447</v>
      </c>
      <c r="B2594" t="s">
        <v>5283</v>
      </c>
      <c r="C2594" t="str">
        <f t="shared" si="185"/>
        <v>706</v>
      </c>
      <c r="D2594" t="s">
        <v>28</v>
      </c>
      <c r="E2594" t="s">
        <v>29</v>
      </c>
      <c r="F2594" t="s">
        <v>5168</v>
      </c>
      <c r="G2594" t="s">
        <v>5284</v>
      </c>
      <c r="H2594" t="str">
        <f t="shared" si="189"/>
        <v>01700</v>
      </c>
      <c r="I2594" t="s">
        <v>1501</v>
      </c>
    </row>
    <row r="2595" spans="1:13" x14ac:dyDescent="0.3">
      <c r="A2595" t="str">
        <f>"47863536"</f>
        <v>47863536</v>
      </c>
      <c r="B2595" t="s">
        <v>5285</v>
      </c>
      <c r="C2595" t="str">
        <f t="shared" si="185"/>
        <v>706</v>
      </c>
      <c r="D2595" t="s">
        <v>28</v>
      </c>
      <c r="E2595" t="s">
        <v>29</v>
      </c>
      <c r="F2595" t="s">
        <v>676</v>
      </c>
      <c r="G2595" t="s">
        <v>5286</v>
      </c>
      <c r="H2595" t="str">
        <f t="shared" si="189"/>
        <v>01700</v>
      </c>
      <c r="I2595" t="s">
        <v>1501</v>
      </c>
    </row>
    <row r="2596" spans="1:13" x14ac:dyDescent="0.3">
      <c r="A2596" t="str">
        <f>"69721769"</f>
        <v>69721769</v>
      </c>
      <c r="B2596" t="s">
        <v>5287</v>
      </c>
      <c r="C2596" t="str">
        <f t="shared" si="185"/>
        <v>706</v>
      </c>
      <c r="D2596" t="s">
        <v>28</v>
      </c>
      <c r="E2596" t="s">
        <v>52</v>
      </c>
      <c r="F2596" t="s">
        <v>2072</v>
      </c>
      <c r="G2596" t="s">
        <v>5288</v>
      </c>
      <c r="H2596" t="str">
        <f t="shared" si="189"/>
        <v>01700</v>
      </c>
      <c r="I2596" t="s">
        <v>1501</v>
      </c>
    </row>
    <row r="2597" spans="1:13" x14ac:dyDescent="0.3">
      <c r="A2597" t="str">
        <f>"47863714"</f>
        <v>47863714</v>
      </c>
      <c r="B2597" t="s">
        <v>5289</v>
      </c>
      <c r="C2597" t="str">
        <f t="shared" si="185"/>
        <v>706</v>
      </c>
      <c r="D2597" t="s">
        <v>28</v>
      </c>
      <c r="E2597" t="s">
        <v>29</v>
      </c>
      <c r="F2597" t="s">
        <v>2220</v>
      </c>
      <c r="G2597" t="s">
        <v>5290</v>
      </c>
      <c r="H2597" t="str">
        <f t="shared" si="189"/>
        <v>01700</v>
      </c>
      <c r="I2597" t="s">
        <v>1501</v>
      </c>
    </row>
    <row r="2598" spans="1:13" x14ac:dyDescent="0.3">
      <c r="A2598" t="str">
        <f>"46308881"</f>
        <v>46308881</v>
      </c>
      <c r="B2598" t="s">
        <v>5291</v>
      </c>
      <c r="C2598" t="str">
        <f t="shared" si="185"/>
        <v>706</v>
      </c>
      <c r="D2598" t="s">
        <v>28</v>
      </c>
      <c r="E2598" t="s">
        <v>23</v>
      </c>
      <c r="F2598" t="s">
        <v>303</v>
      </c>
      <c r="G2598" t="s">
        <v>5292</v>
      </c>
      <c r="H2598" t="str">
        <f t="shared" si="189"/>
        <v>01700</v>
      </c>
      <c r="I2598" t="s">
        <v>1501</v>
      </c>
    </row>
    <row r="2599" spans="1:13" x14ac:dyDescent="0.3">
      <c r="A2599" t="str">
        <f>"75037432"</f>
        <v>75037432</v>
      </c>
      <c r="B2599" t="s">
        <v>5293</v>
      </c>
      <c r="C2599" t="str">
        <f t="shared" si="185"/>
        <v>706</v>
      </c>
      <c r="D2599" t="s">
        <v>28</v>
      </c>
      <c r="E2599" t="s">
        <v>52</v>
      </c>
      <c r="F2599" t="s">
        <v>1902</v>
      </c>
      <c r="G2599" t="s">
        <v>2412</v>
      </c>
      <c r="H2599" t="str">
        <f t="shared" si="189"/>
        <v>01700</v>
      </c>
      <c r="I2599" t="s">
        <v>1501</v>
      </c>
    </row>
    <row r="2600" spans="1:13" x14ac:dyDescent="0.3">
      <c r="A2600" t="str">
        <f>"60369809"</f>
        <v>60369809</v>
      </c>
      <c r="B2600" t="s">
        <v>5294</v>
      </c>
      <c r="C2600" t="str">
        <f t="shared" ref="C2600:C2663" si="190">"706"</f>
        <v>706</v>
      </c>
      <c r="D2600" t="s">
        <v>28</v>
      </c>
      <c r="E2600" t="s">
        <v>52</v>
      </c>
      <c r="F2600" t="s">
        <v>631</v>
      </c>
      <c r="G2600" t="s">
        <v>1007</v>
      </c>
      <c r="H2600" t="str">
        <f t="shared" si="189"/>
        <v>01700</v>
      </c>
      <c r="I2600" t="s">
        <v>1501</v>
      </c>
    </row>
    <row r="2601" spans="1:13" x14ac:dyDescent="0.3">
      <c r="A2601" t="str">
        <f>"45658811"</f>
        <v>45658811</v>
      </c>
      <c r="B2601" t="s">
        <v>5295</v>
      </c>
      <c r="C2601" t="str">
        <f t="shared" si="190"/>
        <v>706</v>
      </c>
      <c r="D2601" t="s">
        <v>28</v>
      </c>
      <c r="E2601" t="s">
        <v>52</v>
      </c>
      <c r="F2601" t="s">
        <v>5296</v>
      </c>
      <c r="G2601" t="s">
        <v>5297</v>
      </c>
      <c r="H2601" t="str">
        <f t="shared" si="189"/>
        <v>01700</v>
      </c>
      <c r="I2601" t="s">
        <v>1501</v>
      </c>
    </row>
    <row r="2602" spans="1:13" x14ac:dyDescent="0.3">
      <c r="A2602" t="str">
        <f>"70909130"</f>
        <v>70909130</v>
      </c>
      <c r="B2602" t="s">
        <v>5298</v>
      </c>
      <c r="C2602" t="str">
        <f t="shared" si="190"/>
        <v>706</v>
      </c>
      <c r="D2602" t="s">
        <v>28</v>
      </c>
      <c r="E2602" t="s">
        <v>52</v>
      </c>
      <c r="F2602" t="s">
        <v>344</v>
      </c>
      <c r="G2602" t="s">
        <v>5299</v>
      </c>
      <c r="H2602" t="str">
        <f t="shared" si="189"/>
        <v>01700</v>
      </c>
      <c r="I2602" t="s">
        <v>1501</v>
      </c>
      <c r="J2602" t="s">
        <v>1501</v>
      </c>
    </row>
    <row r="2603" spans="1:13" x14ac:dyDescent="0.3">
      <c r="A2603" t="str">
        <f>"48506061"</f>
        <v>48506061</v>
      </c>
      <c r="B2603" t="s">
        <v>5300</v>
      </c>
      <c r="C2603" t="str">
        <f t="shared" si="190"/>
        <v>706</v>
      </c>
      <c r="D2603" t="s">
        <v>28</v>
      </c>
      <c r="E2603" t="s">
        <v>52</v>
      </c>
      <c r="F2603" t="s">
        <v>406</v>
      </c>
      <c r="G2603" t="s">
        <v>5301</v>
      </c>
      <c r="H2603" t="str">
        <f t="shared" si="189"/>
        <v>01700</v>
      </c>
      <c r="I2603" t="s">
        <v>1501</v>
      </c>
    </row>
    <row r="2604" spans="1:13" x14ac:dyDescent="0.3">
      <c r="A2604" t="str">
        <f>"63458586"</f>
        <v>63458586</v>
      </c>
      <c r="B2604" t="s">
        <v>5302</v>
      </c>
      <c r="C2604" t="str">
        <f t="shared" si="190"/>
        <v>706</v>
      </c>
      <c r="D2604" t="s">
        <v>28</v>
      </c>
      <c r="E2604" t="s">
        <v>83</v>
      </c>
      <c r="F2604" t="s">
        <v>1451</v>
      </c>
      <c r="G2604" t="s">
        <v>5303</v>
      </c>
      <c r="H2604" t="str">
        <f t="shared" si="189"/>
        <v>01700</v>
      </c>
      <c r="I2604" t="s">
        <v>1501</v>
      </c>
    </row>
    <row r="2605" spans="1:13" x14ac:dyDescent="0.3">
      <c r="A2605" t="str">
        <f>"60369612"</f>
        <v>60369612</v>
      </c>
      <c r="B2605" t="s">
        <v>5304</v>
      </c>
      <c r="C2605" t="str">
        <f t="shared" si="190"/>
        <v>706</v>
      </c>
      <c r="D2605" t="s">
        <v>28</v>
      </c>
      <c r="E2605" t="s">
        <v>52</v>
      </c>
      <c r="F2605" t="s">
        <v>920</v>
      </c>
      <c r="G2605" t="s">
        <v>5305</v>
      </c>
      <c r="H2605" t="str">
        <f t="shared" si="189"/>
        <v>01700</v>
      </c>
      <c r="I2605" t="s">
        <v>1501</v>
      </c>
    </row>
    <row r="2606" spans="1:13" x14ac:dyDescent="0.3">
      <c r="A2606" t="str">
        <f>"01486471"</f>
        <v>01486471</v>
      </c>
      <c r="B2606" t="s">
        <v>5306</v>
      </c>
      <c r="C2606" t="str">
        <f t="shared" si="190"/>
        <v>706</v>
      </c>
      <c r="D2606" t="s">
        <v>28</v>
      </c>
      <c r="E2606" t="s">
        <v>23</v>
      </c>
      <c r="F2606" t="s">
        <v>975</v>
      </c>
      <c r="G2606" t="s">
        <v>5307</v>
      </c>
      <c r="H2606" t="str">
        <f t="shared" si="189"/>
        <v>01700</v>
      </c>
      <c r="I2606" t="s">
        <v>1501</v>
      </c>
      <c r="J2606" t="s">
        <v>498</v>
      </c>
      <c r="K2606" t="s">
        <v>209</v>
      </c>
      <c r="L2606" t="s">
        <v>161</v>
      </c>
      <c r="M2606" t="s">
        <v>163</v>
      </c>
    </row>
    <row r="2607" spans="1:13" x14ac:dyDescent="0.3">
      <c r="A2607" t="str">
        <f>"00852007"</f>
        <v>00852007</v>
      </c>
      <c r="B2607" t="s">
        <v>5308</v>
      </c>
      <c r="C2607" t="str">
        <f t="shared" si="190"/>
        <v>706</v>
      </c>
      <c r="D2607" t="s">
        <v>28</v>
      </c>
      <c r="E2607" t="s">
        <v>29</v>
      </c>
      <c r="F2607" t="s">
        <v>195</v>
      </c>
      <c r="G2607" t="s">
        <v>5309</v>
      </c>
      <c r="H2607" t="str">
        <f t="shared" si="189"/>
        <v>01700</v>
      </c>
      <c r="I2607" t="s">
        <v>1501</v>
      </c>
    </row>
    <row r="2608" spans="1:13" x14ac:dyDescent="0.3">
      <c r="A2608" t="str">
        <f>"63414651"</f>
        <v>63414651</v>
      </c>
      <c r="B2608" t="s">
        <v>5310</v>
      </c>
      <c r="C2608" t="str">
        <f t="shared" si="190"/>
        <v>706</v>
      </c>
      <c r="D2608" t="s">
        <v>28</v>
      </c>
      <c r="E2608" t="s">
        <v>83</v>
      </c>
      <c r="F2608" t="s">
        <v>4562</v>
      </c>
      <c r="G2608" t="s">
        <v>5311</v>
      </c>
      <c r="H2608" t="str">
        <f t="shared" si="189"/>
        <v>01700</v>
      </c>
      <c r="I2608" t="s">
        <v>1501</v>
      </c>
    </row>
    <row r="2609" spans="1:9" x14ac:dyDescent="0.3">
      <c r="A2609" t="str">
        <f>"47934751"</f>
        <v>47934751</v>
      </c>
      <c r="B2609" t="s">
        <v>5312</v>
      </c>
      <c r="C2609" t="str">
        <f t="shared" si="190"/>
        <v>706</v>
      </c>
      <c r="D2609" t="s">
        <v>28</v>
      </c>
      <c r="E2609" t="s">
        <v>83</v>
      </c>
      <c r="F2609" t="s">
        <v>480</v>
      </c>
      <c r="G2609" t="s">
        <v>5313</v>
      </c>
      <c r="H2609" t="str">
        <f t="shared" si="189"/>
        <v>01700</v>
      </c>
      <c r="I2609" t="s">
        <v>1501</v>
      </c>
    </row>
    <row r="2610" spans="1:9" x14ac:dyDescent="0.3">
      <c r="A2610" t="str">
        <f>"63458845"</f>
        <v>63458845</v>
      </c>
      <c r="B2610" t="s">
        <v>5314</v>
      </c>
      <c r="C2610" t="str">
        <f t="shared" si="190"/>
        <v>706</v>
      </c>
      <c r="D2610" t="s">
        <v>28</v>
      </c>
      <c r="E2610" t="s">
        <v>83</v>
      </c>
      <c r="F2610" t="s">
        <v>4274</v>
      </c>
      <c r="G2610" t="s">
        <v>5315</v>
      </c>
      <c r="H2610" t="str">
        <f t="shared" si="189"/>
        <v>01700</v>
      </c>
      <c r="I2610" t="s">
        <v>1501</v>
      </c>
    </row>
    <row r="2611" spans="1:9" x14ac:dyDescent="0.3">
      <c r="A2611" t="str">
        <f>"47934743"</f>
        <v>47934743</v>
      </c>
      <c r="B2611" t="s">
        <v>5316</v>
      </c>
      <c r="C2611" t="str">
        <f t="shared" si="190"/>
        <v>706</v>
      </c>
      <c r="D2611" t="s">
        <v>28</v>
      </c>
      <c r="E2611" t="s">
        <v>83</v>
      </c>
      <c r="F2611" t="s">
        <v>5317</v>
      </c>
      <c r="G2611" t="s">
        <v>5318</v>
      </c>
      <c r="H2611" t="str">
        <f t="shared" si="189"/>
        <v>01700</v>
      </c>
      <c r="I2611" t="s">
        <v>1501</v>
      </c>
    </row>
    <row r="2612" spans="1:9" x14ac:dyDescent="0.3">
      <c r="A2612" t="str">
        <f>"47658711"</f>
        <v>47658711</v>
      </c>
      <c r="B2612" t="s">
        <v>5319</v>
      </c>
      <c r="C2612" t="str">
        <f t="shared" si="190"/>
        <v>706</v>
      </c>
      <c r="D2612" t="s">
        <v>28</v>
      </c>
      <c r="E2612" t="s">
        <v>29</v>
      </c>
      <c r="F2612" t="s">
        <v>702</v>
      </c>
      <c r="G2612" t="s">
        <v>5320</v>
      </c>
      <c r="H2612" t="str">
        <f t="shared" si="189"/>
        <v>01700</v>
      </c>
      <c r="I2612" t="s">
        <v>1501</v>
      </c>
    </row>
    <row r="2613" spans="1:9" x14ac:dyDescent="0.3">
      <c r="A2613" t="str">
        <f>"48491136"</f>
        <v>48491136</v>
      </c>
      <c r="B2613" t="s">
        <v>5321</v>
      </c>
      <c r="C2613" t="str">
        <f t="shared" si="190"/>
        <v>706</v>
      </c>
      <c r="D2613" t="s">
        <v>28</v>
      </c>
      <c r="E2613" t="s">
        <v>52</v>
      </c>
      <c r="F2613" t="s">
        <v>1212</v>
      </c>
      <c r="G2613" t="s">
        <v>5322</v>
      </c>
      <c r="H2613" t="str">
        <f t="shared" si="189"/>
        <v>01700</v>
      </c>
      <c r="I2613" t="s">
        <v>1501</v>
      </c>
    </row>
    <row r="2614" spans="1:9" x14ac:dyDescent="0.3">
      <c r="A2614" t="str">
        <f>"47930624"</f>
        <v>47930624</v>
      </c>
      <c r="B2614" t="s">
        <v>5323</v>
      </c>
      <c r="C2614" t="str">
        <f t="shared" si="190"/>
        <v>706</v>
      </c>
      <c r="D2614" t="s">
        <v>28</v>
      </c>
      <c r="E2614" t="s">
        <v>83</v>
      </c>
      <c r="F2614" t="s">
        <v>2748</v>
      </c>
      <c r="G2614" t="s">
        <v>5324</v>
      </c>
      <c r="H2614" t="str">
        <f t="shared" si="189"/>
        <v>01700</v>
      </c>
      <c r="I2614" t="s">
        <v>1501</v>
      </c>
    </row>
    <row r="2615" spans="1:9" x14ac:dyDescent="0.3">
      <c r="A2615" t="str">
        <f>"65469771"</f>
        <v>65469771</v>
      </c>
      <c r="B2615" t="s">
        <v>5325</v>
      </c>
      <c r="C2615" t="str">
        <f t="shared" si="190"/>
        <v>706</v>
      </c>
      <c r="D2615" t="s">
        <v>28</v>
      </c>
      <c r="E2615" t="s">
        <v>29</v>
      </c>
      <c r="F2615" t="s">
        <v>1796</v>
      </c>
      <c r="G2615" t="s">
        <v>5326</v>
      </c>
      <c r="H2615" t="str">
        <f t="shared" si="189"/>
        <v>01700</v>
      </c>
      <c r="I2615" t="s">
        <v>1501</v>
      </c>
    </row>
    <row r="2616" spans="1:9" x14ac:dyDescent="0.3">
      <c r="A2616" t="str">
        <f>"47863439"</f>
        <v>47863439</v>
      </c>
      <c r="B2616" t="s">
        <v>5327</v>
      </c>
      <c r="C2616" t="str">
        <f t="shared" si="190"/>
        <v>706</v>
      </c>
      <c r="D2616" t="s">
        <v>28</v>
      </c>
      <c r="E2616" t="s">
        <v>29</v>
      </c>
      <c r="F2616" t="s">
        <v>3480</v>
      </c>
      <c r="G2616" t="s">
        <v>5328</v>
      </c>
      <c r="H2616" t="str">
        <f t="shared" si="189"/>
        <v>01700</v>
      </c>
      <c r="I2616" t="s">
        <v>1501</v>
      </c>
    </row>
    <row r="2617" spans="1:9" x14ac:dyDescent="0.3">
      <c r="A2617" t="str">
        <f>"64467422"</f>
        <v>64467422</v>
      </c>
      <c r="B2617" t="s">
        <v>5329</v>
      </c>
      <c r="C2617" t="str">
        <f t="shared" si="190"/>
        <v>706</v>
      </c>
      <c r="D2617" t="s">
        <v>28</v>
      </c>
      <c r="E2617" t="s">
        <v>23</v>
      </c>
      <c r="F2617" t="s">
        <v>107</v>
      </c>
      <c r="G2617" t="s">
        <v>2612</v>
      </c>
      <c r="H2617" t="str">
        <f t="shared" si="189"/>
        <v>01700</v>
      </c>
      <c r="I2617" t="s">
        <v>1501</v>
      </c>
    </row>
    <row r="2618" spans="1:9" x14ac:dyDescent="0.3">
      <c r="A2618" t="str">
        <f>"46277480"</f>
        <v>46277480</v>
      </c>
      <c r="B2618" t="s">
        <v>5330</v>
      </c>
      <c r="C2618" t="str">
        <f t="shared" si="190"/>
        <v>706</v>
      </c>
      <c r="D2618" t="s">
        <v>28</v>
      </c>
      <c r="E2618" t="s">
        <v>23</v>
      </c>
      <c r="F2618" t="s">
        <v>1885</v>
      </c>
      <c r="G2618" t="s">
        <v>5331</v>
      </c>
      <c r="H2618" t="str">
        <f t="shared" si="189"/>
        <v>01700</v>
      </c>
      <c r="I2618" t="s">
        <v>1501</v>
      </c>
    </row>
    <row r="2619" spans="1:9" x14ac:dyDescent="0.3">
      <c r="A2619" t="str">
        <f>"60042150"</f>
        <v>60042150</v>
      </c>
      <c r="B2619" t="s">
        <v>5332</v>
      </c>
      <c r="C2619" t="str">
        <f t="shared" si="190"/>
        <v>706</v>
      </c>
      <c r="D2619" t="s">
        <v>28</v>
      </c>
      <c r="E2619" t="s">
        <v>29</v>
      </c>
      <c r="F2619" t="s">
        <v>5333</v>
      </c>
      <c r="G2619" t="s">
        <v>5334</v>
      </c>
      <c r="H2619" t="str">
        <f t="shared" si="189"/>
        <v>01700</v>
      </c>
      <c r="I2619" t="s">
        <v>1501</v>
      </c>
    </row>
    <row r="2620" spans="1:9" x14ac:dyDescent="0.3">
      <c r="A2620" t="str">
        <f>"65767314"</f>
        <v>65767314</v>
      </c>
      <c r="B2620" t="s">
        <v>5335</v>
      </c>
      <c r="C2620" t="str">
        <f t="shared" si="190"/>
        <v>706</v>
      </c>
      <c r="D2620" t="s">
        <v>28</v>
      </c>
      <c r="E2620" t="s">
        <v>23</v>
      </c>
      <c r="F2620" t="s">
        <v>5336</v>
      </c>
      <c r="G2620" t="s">
        <v>5337</v>
      </c>
      <c r="H2620" t="str">
        <f t="shared" si="189"/>
        <v>01700</v>
      </c>
      <c r="I2620" t="s">
        <v>1501</v>
      </c>
    </row>
    <row r="2621" spans="1:9" x14ac:dyDescent="0.3">
      <c r="A2621" t="str">
        <f>"75118688"</f>
        <v>75118688</v>
      </c>
      <c r="B2621" t="s">
        <v>5338</v>
      </c>
      <c r="C2621" t="str">
        <f t="shared" si="190"/>
        <v>706</v>
      </c>
      <c r="D2621" t="s">
        <v>28</v>
      </c>
      <c r="E2621" t="s">
        <v>29</v>
      </c>
      <c r="F2621" t="s">
        <v>1004</v>
      </c>
      <c r="G2621" t="s">
        <v>5339</v>
      </c>
      <c r="H2621" t="str">
        <f t="shared" si="189"/>
        <v>01700</v>
      </c>
      <c r="I2621" t="s">
        <v>1501</v>
      </c>
    </row>
    <row r="2622" spans="1:9" x14ac:dyDescent="0.3">
      <c r="A2622" t="str">
        <f>"60574640"</f>
        <v>60574640</v>
      </c>
      <c r="B2622" t="s">
        <v>5340</v>
      </c>
      <c r="C2622" t="str">
        <f t="shared" si="190"/>
        <v>706</v>
      </c>
      <c r="D2622" t="s">
        <v>28</v>
      </c>
      <c r="E2622" t="s">
        <v>83</v>
      </c>
      <c r="F2622" t="s">
        <v>944</v>
      </c>
      <c r="G2622" t="s">
        <v>5341</v>
      </c>
      <c r="H2622" t="str">
        <f t="shared" si="189"/>
        <v>01700</v>
      </c>
      <c r="I2622" t="s">
        <v>1501</v>
      </c>
    </row>
    <row r="2623" spans="1:9" x14ac:dyDescent="0.3">
      <c r="A2623" t="str">
        <f>"63701448"</f>
        <v>63701448</v>
      </c>
      <c r="B2623" t="s">
        <v>5342</v>
      </c>
      <c r="C2623" t="str">
        <f t="shared" si="190"/>
        <v>706</v>
      </c>
      <c r="D2623" t="s">
        <v>28</v>
      </c>
      <c r="E2623" t="s">
        <v>29</v>
      </c>
      <c r="F2623" t="s">
        <v>1473</v>
      </c>
      <c r="G2623" t="s">
        <v>5343</v>
      </c>
      <c r="H2623" t="str">
        <f t="shared" si="189"/>
        <v>01700</v>
      </c>
      <c r="I2623" t="s">
        <v>1501</v>
      </c>
    </row>
    <row r="2624" spans="1:9" x14ac:dyDescent="0.3">
      <c r="A2624" t="str">
        <f>"62334212"</f>
        <v>62334212</v>
      </c>
      <c r="B2624" t="s">
        <v>5344</v>
      </c>
      <c r="C2624" t="str">
        <f t="shared" si="190"/>
        <v>706</v>
      </c>
      <c r="D2624" t="s">
        <v>28</v>
      </c>
      <c r="E2624" t="s">
        <v>29</v>
      </c>
      <c r="F2624" t="s">
        <v>503</v>
      </c>
      <c r="G2624" t="s">
        <v>5345</v>
      </c>
      <c r="H2624" t="str">
        <f t="shared" si="189"/>
        <v>01700</v>
      </c>
      <c r="I2624" t="s">
        <v>1501</v>
      </c>
    </row>
    <row r="2625" spans="1:11" x14ac:dyDescent="0.3">
      <c r="A2625" t="str">
        <f>"65792521"</f>
        <v>65792521</v>
      </c>
      <c r="B2625" t="s">
        <v>5346</v>
      </c>
      <c r="C2625" t="str">
        <f t="shared" si="190"/>
        <v>706</v>
      </c>
      <c r="D2625" t="s">
        <v>28</v>
      </c>
      <c r="E2625" t="s">
        <v>23</v>
      </c>
      <c r="F2625" t="s">
        <v>5347</v>
      </c>
      <c r="G2625" t="s">
        <v>5348</v>
      </c>
      <c r="H2625" t="str">
        <f t="shared" si="189"/>
        <v>01700</v>
      </c>
      <c r="I2625" t="s">
        <v>1501</v>
      </c>
    </row>
    <row r="2626" spans="1:11" x14ac:dyDescent="0.3">
      <c r="A2626" t="str">
        <f>"47863811"</f>
        <v>47863811</v>
      </c>
      <c r="B2626" t="s">
        <v>5349</v>
      </c>
      <c r="C2626" t="str">
        <f t="shared" si="190"/>
        <v>706</v>
      </c>
      <c r="D2626" t="s">
        <v>28</v>
      </c>
      <c r="E2626" t="s">
        <v>29</v>
      </c>
      <c r="F2626" t="s">
        <v>1266</v>
      </c>
      <c r="G2626" t="s">
        <v>5350</v>
      </c>
      <c r="H2626" t="str">
        <f t="shared" si="189"/>
        <v>01700</v>
      </c>
      <c r="I2626" t="s">
        <v>1501</v>
      </c>
    </row>
    <row r="2627" spans="1:11" x14ac:dyDescent="0.3">
      <c r="A2627" t="str">
        <f>"14612097"</f>
        <v>14612097</v>
      </c>
      <c r="B2627" t="s">
        <v>5351</v>
      </c>
      <c r="C2627" t="str">
        <f t="shared" si="190"/>
        <v>706</v>
      </c>
      <c r="D2627" t="s">
        <v>28</v>
      </c>
      <c r="E2627" t="s">
        <v>29</v>
      </c>
      <c r="F2627" t="s">
        <v>653</v>
      </c>
      <c r="G2627" t="s">
        <v>5352</v>
      </c>
      <c r="H2627" t="str">
        <f t="shared" si="189"/>
        <v>01700</v>
      </c>
      <c r="I2627" t="s">
        <v>1501</v>
      </c>
    </row>
    <row r="2628" spans="1:11" x14ac:dyDescent="0.3">
      <c r="A2628" t="str">
        <f>"72051078"</f>
        <v>72051078</v>
      </c>
      <c r="B2628" t="s">
        <v>5353</v>
      </c>
      <c r="C2628" t="str">
        <f t="shared" si="190"/>
        <v>706</v>
      </c>
      <c r="D2628" t="s">
        <v>28</v>
      </c>
      <c r="E2628" t="s">
        <v>29</v>
      </c>
      <c r="F2628" t="s">
        <v>135</v>
      </c>
      <c r="G2628" t="s">
        <v>5354</v>
      </c>
      <c r="H2628" t="str">
        <f t="shared" si="189"/>
        <v>01700</v>
      </c>
      <c r="I2628" t="s">
        <v>1501</v>
      </c>
    </row>
    <row r="2629" spans="1:11" x14ac:dyDescent="0.3">
      <c r="A2629" t="str">
        <f>"70976937"</f>
        <v>70976937</v>
      </c>
      <c r="B2629" t="s">
        <v>5355</v>
      </c>
      <c r="C2629" t="str">
        <f t="shared" si="190"/>
        <v>706</v>
      </c>
      <c r="D2629" t="s">
        <v>28</v>
      </c>
      <c r="E2629" t="s">
        <v>23</v>
      </c>
      <c r="F2629" t="s">
        <v>2429</v>
      </c>
      <c r="G2629" t="s">
        <v>3108</v>
      </c>
      <c r="H2629" t="str">
        <f>"017"</f>
        <v>017</v>
      </c>
      <c r="I2629" t="s">
        <v>1501</v>
      </c>
    </row>
    <row r="2630" spans="1:11" x14ac:dyDescent="0.3">
      <c r="A2630" t="str">
        <f>"22684140"</f>
        <v>22684140</v>
      </c>
      <c r="B2630" t="s">
        <v>5356</v>
      </c>
      <c r="C2630" t="str">
        <f t="shared" si="190"/>
        <v>706</v>
      </c>
      <c r="D2630" t="s">
        <v>28</v>
      </c>
      <c r="E2630" t="s">
        <v>83</v>
      </c>
      <c r="F2630" t="s">
        <v>183</v>
      </c>
      <c r="G2630" t="s">
        <v>5357</v>
      </c>
      <c r="H2630" t="str">
        <f t="shared" ref="H2630:H2657" si="191">"01700"</f>
        <v>01700</v>
      </c>
      <c r="I2630" t="s">
        <v>1501</v>
      </c>
      <c r="J2630" t="s">
        <v>209</v>
      </c>
      <c r="K2630" t="s">
        <v>161</v>
      </c>
    </row>
    <row r="2631" spans="1:11" x14ac:dyDescent="0.3">
      <c r="A2631" t="str">
        <f>"71209131"</f>
        <v>71209131</v>
      </c>
      <c r="B2631" t="s">
        <v>5358</v>
      </c>
      <c r="C2631" t="str">
        <f t="shared" si="190"/>
        <v>706</v>
      </c>
      <c r="D2631" t="s">
        <v>28</v>
      </c>
      <c r="E2631" t="s">
        <v>52</v>
      </c>
      <c r="F2631" t="s">
        <v>113</v>
      </c>
      <c r="G2631" t="s">
        <v>5359</v>
      </c>
      <c r="H2631" t="str">
        <f t="shared" si="191"/>
        <v>01700</v>
      </c>
      <c r="I2631" t="s">
        <v>1501</v>
      </c>
    </row>
    <row r="2632" spans="1:11" x14ac:dyDescent="0.3">
      <c r="A2632" t="str">
        <f>"65325842"</f>
        <v>65325842</v>
      </c>
      <c r="B2632" t="s">
        <v>5360</v>
      </c>
      <c r="C2632" t="str">
        <f t="shared" si="190"/>
        <v>706</v>
      </c>
      <c r="D2632" t="s">
        <v>28</v>
      </c>
      <c r="E2632" t="s">
        <v>52</v>
      </c>
      <c r="F2632" t="s">
        <v>1829</v>
      </c>
      <c r="G2632" t="s">
        <v>5361</v>
      </c>
      <c r="H2632" t="str">
        <f t="shared" si="191"/>
        <v>01700</v>
      </c>
      <c r="I2632" t="s">
        <v>1501</v>
      </c>
    </row>
    <row r="2633" spans="1:11" x14ac:dyDescent="0.3">
      <c r="A2633" t="str">
        <f>"60370084"</f>
        <v>60370084</v>
      </c>
      <c r="B2633" t="s">
        <v>5362</v>
      </c>
      <c r="C2633" t="str">
        <f t="shared" si="190"/>
        <v>706</v>
      </c>
      <c r="D2633" t="s">
        <v>28</v>
      </c>
      <c r="E2633" t="s">
        <v>52</v>
      </c>
      <c r="F2633" t="s">
        <v>65</v>
      </c>
      <c r="G2633" t="s">
        <v>5363</v>
      </c>
      <c r="H2633" t="str">
        <f t="shared" si="191"/>
        <v>01700</v>
      </c>
      <c r="I2633" t="s">
        <v>1501</v>
      </c>
    </row>
    <row r="2634" spans="1:11" x14ac:dyDescent="0.3">
      <c r="A2634" t="str">
        <f>"01709569"</f>
        <v>01709569</v>
      </c>
      <c r="B2634" t="s">
        <v>5364</v>
      </c>
      <c r="C2634" t="str">
        <f t="shared" si="190"/>
        <v>706</v>
      </c>
      <c r="D2634" t="s">
        <v>28</v>
      </c>
      <c r="E2634" t="s">
        <v>23</v>
      </c>
      <c r="F2634" t="s">
        <v>975</v>
      </c>
      <c r="G2634" t="s">
        <v>5365</v>
      </c>
      <c r="H2634" t="str">
        <f t="shared" si="191"/>
        <v>01700</v>
      </c>
      <c r="I2634" t="s">
        <v>1501</v>
      </c>
    </row>
    <row r="2635" spans="1:11" x14ac:dyDescent="0.3">
      <c r="A2635" t="str">
        <f>"62334298"</f>
        <v>62334298</v>
      </c>
      <c r="B2635" t="s">
        <v>5366</v>
      </c>
      <c r="C2635" t="str">
        <f t="shared" si="190"/>
        <v>706</v>
      </c>
      <c r="D2635" t="s">
        <v>28</v>
      </c>
      <c r="E2635" t="s">
        <v>29</v>
      </c>
      <c r="F2635" t="s">
        <v>1888</v>
      </c>
      <c r="G2635" t="s">
        <v>5367</v>
      </c>
      <c r="H2635" t="str">
        <f t="shared" si="191"/>
        <v>01700</v>
      </c>
      <c r="I2635" t="s">
        <v>1501</v>
      </c>
    </row>
    <row r="2636" spans="1:11" x14ac:dyDescent="0.3">
      <c r="A2636" t="str">
        <f>"01484834"</f>
        <v>01484834</v>
      </c>
      <c r="B2636" t="s">
        <v>5368</v>
      </c>
      <c r="C2636" t="str">
        <f t="shared" si="190"/>
        <v>706</v>
      </c>
      <c r="D2636" t="s">
        <v>28</v>
      </c>
      <c r="E2636" t="s">
        <v>29</v>
      </c>
      <c r="F2636" t="s">
        <v>607</v>
      </c>
      <c r="G2636" t="s">
        <v>5369</v>
      </c>
      <c r="H2636" t="str">
        <f t="shared" si="191"/>
        <v>01700</v>
      </c>
      <c r="I2636" t="s">
        <v>1501</v>
      </c>
    </row>
    <row r="2637" spans="1:11" x14ac:dyDescent="0.3">
      <c r="A2637" t="str">
        <f>"63414279"</f>
        <v>63414279</v>
      </c>
      <c r="B2637" t="s">
        <v>5370</v>
      </c>
      <c r="C2637" t="str">
        <f t="shared" si="190"/>
        <v>706</v>
      </c>
      <c r="D2637" t="s">
        <v>28</v>
      </c>
      <c r="E2637" t="s">
        <v>83</v>
      </c>
      <c r="F2637" t="s">
        <v>1778</v>
      </c>
      <c r="G2637" t="s">
        <v>5371</v>
      </c>
      <c r="H2637" t="str">
        <f t="shared" si="191"/>
        <v>01700</v>
      </c>
      <c r="I2637" t="s">
        <v>1501</v>
      </c>
    </row>
    <row r="2638" spans="1:11" x14ac:dyDescent="0.3">
      <c r="A2638" t="str">
        <f>"19999828"</f>
        <v>19999828</v>
      </c>
      <c r="B2638" t="s">
        <v>5372</v>
      </c>
      <c r="C2638" t="str">
        <f t="shared" si="190"/>
        <v>706</v>
      </c>
      <c r="D2638" t="s">
        <v>28</v>
      </c>
      <c r="E2638" t="s">
        <v>23</v>
      </c>
      <c r="F2638" t="s">
        <v>744</v>
      </c>
      <c r="G2638" t="s">
        <v>5373</v>
      </c>
      <c r="H2638" t="str">
        <f t="shared" si="191"/>
        <v>01700</v>
      </c>
      <c r="I2638" t="s">
        <v>1501</v>
      </c>
    </row>
    <row r="2639" spans="1:11" x14ac:dyDescent="0.3">
      <c r="A2639" t="str">
        <f>"64123057"</f>
        <v>64123057</v>
      </c>
      <c r="B2639" t="s">
        <v>5374</v>
      </c>
      <c r="C2639" t="str">
        <f t="shared" si="190"/>
        <v>706</v>
      </c>
      <c r="D2639" t="s">
        <v>28</v>
      </c>
      <c r="E2639" t="s">
        <v>29</v>
      </c>
      <c r="F2639" t="s">
        <v>1810</v>
      </c>
      <c r="G2639" t="s">
        <v>5375</v>
      </c>
      <c r="H2639" t="str">
        <f t="shared" si="191"/>
        <v>01700</v>
      </c>
      <c r="I2639" t="s">
        <v>1501</v>
      </c>
    </row>
    <row r="2640" spans="1:11" x14ac:dyDescent="0.3">
      <c r="A2640" t="str">
        <f>"01480901"</f>
        <v>01480901</v>
      </c>
      <c r="B2640" t="s">
        <v>5376</v>
      </c>
      <c r="C2640" t="str">
        <f t="shared" si="190"/>
        <v>706</v>
      </c>
      <c r="D2640" t="s">
        <v>28</v>
      </c>
      <c r="E2640" t="s">
        <v>29</v>
      </c>
      <c r="F2640" t="s">
        <v>681</v>
      </c>
      <c r="G2640" t="s">
        <v>5233</v>
      </c>
      <c r="H2640" t="str">
        <f t="shared" si="191"/>
        <v>01700</v>
      </c>
      <c r="I2640" t="s">
        <v>1501</v>
      </c>
    </row>
    <row r="2641" spans="1:14" x14ac:dyDescent="0.3">
      <c r="A2641" t="str">
        <f>"47933623"</f>
        <v>47933623</v>
      </c>
      <c r="B2641" t="s">
        <v>5377</v>
      </c>
      <c r="C2641" t="str">
        <f t="shared" si="190"/>
        <v>706</v>
      </c>
      <c r="D2641" t="s">
        <v>28</v>
      </c>
      <c r="E2641" t="s">
        <v>83</v>
      </c>
      <c r="F2641" t="s">
        <v>5378</v>
      </c>
      <c r="G2641" t="s">
        <v>5379</v>
      </c>
      <c r="H2641" t="str">
        <f t="shared" si="191"/>
        <v>01700</v>
      </c>
      <c r="I2641" t="s">
        <v>1501</v>
      </c>
    </row>
    <row r="2642" spans="1:14" x14ac:dyDescent="0.3">
      <c r="A2642" t="str">
        <f>"63414554"</f>
        <v>63414554</v>
      </c>
      <c r="B2642" t="s">
        <v>5380</v>
      </c>
      <c r="C2642" t="str">
        <f t="shared" si="190"/>
        <v>706</v>
      </c>
      <c r="D2642" t="s">
        <v>28</v>
      </c>
      <c r="E2642" t="s">
        <v>83</v>
      </c>
      <c r="F2642" t="s">
        <v>2795</v>
      </c>
      <c r="G2642" t="s">
        <v>5381</v>
      </c>
      <c r="H2642" t="str">
        <f t="shared" si="191"/>
        <v>01700</v>
      </c>
      <c r="I2642" t="s">
        <v>1501</v>
      </c>
    </row>
    <row r="2643" spans="1:14" x14ac:dyDescent="0.3">
      <c r="A2643" t="str">
        <f>"26606429"</f>
        <v>26606429</v>
      </c>
      <c r="B2643" t="s">
        <v>5382</v>
      </c>
      <c r="C2643" t="str">
        <f t="shared" si="190"/>
        <v>706</v>
      </c>
      <c r="D2643" t="s">
        <v>28</v>
      </c>
      <c r="E2643" t="s">
        <v>23</v>
      </c>
      <c r="F2643" t="s">
        <v>5383</v>
      </c>
      <c r="G2643" t="s">
        <v>5384</v>
      </c>
      <c r="H2643" t="str">
        <f t="shared" si="191"/>
        <v>01700</v>
      </c>
      <c r="I2643" t="s">
        <v>1501</v>
      </c>
    </row>
    <row r="2644" spans="1:14" x14ac:dyDescent="0.3">
      <c r="A2644" t="str">
        <f>"62180002"</f>
        <v>62180002</v>
      </c>
      <c r="B2644" t="s">
        <v>5385</v>
      </c>
      <c r="C2644" t="str">
        <f t="shared" si="190"/>
        <v>706</v>
      </c>
      <c r="D2644" t="s">
        <v>28</v>
      </c>
      <c r="E2644" t="s">
        <v>23</v>
      </c>
      <c r="F2644" t="s">
        <v>350</v>
      </c>
      <c r="G2644" t="s">
        <v>5386</v>
      </c>
      <c r="H2644" t="str">
        <f t="shared" si="191"/>
        <v>01700</v>
      </c>
      <c r="I2644" t="s">
        <v>1501</v>
      </c>
    </row>
    <row r="2645" spans="1:14" x14ac:dyDescent="0.3">
      <c r="A2645" t="str">
        <f>"02366118"</f>
        <v>02366118</v>
      </c>
      <c r="B2645" t="s">
        <v>5387</v>
      </c>
      <c r="C2645" t="str">
        <f t="shared" si="190"/>
        <v>706</v>
      </c>
      <c r="D2645" t="s">
        <v>28</v>
      </c>
      <c r="E2645" t="s">
        <v>23</v>
      </c>
      <c r="F2645" t="s">
        <v>23</v>
      </c>
      <c r="G2645" t="s">
        <v>5388</v>
      </c>
      <c r="H2645" t="str">
        <f t="shared" si="191"/>
        <v>01700</v>
      </c>
      <c r="I2645" t="s">
        <v>1501</v>
      </c>
    </row>
    <row r="2646" spans="1:14" x14ac:dyDescent="0.3">
      <c r="A2646" t="str">
        <f>"70887349"</f>
        <v>70887349</v>
      </c>
      <c r="B2646" t="s">
        <v>5389</v>
      </c>
      <c r="C2646" t="str">
        <f t="shared" si="190"/>
        <v>706</v>
      </c>
      <c r="D2646" t="s">
        <v>28</v>
      </c>
      <c r="E2646" t="s">
        <v>29</v>
      </c>
      <c r="F2646" t="s">
        <v>1922</v>
      </c>
      <c r="G2646" t="s">
        <v>5390</v>
      </c>
      <c r="H2646" t="str">
        <f t="shared" si="191"/>
        <v>01700</v>
      </c>
      <c r="I2646" t="s">
        <v>1501</v>
      </c>
    </row>
    <row r="2647" spans="1:14" x14ac:dyDescent="0.3">
      <c r="A2647" t="str">
        <f>"49157027"</f>
        <v>49157027</v>
      </c>
      <c r="B2647" t="s">
        <v>5391</v>
      </c>
      <c r="C2647" t="str">
        <f t="shared" si="190"/>
        <v>706</v>
      </c>
      <c r="D2647" t="s">
        <v>28</v>
      </c>
      <c r="E2647" t="s">
        <v>23</v>
      </c>
      <c r="F2647" t="s">
        <v>5392</v>
      </c>
      <c r="G2647" t="s">
        <v>5393</v>
      </c>
      <c r="H2647" t="str">
        <f t="shared" si="191"/>
        <v>01700</v>
      </c>
      <c r="I2647" t="s">
        <v>1501</v>
      </c>
    </row>
    <row r="2648" spans="1:14" x14ac:dyDescent="0.3">
      <c r="A2648" t="str">
        <f>"60042575"</f>
        <v>60042575</v>
      </c>
      <c r="B2648" t="s">
        <v>5394</v>
      </c>
      <c r="C2648" t="str">
        <f t="shared" si="190"/>
        <v>706</v>
      </c>
      <c r="D2648" t="s">
        <v>28</v>
      </c>
      <c r="E2648" t="s">
        <v>29</v>
      </c>
      <c r="F2648" t="s">
        <v>775</v>
      </c>
      <c r="G2648" t="s">
        <v>5395</v>
      </c>
      <c r="H2648" t="str">
        <f t="shared" si="191"/>
        <v>01700</v>
      </c>
      <c r="I2648" t="s">
        <v>1501</v>
      </c>
      <c r="J2648" t="s">
        <v>155</v>
      </c>
      <c r="K2648" t="s">
        <v>2347</v>
      </c>
      <c r="L2648" t="s">
        <v>2972</v>
      </c>
      <c r="M2648" t="s">
        <v>209</v>
      </c>
      <c r="N2648" t="s">
        <v>161</v>
      </c>
    </row>
    <row r="2649" spans="1:14" x14ac:dyDescent="0.3">
      <c r="A2649" t="str">
        <f>"67010954"</f>
        <v>67010954</v>
      </c>
      <c r="B2649" t="s">
        <v>5396</v>
      </c>
      <c r="C2649" t="str">
        <f t="shared" si="190"/>
        <v>706</v>
      </c>
      <c r="D2649" t="s">
        <v>28</v>
      </c>
      <c r="E2649" t="s">
        <v>52</v>
      </c>
      <c r="F2649" t="s">
        <v>1773</v>
      </c>
      <c r="G2649" t="s">
        <v>5397</v>
      </c>
      <c r="H2649" t="str">
        <f t="shared" si="191"/>
        <v>01700</v>
      </c>
      <c r="I2649" t="s">
        <v>1501</v>
      </c>
    </row>
    <row r="2650" spans="1:14" x14ac:dyDescent="0.3">
      <c r="A2650" t="str">
        <f>"47933895"</f>
        <v>47933895</v>
      </c>
      <c r="B2650" t="s">
        <v>5398</v>
      </c>
      <c r="C2650" t="str">
        <f t="shared" si="190"/>
        <v>706</v>
      </c>
      <c r="D2650" t="s">
        <v>28</v>
      </c>
      <c r="E2650" t="s">
        <v>83</v>
      </c>
      <c r="F2650" t="s">
        <v>130</v>
      </c>
      <c r="G2650" t="s">
        <v>5399</v>
      </c>
      <c r="H2650" t="str">
        <f t="shared" si="191"/>
        <v>01700</v>
      </c>
      <c r="I2650" t="s">
        <v>1501</v>
      </c>
      <c r="J2650" t="s">
        <v>161</v>
      </c>
      <c r="K2650" t="s">
        <v>163</v>
      </c>
      <c r="L2650" t="s">
        <v>1252</v>
      </c>
      <c r="M2650" t="s">
        <v>209</v>
      </c>
      <c r="N2650" t="s">
        <v>59</v>
      </c>
    </row>
    <row r="2651" spans="1:14" x14ac:dyDescent="0.3">
      <c r="A2651" t="str">
        <f>"47930594"</f>
        <v>47930594</v>
      </c>
      <c r="B2651" t="s">
        <v>5400</v>
      </c>
      <c r="C2651" t="str">
        <f t="shared" si="190"/>
        <v>706</v>
      </c>
      <c r="D2651" t="s">
        <v>28</v>
      </c>
      <c r="E2651" t="s">
        <v>83</v>
      </c>
      <c r="F2651" t="s">
        <v>537</v>
      </c>
      <c r="G2651" t="s">
        <v>5401</v>
      </c>
      <c r="H2651" t="str">
        <f t="shared" si="191"/>
        <v>01700</v>
      </c>
      <c r="I2651" t="s">
        <v>1501</v>
      </c>
    </row>
    <row r="2652" spans="1:14" x14ac:dyDescent="0.3">
      <c r="A2652" t="str">
        <f>"67011624"</f>
        <v>67011624</v>
      </c>
      <c r="B2652" t="s">
        <v>5402</v>
      </c>
      <c r="C2652" t="str">
        <f t="shared" si="190"/>
        <v>706</v>
      </c>
      <c r="D2652" t="s">
        <v>28</v>
      </c>
      <c r="E2652" t="s">
        <v>52</v>
      </c>
      <c r="F2652" t="s">
        <v>3833</v>
      </c>
      <c r="G2652" t="s">
        <v>5403</v>
      </c>
      <c r="H2652" t="str">
        <f t="shared" si="191"/>
        <v>01700</v>
      </c>
      <c r="I2652" t="s">
        <v>1501</v>
      </c>
    </row>
    <row r="2653" spans="1:14" x14ac:dyDescent="0.3">
      <c r="A2653" t="str">
        <f>"64123561"</f>
        <v>64123561</v>
      </c>
      <c r="B2653" t="s">
        <v>5404</v>
      </c>
      <c r="C2653" t="str">
        <f t="shared" si="190"/>
        <v>706</v>
      </c>
      <c r="D2653" t="s">
        <v>28</v>
      </c>
      <c r="E2653" t="s">
        <v>29</v>
      </c>
      <c r="F2653" t="s">
        <v>1654</v>
      </c>
      <c r="G2653" t="s">
        <v>5405</v>
      </c>
      <c r="H2653" t="str">
        <f t="shared" si="191"/>
        <v>01700</v>
      </c>
      <c r="I2653" t="s">
        <v>1501</v>
      </c>
    </row>
    <row r="2654" spans="1:14" x14ac:dyDescent="0.3">
      <c r="A2654" t="str">
        <f>"47863412"</f>
        <v>47863412</v>
      </c>
      <c r="B2654" t="s">
        <v>5406</v>
      </c>
      <c r="C2654" t="str">
        <f t="shared" si="190"/>
        <v>706</v>
      </c>
      <c r="D2654" t="s">
        <v>28</v>
      </c>
      <c r="E2654" t="s">
        <v>29</v>
      </c>
      <c r="F2654" t="s">
        <v>1654</v>
      </c>
      <c r="G2654" t="s">
        <v>5407</v>
      </c>
      <c r="H2654" t="str">
        <f t="shared" si="191"/>
        <v>01700</v>
      </c>
      <c r="I2654" t="s">
        <v>1501</v>
      </c>
    </row>
    <row r="2655" spans="1:14" x14ac:dyDescent="0.3">
      <c r="A2655" t="str">
        <f>"47935901"</f>
        <v>47935901</v>
      </c>
      <c r="B2655" t="s">
        <v>5408</v>
      </c>
      <c r="C2655" t="str">
        <f t="shared" si="190"/>
        <v>706</v>
      </c>
      <c r="D2655" t="s">
        <v>28</v>
      </c>
      <c r="E2655" t="s">
        <v>83</v>
      </c>
      <c r="F2655" t="s">
        <v>3388</v>
      </c>
      <c r="G2655" t="s">
        <v>5409</v>
      </c>
      <c r="H2655" t="str">
        <f t="shared" si="191"/>
        <v>01700</v>
      </c>
      <c r="I2655" t="s">
        <v>1501</v>
      </c>
    </row>
    <row r="2656" spans="1:14" x14ac:dyDescent="0.3">
      <c r="A2656" t="str">
        <f>"70436517"</f>
        <v>70436517</v>
      </c>
      <c r="B2656" t="s">
        <v>5410</v>
      </c>
      <c r="C2656" t="str">
        <f t="shared" si="190"/>
        <v>706</v>
      </c>
      <c r="D2656" t="s">
        <v>28</v>
      </c>
      <c r="E2656" t="s">
        <v>52</v>
      </c>
      <c r="F2656" t="s">
        <v>1229</v>
      </c>
      <c r="G2656" t="s">
        <v>5411</v>
      </c>
      <c r="H2656" t="str">
        <f t="shared" si="191"/>
        <v>01700</v>
      </c>
      <c r="I2656" t="s">
        <v>1501</v>
      </c>
    </row>
    <row r="2657" spans="1:12" x14ac:dyDescent="0.3">
      <c r="A2657" t="str">
        <f>"49158228"</f>
        <v>49158228</v>
      </c>
      <c r="B2657" t="s">
        <v>5412</v>
      </c>
      <c r="C2657" t="str">
        <f t="shared" si="190"/>
        <v>706</v>
      </c>
      <c r="D2657" t="s">
        <v>28</v>
      </c>
      <c r="E2657" t="s">
        <v>23</v>
      </c>
      <c r="F2657" t="s">
        <v>350</v>
      </c>
      <c r="G2657" t="s">
        <v>437</v>
      </c>
      <c r="H2657" t="str">
        <f t="shared" si="191"/>
        <v>01700</v>
      </c>
      <c r="I2657" t="s">
        <v>1501</v>
      </c>
    </row>
    <row r="2658" spans="1:12" x14ac:dyDescent="0.3">
      <c r="A2658" t="str">
        <f>"04723929"</f>
        <v>04723929</v>
      </c>
      <c r="B2658" t="s">
        <v>5413</v>
      </c>
      <c r="C2658" t="str">
        <f t="shared" si="190"/>
        <v>706</v>
      </c>
      <c r="D2658" t="s">
        <v>28</v>
      </c>
      <c r="E2658" t="s">
        <v>83</v>
      </c>
      <c r="F2658" t="s">
        <v>2795</v>
      </c>
      <c r="G2658" t="s">
        <v>2795</v>
      </c>
      <c r="H2658" t="str">
        <f>"0170"</f>
        <v>0170</v>
      </c>
      <c r="I2658" t="s">
        <v>1501</v>
      </c>
    </row>
    <row r="2659" spans="1:12" x14ac:dyDescent="0.3">
      <c r="A2659" t="str">
        <f>"48489247"</f>
        <v>48489247</v>
      </c>
      <c r="B2659" t="s">
        <v>5414</v>
      </c>
      <c r="C2659" t="str">
        <f t="shared" si="190"/>
        <v>706</v>
      </c>
      <c r="D2659" t="s">
        <v>28</v>
      </c>
      <c r="E2659" t="s">
        <v>52</v>
      </c>
      <c r="F2659" t="s">
        <v>2795</v>
      </c>
      <c r="G2659" t="s">
        <v>2796</v>
      </c>
      <c r="H2659" t="str">
        <f t="shared" ref="H2659:H2670" si="192">"01700"</f>
        <v>01700</v>
      </c>
      <c r="I2659" t="s">
        <v>1501</v>
      </c>
    </row>
    <row r="2660" spans="1:12" x14ac:dyDescent="0.3">
      <c r="A2660" t="str">
        <f>"75073749"</f>
        <v>75073749</v>
      </c>
      <c r="B2660" t="s">
        <v>5415</v>
      </c>
      <c r="C2660" t="str">
        <f t="shared" si="190"/>
        <v>706</v>
      </c>
      <c r="D2660" t="s">
        <v>28</v>
      </c>
      <c r="E2660" t="s">
        <v>29</v>
      </c>
      <c r="F2660" t="s">
        <v>876</v>
      </c>
      <c r="G2660" t="s">
        <v>5416</v>
      </c>
      <c r="H2660" t="str">
        <f t="shared" si="192"/>
        <v>01700</v>
      </c>
      <c r="I2660" t="s">
        <v>1501</v>
      </c>
    </row>
    <row r="2661" spans="1:12" x14ac:dyDescent="0.3">
      <c r="A2661" t="str">
        <f>"62181076"</f>
        <v>62181076</v>
      </c>
      <c r="B2661" t="s">
        <v>5417</v>
      </c>
      <c r="C2661" t="str">
        <f t="shared" si="190"/>
        <v>706</v>
      </c>
      <c r="D2661" t="s">
        <v>28</v>
      </c>
      <c r="E2661" t="s">
        <v>23</v>
      </c>
      <c r="F2661" t="s">
        <v>5418</v>
      </c>
      <c r="G2661" t="s">
        <v>5419</v>
      </c>
      <c r="H2661" t="str">
        <f t="shared" si="192"/>
        <v>01700</v>
      </c>
      <c r="I2661" t="s">
        <v>1501</v>
      </c>
    </row>
    <row r="2662" spans="1:12" x14ac:dyDescent="0.3">
      <c r="A2662" t="str">
        <f>"47933658"</f>
        <v>47933658</v>
      </c>
      <c r="B2662" t="s">
        <v>5420</v>
      </c>
      <c r="C2662" t="str">
        <f t="shared" si="190"/>
        <v>706</v>
      </c>
      <c r="D2662" t="s">
        <v>28</v>
      </c>
      <c r="E2662" t="s">
        <v>83</v>
      </c>
      <c r="F2662" t="s">
        <v>944</v>
      </c>
      <c r="G2662" t="s">
        <v>1706</v>
      </c>
      <c r="H2662" t="str">
        <f t="shared" si="192"/>
        <v>01700</v>
      </c>
      <c r="I2662" t="s">
        <v>1501</v>
      </c>
      <c r="J2662" t="s">
        <v>161</v>
      </c>
      <c r="K2662" t="s">
        <v>209</v>
      </c>
      <c r="L2662" t="s">
        <v>163</v>
      </c>
    </row>
    <row r="2663" spans="1:12" x14ac:dyDescent="0.3">
      <c r="A2663" t="str">
        <f>"00433128"</f>
        <v>00433128</v>
      </c>
      <c r="B2663" t="s">
        <v>5421</v>
      </c>
      <c r="C2663" t="str">
        <f t="shared" si="190"/>
        <v>706</v>
      </c>
      <c r="D2663" t="s">
        <v>28</v>
      </c>
      <c r="E2663" t="s">
        <v>29</v>
      </c>
      <c r="F2663" t="s">
        <v>2177</v>
      </c>
      <c r="G2663" t="s">
        <v>2178</v>
      </c>
      <c r="H2663" t="str">
        <f t="shared" si="192"/>
        <v>01700</v>
      </c>
      <c r="I2663" t="s">
        <v>1501</v>
      </c>
      <c r="J2663" t="s">
        <v>209</v>
      </c>
      <c r="K2663" t="s">
        <v>161</v>
      </c>
    </row>
    <row r="2664" spans="1:12" x14ac:dyDescent="0.3">
      <c r="A2664" t="str">
        <f>"62181963"</f>
        <v>62181963</v>
      </c>
      <c r="B2664" t="s">
        <v>5422</v>
      </c>
      <c r="C2664" t="str">
        <f t="shared" ref="C2664:C2726" si="193">"706"</f>
        <v>706</v>
      </c>
      <c r="D2664" t="s">
        <v>28</v>
      </c>
      <c r="E2664" t="s">
        <v>23</v>
      </c>
      <c r="F2664" t="s">
        <v>1555</v>
      </c>
      <c r="G2664" t="s">
        <v>5423</v>
      </c>
      <c r="H2664" t="str">
        <f t="shared" si="192"/>
        <v>01700</v>
      </c>
      <c r="I2664" t="s">
        <v>1501</v>
      </c>
    </row>
    <row r="2665" spans="1:12" x14ac:dyDescent="0.3">
      <c r="A2665" t="str">
        <f>"26605422"</f>
        <v>26605422</v>
      </c>
      <c r="B2665" t="s">
        <v>5424</v>
      </c>
      <c r="C2665" t="str">
        <f t="shared" si="193"/>
        <v>706</v>
      </c>
      <c r="D2665" t="s">
        <v>28</v>
      </c>
      <c r="E2665" t="s">
        <v>23</v>
      </c>
      <c r="F2665" t="s">
        <v>102</v>
      </c>
      <c r="G2665" t="s">
        <v>5425</v>
      </c>
      <c r="H2665" t="str">
        <f t="shared" si="192"/>
        <v>01700</v>
      </c>
      <c r="I2665" t="s">
        <v>1501</v>
      </c>
    </row>
    <row r="2666" spans="1:12" x14ac:dyDescent="0.3">
      <c r="A2666" t="str">
        <f>"48491411"</f>
        <v>48491411</v>
      </c>
      <c r="B2666" t="s">
        <v>5426</v>
      </c>
      <c r="C2666" t="str">
        <f t="shared" si="193"/>
        <v>706</v>
      </c>
      <c r="D2666" t="s">
        <v>28</v>
      </c>
      <c r="E2666" t="s">
        <v>52</v>
      </c>
      <c r="F2666" t="s">
        <v>1894</v>
      </c>
      <c r="G2666" t="s">
        <v>5427</v>
      </c>
      <c r="H2666" t="str">
        <f t="shared" si="192"/>
        <v>01700</v>
      </c>
      <c r="I2666" t="s">
        <v>1501</v>
      </c>
    </row>
    <row r="2667" spans="1:12" x14ac:dyDescent="0.3">
      <c r="A2667" t="str">
        <f>"60371471"</f>
        <v>60371471</v>
      </c>
      <c r="B2667" t="s">
        <v>5428</v>
      </c>
      <c r="C2667" t="str">
        <f t="shared" si="193"/>
        <v>706</v>
      </c>
      <c r="D2667" t="s">
        <v>28</v>
      </c>
      <c r="E2667" t="s">
        <v>52</v>
      </c>
      <c r="F2667" t="s">
        <v>864</v>
      </c>
      <c r="G2667" t="s">
        <v>5429</v>
      </c>
      <c r="H2667" t="str">
        <f t="shared" si="192"/>
        <v>01700</v>
      </c>
      <c r="I2667" t="s">
        <v>1501</v>
      </c>
      <c r="J2667" t="s">
        <v>258</v>
      </c>
      <c r="K2667" t="s">
        <v>161</v>
      </c>
      <c r="L2667" t="s">
        <v>209</v>
      </c>
    </row>
    <row r="2668" spans="1:12" x14ac:dyDescent="0.3">
      <c r="A2668" t="str">
        <f>"48473448"</f>
        <v>48473448</v>
      </c>
      <c r="B2668" t="s">
        <v>5430</v>
      </c>
      <c r="C2668" t="str">
        <f t="shared" si="193"/>
        <v>706</v>
      </c>
      <c r="D2668" t="s">
        <v>28</v>
      </c>
      <c r="E2668" t="s">
        <v>23</v>
      </c>
      <c r="F2668" t="s">
        <v>296</v>
      </c>
      <c r="G2668" t="s">
        <v>5431</v>
      </c>
      <c r="H2668" t="str">
        <f t="shared" si="192"/>
        <v>01700</v>
      </c>
      <c r="I2668" t="s">
        <v>1501</v>
      </c>
    </row>
    <row r="2669" spans="1:12" x14ac:dyDescent="0.3">
      <c r="A2669" t="str">
        <f>"47935031"</f>
        <v>47935031</v>
      </c>
      <c r="B2669" t="s">
        <v>5432</v>
      </c>
      <c r="C2669" t="str">
        <f t="shared" si="193"/>
        <v>706</v>
      </c>
      <c r="D2669" t="s">
        <v>28</v>
      </c>
      <c r="E2669" t="s">
        <v>83</v>
      </c>
      <c r="F2669" t="s">
        <v>1576</v>
      </c>
      <c r="G2669" t="s">
        <v>5433</v>
      </c>
      <c r="H2669" t="str">
        <f t="shared" si="192"/>
        <v>01700</v>
      </c>
      <c r="I2669" t="s">
        <v>1501</v>
      </c>
    </row>
    <row r="2670" spans="1:12" x14ac:dyDescent="0.3">
      <c r="A2670" t="str">
        <f>"64123405"</f>
        <v>64123405</v>
      </c>
      <c r="B2670" t="s">
        <v>5434</v>
      </c>
      <c r="C2670" t="str">
        <f t="shared" si="193"/>
        <v>706</v>
      </c>
      <c r="D2670" t="s">
        <v>28</v>
      </c>
      <c r="E2670" t="s">
        <v>29</v>
      </c>
      <c r="F2670" t="s">
        <v>1796</v>
      </c>
      <c r="G2670" t="s">
        <v>5435</v>
      </c>
      <c r="H2670" t="str">
        <f t="shared" si="192"/>
        <v>01700</v>
      </c>
      <c r="I2670" t="s">
        <v>1501</v>
      </c>
    </row>
    <row r="2671" spans="1:12" x14ac:dyDescent="0.3">
      <c r="A2671" t="str">
        <f>"65888201"</f>
        <v>65888201</v>
      </c>
      <c r="B2671" t="s">
        <v>5436</v>
      </c>
      <c r="C2671" t="str">
        <f t="shared" si="193"/>
        <v>706</v>
      </c>
      <c r="D2671" t="s">
        <v>28</v>
      </c>
      <c r="E2671" t="s">
        <v>29</v>
      </c>
      <c r="F2671" t="s">
        <v>2532</v>
      </c>
      <c r="G2671" t="s">
        <v>5437</v>
      </c>
      <c r="H2671" t="str">
        <f>"017"</f>
        <v>017</v>
      </c>
      <c r="I2671" t="s">
        <v>1501</v>
      </c>
    </row>
    <row r="2672" spans="1:12" x14ac:dyDescent="0.3">
      <c r="A2672" t="str">
        <f>"75141574"</f>
        <v>75141574</v>
      </c>
      <c r="B2672" t="s">
        <v>5438</v>
      </c>
      <c r="C2672" t="str">
        <f t="shared" si="193"/>
        <v>706</v>
      </c>
      <c r="D2672" t="s">
        <v>28</v>
      </c>
      <c r="E2672" t="s">
        <v>52</v>
      </c>
      <c r="F2672" t="s">
        <v>1955</v>
      </c>
      <c r="G2672" t="s">
        <v>5439</v>
      </c>
      <c r="H2672" t="str">
        <f t="shared" ref="H2672:H2679" si="194">"01700"</f>
        <v>01700</v>
      </c>
      <c r="I2672" t="s">
        <v>1501</v>
      </c>
    </row>
    <row r="2673" spans="1:9" x14ac:dyDescent="0.3">
      <c r="A2673" t="str">
        <f>"67008097"</f>
        <v>67008097</v>
      </c>
      <c r="B2673" t="s">
        <v>5440</v>
      </c>
      <c r="C2673" t="str">
        <f t="shared" si="193"/>
        <v>706</v>
      </c>
      <c r="D2673" t="s">
        <v>28</v>
      </c>
      <c r="E2673" t="s">
        <v>23</v>
      </c>
      <c r="F2673" t="s">
        <v>5441</v>
      </c>
      <c r="G2673" t="s">
        <v>5442</v>
      </c>
      <c r="H2673" t="str">
        <f t="shared" si="194"/>
        <v>01700</v>
      </c>
      <c r="I2673" t="s">
        <v>1501</v>
      </c>
    </row>
    <row r="2674" spans="1:9" x14ac:dyDescent="0.3">
      <c r="A2674" t="str">
        <f>"64439828"</f>
        <v>64439828</v>
      </c>
      <c r="B2674" t="s">
        <v>5443</v>
      </c>
      <c r="C2674" t="str">
        <f t="shared" si="193"/>
        <v>706</v>
      </c>
      <c r="D2674" t="s">
        <v>28</v>
      </c>
      <c r="E2674" t="s">
        <v>52</v>
      </c>
      <c r="F2674" t="s">
        <v>334</v>
      </c>
      <c r="G2674" t="s">
        <v>5444</v>
      </c>
      <c r="H2674" t="str">
        <f t="shared" si="194"/>
        <v>01700</v>
      </c>
      <c r="I2674" t="s">
        <v>1501</v>
      </c>
    </row>
    <row r="2675" spans="1:9" x14ac:dyDescent="0.3">
      <c r="A2675" t="str">
        <f>"71179976"</f>
        <v>71179976</v>
      </c>
      <c r="B2675" t="s">
        <v>5445</v>
      </c>
      <c r="C2675" t="str">
        <f t="shared" si="193"/>
        <v>706</v>
      </c>
      <c r="D2675" t="s">
        <v>28</v>
      </c>
      <c r="E2675" t="s">
        <v>52</v>
      </c>
      <c r="F2675" t="s">
        <v>2700</v>
      </c>
      <c r="G2675" t="s">
        <v>5446</v>
      </c>
      <c r="H2675" t="str">
        <f t="shared" si="194"/>
        <v>01700</v>
      </c>
      <c r="I2675" t="s">
        <v>1501</v>
      </c>
    </row>
    <row r="2676" spans="1:9" x14ac:dyDescent="0.3">
      <c r="A2676" t="str">
        <f>"75130157"</f>
        <v>75130157</v>
      </c>
      <c r="B2676" t="s">
        <v>5447</v>
      </c>
      <c r="C2676" t="str">
        <f t="shared" si="193"/>
        <v>706</v>
      </c>
      <c r="D2676" t="s">
        <v>28</v>
      </c>
      <c r="E2676" t="s">
        <v>29</v>
      </c>
      <c r="F2676" t="s">
        <v>271</v>
      </c>
      <c r="G2676" t="s">
        <v>1606</v>
      </c>
      <c r="H2676" t="str">
        <f t="shared" si="194"/>
        <v>01700</v>
      </c>
      <c r="I2676" t="s">
        <v>1501</v>
      </c>
    </row>
    <row r="2677" spans="1:9" x14ac:dyDescent="0.3">
      <c r="A2677" t="str">
        <f>"48489689"</f>
        <v>48489689</v>
      </c>
      <c r="B2677" t="s">
        <v>5448</v>
      </c>
      <c r="C2677" t="str">
        <f t="shared" si="193"/>
        <v>706</v>
      </c>
      <c r="D2677" t="s">
        <v>28</v>
      </c>
      <c r="E2677" t="s">
        <v>52</v>
      </c>
      <c r="F2677" t="s">
        <v>612</v>
      </c>
      <c r="G2677" t="s">
        <v>5449</v>
      </c>
      <c r="H2677" t="str">
        <f t="shared" si="194"/>
        <v>01700</v>
      </c>
      <c r="I2677" t="s">
        <v>1501</v>
      </c>
    </row>
    <row r="2678" spans="1:9" x14ac:dyDescent="0.3">
      <c r="A2678" t="str">
        <f>"64467333"</f>
        <v>64467333</v>
      </c>
      <c r="B2678" t="s">
        <v>5450</v>
      </c>
      <c r="C2678" t="str">
        <f t="shared" si="193"/>
        <v>706</v>
      </c>
      <c r="D2678" t="s">
        <v>28</v>
      </c>
      <c r="E2678" t="s">
        <v>23</v>
      </c>
      <c r="F2678" t="s">
        <v>99</v>
      </c>
      <c r="G2678" t="s">
        <v>5451</v>
      </c>
      <c r="H2678" t="str">
        <f t="shared" si="194"/>
        <v>01700</v>
      </c>
      <c r="I2678" t="s">
        <v>1501</v>
      </c>
    </row>
    <row r="2679" spans="1:9" x14ac:dyDescent="0.3">
      <c r="A2679" t="str">
        <f>"01670026"</f>
        <v>01670026</v>
      </c>
      <c r="B2679" t="s">
        <v>5452</v>
      </c>
      <c r="C2679" t="str">
        <f t="shared" si="193"/>
        <v>706</v>
      </c>
      <c r="D2679" t="s">
        <v>28</v>
      </c>
      <c r="E2679" t="s">
        <v>29</v>
      </c>
      <c r="F2679" t="s">
        <v>775</v>
      </c>
      <c r="G2679" t="s">
        <v>5453</v>
      </c>
      <c r="H2679" t="str">
        <f t="shared" si="194"/>
        <v>01700</v>
      </c>
      <c r="I2679" t="s">
        <v>1501</v>
      </c>
    </row>
    <row r="2680" spans="1:9" x14ac:dyDescent="0.3">
      <c r="A2680" t="str">
        <f>"72542730"</f>
        <v>72542730</v>
      </c>
      <c r="B2680" t="s">
        <v>5454</v>
      </c>
      <c r="C2680" t="str">
        <f t="shared" si="193"/>
        <v>706</v>
      </c>
      <c r="D2680" t="s">
        <v>28</v>
      </c>
      <c r="E2680" t="s">
        <v>52</v>
      </c>
      <c r="F2680" t="s">
        <v>951</v>
      </c>
      <c r="G2680" t="s">
        <v>5455</v>
      </c>
      <c r="H2680" t="str">
        <f>"017"</f>
        <v>017</v>
      </c>
      <c r="I2680" t="s">
        <v>1501</v>
      </c>
    </row>
    <row r="2681" spans="1:9" x14ac:dyDescent="0.3">
      <c r="A2681" t="str">
        <f>"26606712"</f>
        <v>26606712</v>
      </c>
      <c r="B2681" t="s">
        <v>5456</v>
      </c>
      <c r="C2681" t="str">
        <f t="shared" si="193"/>
        <v>706</v>
      </c>
      <c r="D2681" t="s">
        <v>28</v>
      </c>
      <c r="E2681" t="s">
        <v>29</v>
      </c>
      <c r="F2681" t="s">
        <v>676</v>
      </c>
      <c r="G2681" t="s">
        <v>5457</v>
      </c>
      <c r="H2681" t="str">
        <f t="shared" ref="H2681:H2727" si="195">"01700"</f>
        <v>01700</v>
      </c>
      <c r="I2681" t="s">
        <v>1501</v>
      </c>
    </row>
    <row r="2682" spans="1:9" x14ac:dyDescent="0.3">
      <c r="A2682" t="str">
        <f>"63414627"</f>
        <v>63414627</v>
      </c>
      <c r="B2682" t="s">
        <v>5458</v>
      </c>
      <c r="C2682" t="str">
        <f t="shared" si="193"/>
        <v>706</v>
      </c>
      <c r="D2682" t="s">
        <v>28</v>
      </c>
      <c r="E2682" t="s">
        <v>83</v>
      </c>
      <c r="F2682" t="s">
        <v>1425</v>
      </c>
      <c r="G2682" t="s">
        <v>5459</v>
      </c>
      <c r="H2682" t="str">
        <f t="shared" si="195"/>
        <v>01700</v>
      </c>
      <c r="I2682" t="s">
        <v>1501</v>
      </c>
    </row>
    <row r="2683" spans="1:9" x14ac:dyDescent="0.3">
      <c r="A2683" t="str">
        <f>"75093553"</f>
        <v>75093553</v>
      </c>
      <c r="B2683" t="s">
        <v>5460</v>
      </c>
      <c r="C2683" t="str">
        <f t="shared" si="193"/>
        <v>706</v>
      </c>
      <c r="D2683" t="s">
        <v>28</v>
      </c>
      <c r="E2683" t="s">
        <v>52</v>
      </c>
      <c r="F2683" t="s">
        <v>1625</v>
      </c>
      <c r="G2683" t="s">
        <v>5461</v>
      </c>
      <c r="H2683" t="str">
        <f t="shared" si="195"/>
        <v>01700</v>
      </c>
      <c r="I2683" t="s">
        <v>1501</v>
      </c>
    </row>
    <row r="2684" spans="1:9" x14ac:dyDescent="0.3">
      <c r="A2684" t="str">
        <f>"47934280"</f>
        <v>47934280</v>
      </c>
      <c r="B2684" t="s">
        <v>5462</v>
      </c>
      <c r="C2684" t="str">
        <f t="shared" si="193"/>
        <v>706</v>
      </c>
      <c r="D2684" t="s">
        <v>28</v>
      </c>
      <c r="E2684" t="s">
        <v>83</v>
      </c>
      <c r="F2684" t="s">
        <v>230</v>
      </c>
      <c r="G2684" t="s">
        <v>5463</v>
      </c>
      <c r="H2684" t="str">
        <f t="shared" si="195"/>
        <v>01700</v>
      </c>
      <c r="I2684" t="s">
        <v>1501</v>
      </c>
    </row>
    <row r="2685" spans="1:9" x14ac:dyDescent="0.3">
      <c r="A2685" t="str">
        <f>"67028250"</f>
        <v>67028250</v>
      </c>
      <c r="B2685" t="s">
        <v>5464</v>
      </c>
      <c r="C2685" t="str">
        <f t="shared" si="193"/>
        <v>706</v>
      </c>
      <c r="D2685" t="s">
        <v>28</v>
      </c>
      <c r="E2685" t="s">
        <v>83</v>
      </c>
      <c r="F2685" t="s">
        <v>4323</v>
      </c>
      <c r="G2685" t="s">
        <v>5465</v>
      </c>
      <c r="H2685" t="str">
        <f t="shared" si="195"/>
        <v>01700</v>
      </c>
      <c r="I2685" t="s">
        <v>1501</v>
      </c>
    </row>
    <row r="2686" spans="1:9" x14ac:dyDescent="0.3">
      <c r="A2686" t="str">
        <f>"26616599"</f>
        <v>26616599</v>
      </c>
      <c r="B2686" t="s">
        <v>5466</v>
      </c>
      <c r="C2686" t="str">
        <f t="shared" si="193"/>
        <v>706</v>
      </c>
      <c r="D2686" t="s">
        <v>28</v>
      </c>
      <c r="E2686" t="s">
        <v>83</v>
      </c>
      <c r="F2686" t="s">
        <v>881</v>
      </c>
      <c r="G2686" t="s">
        <v>5467</v>
      </c>
      <c r="H2686" t="str">
        <f t="shared" si="195"/>
        <v>01700</v>
      </c>
      <c r="I2686" t="s">
        <v>1501</v>
      </c>
    </row>
    <row r="2687" spans="1:9" x14ac:dyDescent="0.3">
      <c r="A2687" t="str">
        <f>"67024017"</f>
        <v>67024017</v>
      </c>
      <c r="B2687" t="s">
        <v>5468</v>
      </c>
      <c r="C2687" t="str">
        <f t="shared" si="193"/>
        <v>706</v>
      </c>
      <c r="D2687" t="s">
        <v>28</v>
      </c>
      <c r="E2687" t="s">
        <v>23</v>
      </c>
      <c r="F2687" t="s">
        <v>5469</v>
      </c>
      <c r="G2687" t="s">
        <v>5470</v>
      </c>
      <c r="H2687" t="str">
        <f t="shared" si="195"/>
        <v>01700</v>
      </c>
      <c r="I2687" t="s">
        <v>1501</v>
      </c>
    </row>
    <row r="2688" spans="1:9" x14ac:dyDescent="0.3">
      <c r="A2688" t="str">
        <f>"26665590"</f>
        <v>26665590</v>
      </c>
      <c r="B2688" t="s">
        <v>5471</v>
      </c>
      <c r="C2688" t="str">
        <f t="shared" si="193"/>
        <v>706</v>
      </c>
      <c r="D2688" t="s">
        <v>28</v>
      </c>
      <c r="E2688" t="s">
        <v>83</v>
      </c>
      <c r="F2688" t="s">
        <v>5472</v>
      </c>
      <c r="G2688" t="s">
        <v>5473</v>
      </c>
      <c r="H2688" t="str">
        <f t="shared" si="195"/>
        <v>01700</v>
      </c>
      <c r="I2688" t="s">
        <v>1501</v>
      </c>
    </row>
    <row r="2689" spans="1:9" x14ac:dyDescent="0.3">
      <c r="A2689" t="str">
        <f>"48473138"</f>
        <v>48473138</v>
      </c>
      <c r="B2689" t="s">
        <v>5474</v>
      </c>
      <c r="C2689" t="str">
        <f t="shared" si="193"/>
        <v>706</v>
      </c>
      <c r="D2689" t="s">
        <v>28</v>
      </c>
      <c r="E2689" t="s">
        <v>23</v>
      </c>
      <c r="F2689" t="s">
        <v>23</v>
      </c>
      <c r="G2689" t="s">
        <v>5475</v>
      </c>
      <c r="H2689" t="str">
        <f t="shared" si="195"/>
        <v>01700</v>
      </c>
      <c r="I2689" t="s">
        <v>1501</v>
      </c>
    </row>
    <row r="2690" spans="1:9" x14ac:dyDescent="0.3">
      <c r="A2690" t="str">
        <f>"67027261"</f>
        <v>67027261</v>
      </c>
      <c r="B2690" t="s">
        <v>5476</v>
      </c>
      <c r="C2690" t="str">
        <f t="shared" si="193"/>
        <v>706</v>
      </c>
      <c r="D2690" t="s">
        <v>28</v>
      </c>
      <c r="E2690" t="s">
        <v>52</v>
      </c>
      <c r="F2690" t="s">
        <v>517</v>
      </c>
      <c r="G2690" t="s">
        <v>5477</v>
      </c>
      <c r="H2690" t="str">
        <f t="shared" si="195"/>
        <v>01700</v>
      </c>
      <c r="I2690" t="s">
        <v>1501</v>
      </c>
    </row>
    <row r="2691" spans="1:9" x14ac:dyDescent="0.3">
      <c r="A2691" t="str">
        <f>"63415631"</f>
        <v>63415631</v>
      </c>
      <c r="B2691" t="s">
        <v>5478</v>
      </c>
      <c r="C2691" t="str">
        <f t="shared" si="193"/>
        <v>706</v>
      </c>
      <c r="D2691" t="s">
        <v>28</v>
      </c>
      <c r="E2691" t="s">
        <v>83</v>
      </c>
      <c r="F2691" t="s">
        <v>409</v>
      </c>
      <c r="G2691" t="s">
        <v>5479</v>
      </c>
      <c r="H2691" t="str">
        <f t="shared" si="195"/>
        <v>01700</v>
      </c>
      <c r="I2691" t="s">
        <v>1501</v>
      </c>
    </row>
    <row r="2692" spans="1:9" x14ac:dyDescent="0.3">
      <c r="A2692" t="str">
        <f>"60990201"</f>
        <v>60990201</v>
      </c>
      <c r="B2692" t="s">
        <v>5480</v>
      </c>
      <c r="C2692" t="str">
        <f t="shared" si="193"/>
        <v>706</v>
      </c>
      <c r="D2692" t="s">
        <v>28</v>
      </c>
      <c r="E2692" t="s">
        <v>29</v>
      </c>
      <c r="F2692" t="s">
        <v>685</v>
      </c>
      <c r="G2692" t="s">
        <v>5259</v>
      </c>
      <c r="H2692" t="str">
        <f t="shared" si="195"/>
        <v>01700</v>
      </c>
      <c r="I2692" t="s">
        <v>1501</v>
      </c>
    </row>
    <row r="2693" spans="1:9" x14ac:dyDescent="0.3">
      <c r="A2693" t="str">
        <f>"66184681"</f>
        <v>66184681</v>
      </c>
      <c r="B2693" t="s">
        <v>5481</v>
      </c>
      <c r="C2693" t="str">
        <f t="shared" si="193"/>
        <v>706</v>
      </c>
      <c r="D2693" t="s">
        <v>28</v>
      </c>
      <c r="E2693" t="s">
        <v>29</v>
      </c>
      <c r="F2693" t="s">
        <v>1836</v>
      </c>
      <c r="G2693" t="s">
        <v>5482</v>
      </c>
      <c r="H2693" t="str">
        <f t="shared" si="195"/>
        <v>01700</v>
      </c>
      <c r="I2693" t="s">
        <v>1501</v>
      </c>
    </row>
    <row r="2694" spans="1:9" x14ac:dyDescent="0.3">
      <c r="A2694" t="str">
        <f>"67027962"</f>
        <v>67027962</v>
      </c>
      <c r="B2694" t="s">
        <v>5483</v>
      </c>
      <c r="C2694" t="str">
        <f t="shared" si="193"/>
        <v>706</v>
      </c>
      <c r="D2694" t="s">
        <v>28</v>
      </c>
      <c r="E2694" t="s">
        <v>52</v>
      </c>
      <c r="F2694" t="s">
        <v>1788</v>
      </c>
      <c r="G2694" t="s">
        <v>5484</v>
      </c>
      <c r="H2694" t="str">
        <f t="shared" si="195"/>
        <v>01700</v>
      </c>
      <c r="I2694" t="s">
        <v>1501</v>
      </c>
    </row>
    <row r="2695" spans="1:9" x14ac:dyDescent="0.3">
      <c r="A2695" t="str">
        <f>"47934786"</f>
        <v>47934786</v>
      </c>
      <c r="B2695" t="s">
        <v>5485</v>
      </c>
      <c r="C2695" t="str">
        <f t="shared" si="193"/>
        <v>706</v>
      </c>
      <c r="D2695" t="s">
        <v>28</v>
      </c>
      <c r="E2695" t="s">
        <v>83</v>
      </c>
      <c r="F2695" t="s">
        <v>5486</v>
      </c>
      <c r="G2695" t="s">
        <v>5487</v>
      </c>
      <c r="H2695" t="str">
        <f t="shared" si="195"/>
        <v>01700</v>
      </c>
      <c r="I2695" t="s">
        <v>1501</v>
      </c>
    </row>
    <row r="2696" spans="1:9" x14ac:dyDescent="0.3">
      <c r="A2696" t="str">
        <f>"62335065"</f>
        <v>62335065</v>
      </c>
      <c r="B2696" t="s">
        <v>5488</v>
      </c>
      <c r="C2696" t="str">
        <f t="shared" si="193"/>
        <v>706</v>
      </c>
      <c r="D2696" t="s">
        <v>28</v>
      </c>
      <c r="E2696" t="s">
        <v>29</v>
      </c>
      <c r="F2696" t="s">
        <v>2591</v>
      </c>
      <c r="G2696" t="s">
        <v>5489</v>
      </c>
      <c r="H2696" t="str">
        <f t="shared" si="195"/>
        <v>01700</v>
      </c>
      <c r="I2696" t="s">
        <v>1501</v>
      </c>
    </row>
    <row r="2697" spans="1:9" x14ac:dyDescent="0.3">
      <c r="A2697" t="str">
        <f>"48473405"</f>
        <v>48473405</v>
      </c>
      <c r="B2697" t="s">
        <v>5490</v>
      </c>
      <c r="C2697" t="str">
        <f t="shared" si="193"/>
        <v>706</v>
      </c>
      <c r="D2697" t="s">
        <v>28</v>
      </c>
      <c r="E2697" t="s">
        <v>23</v>
      </c>
      <c r="F2697" t="s">
        <v>1581</v>
      </c>
      <c r="G2697" t="s">
        <v>4430</v>
      </c>
      <c r="H2697" t="str">
        <f t="shared" si="195"/>
        <v>01700</v>
      </c>
      <c r="I2697" t="s">
        <v>1501</v>
      </c>
    </row>
    <row r="2698" spans="1:9" x14ac:dyDescent="0.3">
      <c r="A2698" t="str">
        <f>"75149257"</f>
        <v>75149257</v>
      </c>
      <c r="B2698" t="s">
        <v>5491</v>
      </c>
      <c r="C2698" t="str">
        <f t="shared" si="193"/>
        <v>706</v>
      </c>
      <c r="D2698" t="s">
        <v>28</v>
      </c>
      <c r="E2698" t="s">
        <v>83</v>
      </c>
      <c r="F2698" t="s">
        <v>2674</v>
      </c>
      <c r="G2698" t="s">
        <v>5492</v>
      </c>
      <c r="H2698" t="str">
        <f t="shared" si="195"/>
        <v>01700</v>
      </c>
      <c r="I2698" t="s">
        <v>1501</v>
      </c>
    </row>
    <row r="2699" spans="1:9" x14ac:dyDescent="0.3">
      <c r="A2699" t="str">
        <f>"75144964"</f>
        <v>75144964</v>
      </c>
      <c r="B2699" t="s">
        <v>5493</v>
      </c>
      <c r="C2699" t="str">
        <f t="shared" si="193"/>
        <v>706</v>
      </c>
      <c r="D2699" t="s">
        <v>28</v>
      </c>
      <c r="E2699" t="s">
        <v>23</v>
      </c>
      <c r="F2699" t="s">
        <v>107</v>
      </c>
      <c r="G2699" t="s">
        <v>5494</v>
      </c>
      <c r="H2699" t="str">
        <f t="shared" si="195"/>
        <v>01700</v>
      </c>
      <c r="I2699" t="s">
        <v>1501</v>
      </c>
    </row>
    <row r="2700" spans="1:9" x14ac:dyDescent="0.3">
      <c r="A2700" t="str">
        <f>"75023083"</f>
        <v>75023083</v>
      </c>
      <c r="B2700" t="s">
        <v>5495</v>
      </c>
      <c r="C2700" t="str">
        <f t="shared" si="193"/>
        <v>706</v>
      </c>
      <c r="D2700" t="s">
        <v>28</v>
      </c>
      <c r="E2700" t="s">
        <v>83</v>
      </c>
      <c r="F2700" t="s">
        <v>1627</v>
      </c>
      <c r="G2700" t="s">
        <v>4023</v>
      </c>
      <c r="H2700" t="str">
        <f t="shared" si="195"/>
        <v>01700</v>
      </c>
      <c r="I2700" t="s">
        <v>1501</v>
      </c>
    </row>
    <row r="2701" spans="1:9" x14ac:dyDescent="0.3">
      <c r="A2701" t="str">
        <f>"65469607"</f>
        <v>65469607</v>
      </c>
      <c r="B2701" t="s">
        <v>5496</v>
      </c>
      <c r="C2701" t="str">
        <f t="shared" si="193"/>
        <v>706</v>
      </c>
      <c r="D2701" t="s">
        <v>28</v>
      </c>
      <c r="E2701" t="s">
        <v>29</v>
      </c>
      <c r="F2701" t="s">
        <v>1839</v>
      </c>
      <c r="G2701" t="s">
        <v>2841</v>
      </c>
      <c r="H2701" t="str">
        <f t="shared" si="195"/>
        <v>01700</v>
      </c>
      <c r="I2701" t="s">
        <v>1501</v>
      </c>
    </row>
    <row r="2702" spans="1:9" x14ac:dyDescent="0.3">
      <c r="A2702" t="str">
        <f>"63415666"</f>
        <v>63415666</v>
      </c>
      <c r="B2702" t="s">
        <v>5497</v>
      </c>
      <c r="C2702" t="str">
        <f t="shared" si="193"/>
        <v>706</v>
      </c>
      <c r="D2702" t="s">
        <v>28</v>
      </c>
      <c r="E2702" t="s">
        <v>83</v>
      </c>
      <c r="F2702" t="s">
        <v>200</v>
      </c>
      <c r="G2702" t="s">
        <v>5498</v>
      </c>
      <c r="H2702" t="str">
        <f t="shared" si="195"/>
        <v>01700</v>
      </c>
      <c r="I2702" t="s">
        <v>1501</v>
      </c>
    </row>
    <row r="2703" spans="1:9" x14ac:dyDescent="0.3">
      <c r="A2703" t="str">
        <f>"67010121"</f>
        <v>67010121</v>
      </c>
      <c r="B2703" t="s">
        <v>5499</v>
      </c>
      <c r="C2703" t="str">
        <f t="shared" si="193"/>
        <v>706</v>
      </c>
      <c r="D2703" t="s">
        <v>28</v>
      </c>
      <c r="E2703" t="s">
        <v>52</v>
      </c>
      <c r="F2703" t="s">
        <v>612</v>
      </c>
      <c r="G2703" t="s">
        <v>5500</v>
      </c>
      <c r="H2703" t="str">
        <f t="shared" si="195"/>
        <v>01700</v>
      </c>
      <c r="I2703" t="s">
        <v>1501</v>
      </c>
    </row>
    <row r="2704" spans="1:9" x14ac:dyDescent="0.3">
      <c r="A2704" t="str">
        <f>"26986221"</f>
        <v>26986221</v>
      </c>
      <c r="B2704" t="s">
        <v>5501</v>
      </c>
      <c r="C2704" t="str">
        <f t="shared" si="193"/>
        <v>706</v>
      </c>
      <c r="D2704" t="s">
        <v>28</v>
      </c>
      <c r="E2704" t="s">
        <v>52</v>
      </c>
      <c r="F2704" t="s">
        <v>5502</v>
      </c>
      <c r="G2704" t="s">
        <v>5503</v>
      </c>
      <c r="H2704" t="str">
        <f t="shared" si="195"/>
        <v>01700</v>
      </c>
      <c r="I2704" t="s">
        <v>1501</v>
      </c>
    </row>
    <row r="2705" spans="1:12" x14ac:dyDescent="0.3">
      <c r="A2705" t="str">
        <f>"48473260"</f>
        <v>48473260</v>
      </c>
      <c r="B2705" t="s">
        <v>5504</v>
      </c>
      <c r="C2705" t="str">
        <f t="shared" si="193"/>
        <v>706</v>
      </c>
      <c r="D2705" t="s">
        <v>28</v>
      </c>
      <c r="E2705" t="s">
        <v>23</v>
      </c>
      <c r="F2705" t="s">
        <v>306</v>
      </c>
      <c r="G2705" t="s">
        <v>5505</v>
      </c>
      <c r="H2705" t="str">
        <f t="shared" si="195"/>
        <v>01700</v>
      </c>
      <c r="I2705" t="s">
        <v>1501</v>
      </c>
    </row>
    <row r="2706" spans="1:12" x14ac:dyDescent="0.3">
      <c r="A2706" t="str">
        <f>"75104334"</f>
        <v>75104334</v>
      </c>
      <c r="B2706" t="s">
        <v>5506</v>
      </c>
      <c r="C2706" t="str">
        <f t="shared" si="193"/>
        <v>706</v>
      </c>
      <c r="D2706" t="s">
        <v>28</v>
      </c>
      <c r="E2706" t="s">
        <v>52</v>
      </c>
      <c r="F2706" t="s">
        <v>5507</v>
      </c>
      <c r="G2706" t="s">
        <v>5508</v>
      </c>
      <c r="H2706" t="str">
        <f t="shared" si="195"/>
        <v>01700</v>
      </c>
      <c r="I2706" t="s">
        <v>1501</v>
      </c>
    </row>
    <row r="2707" spans="1:12" x14ac:dyDescent="0.3">
      <c r="A2707" t="str">
        <f>"17476330"</f>
        <v>17476330</v>
      </c>
      <c r="B2707" t="s">
        <v>5509</v>
      </c>
      <c r="C2707" t="str">
        <f t="shared" si="193"/>
        <v>706</v>
      </c>
      <c r="D2707" t="s">
        <v>28</v>
      </c>
      <c r="E2707" t="s">
        <v>23</v>
      </c>
      <c r="F2707" t="s">
        <v>975</v>
      </c>
      <c r="G2707" t="s">
        <v>5510</v>
      </c>
      <c r="H2707" t="str">
        <f t="shared" si="195"/>
        <v>01700</v>
      </c>
      <c r="I2707" t="s">
        <v>1501</v>
      </c>
    </row>
    <row r="2708" spans="1:12" x14ac:dyDescent="0.3">
      <c r="A2708" t="str">
        <f>"47934697"</f>
        <v>47934697</v>
      </c>
      <c r="B2708" t="s">
        <v>5511</v>
      </c>
      <c r="C2708" t="str">
        <f t="shared" si="193"/>
        <v>706</v>
      </c>
      <c r="D2708" t="s">
        <v>28</v>
      </c>
      <c r="E2708" t="s">
        <v>83</v>
      </c>
      <c r="F2708" t="s">
        <v>2423</v>
      </c>
      <c r="G2708" t="s">
        <v>5512</v>
      </c>
      <c r="H2708" t="str">
        <f t="shared" si="195"/>
        <v>01700</v>
      </c>
      <c r="I2708" t="s">
        <v>1501</v>
      </c>
    </row>
    <row r="2709" spans="1:12" x14ac:dyDescent="0.3">
      <c r="A2709" t="str">
        <f>"71172301"</f>
        <v>71172301</v>
      </c>
      <c r="B2709" t="s">
        <v>5513</v>
      </c>
      <c r="C2709" t="str">
        <f t="shared" si="193"/>
        <v>706</v>
      </c>
      <c r="D2709" t="s">
        <v>28</v>
      </c>
      <c r="E2709" t="s">
        <v>23</v>
      </c>
      <c r="F2709" t="s">
        <v>99</v>
      </c>
      <c r="G2709" t="s">
        <v>5514</v>
      </c>
      <c r="H2709" t="str">
        <f t="shared" si="195"/>
        <v>01700</v>
      </c>
      <c r="I2709" t="s">
        <v>1501</v>
      </c>
    </row>
    <row r="2710" spans="1:12" x14ac:dyDescent="0.3">
      <c r="A2710" t="str">
        <f>"48471071"</f>
        <v>48471071</v>
      </c>
      <c r="B2710" t="s">
        <v>5515</v>
      </c>
      <c r="C2710" t="str">
        <f t="shared" si="193"/>
        <v>706</v>
      </c>
      <c r="D2710" t="s">
        <v>28</v>
      </c>
      <c r="E2710" t="s">
        <v>23</v>
      </c>
      <c r="F2710" t="s">
        <v>35</v>
      </c>
      <c r="G2710" t="s">
        <v>5516</v>
      </c>
      <c r="H2710" t="str">
        <f t="shared" si="195"/>
        <v>01700</v>
      </c>
      <c r="I2710" t="s">
        <v>1501</v>
      </c>
    </row>
    <row r="2711" spans="1:12" x14ac:dyDescent="0.3">
      <c r="A2711" t="str">
        <f>"46277137"</f>
        <v>46277137</v>
      </c>
      <c r="B2711" t="s">
        <v>5517</v>
      </c>
      <c r="C2711" t="str">
        <f t="shared" si="193"/>
        <v>706</v>
      </c>
      <c r="D2711" t="s">
        <v>28</v>
      </c>
      <c r="E2711" t="s">
        <v>23</v>
      </c>
      <c r="F2711" t="s">
        <v>1734</v>
      </c>
      <c r="G2711" t="s">
        <v>5518</v>
      </c>
      <c r="H2711" t="str">
        <f t="shared" si="195"/>
        <v>01700</v>
      </c>
      <c r="I2711" t="s">
        <v>1501</v>
      </c>
    </row>
    <row r="2712" spans="1:12" x14ac:dyDescent="0.3">
      <c r="A2712" t="str">
        <f>"47930586"</f>
        <v>47930586</v>
      </c>
      <c r="B2712" t="s">
        <v>5519</v>
      </c>
      <c r="C2712" t="str">
        <f t="shared" si="193"/>
        <v>706</v>
      </c>
      <c r="D2712" t="s">
        <v>28</v>
      </c>
      <c r="E2712" t="s">
        <v>83</v>
      </c>
      <c r="F2712" t="s">
        <v>3465</v>
      </c>
      <c r="G2712" t="s">
        <v>5520</v>
      </c>
      <c r="H2712" t="str">
        <f t="shared" si="195"/>
        <v>01700</v>
      </c>
      <c r="I2712" t="s">
        <v>1501</v>
      </c>
    </row>
    <row r="2713" spans="1:12" x14ac:dyDescent="0.3">
      <c r="A2713" t="str">
        <f>"47863846"</f>
        <v>47863846</v>
      </c>
      <c r="B2713" t="s">
        <v>5521</v>
      </c>
      <c r="C2713" t="str">
        <f t="shared" si="193"/>
        <v>706</v>
      </c>
      <c r="D2713" t="s">
        <v>28</v>
      </c>
      <c r="E2713" t="s">
        <v>23</v>
      </c>
      <c r="F2713" t="s">
        <v>2620</v>
      </c>
      <c r="G2713" t="s">
        <v>5522</v>
      </c>
      <c r="H2713" t="str">
        <f t="shared" si="195"/>
        <v>01700</v>
      </c>
      <c r="I2713" t="s">
        <v>1501</v>
      </c>
    </row>
    <row r="2714" spans="1:12" x14ac:dyDescent="0.3">
      <c r="A2714" t="str">
        <f>"72029994"</f>
        <v>72029994</v>
      </c>
      <c r="B2714" t="s">
        <v>5523</v>
      </c>
      <c r="C2714" t="str">
        <f t="shared" si="193"/>
        <v>706</v>
      </c>
      <c r="D2714" t="s">
        <v>28</v>
      </c>
      <c r="E2714" t="s">
        <v>29</v>
      </c>
      <c r="F2714" t="s">
        <v>1040</v>
      </c>
      <c r="G2714" t="s">
        <v>5524</v>
      </c>
      <c r="H2714" t="str">
        <f t="shared" si="195"/>
        <v>01700</v>
      </c>
      <c r="I2714" t="s">
        <v>1501</v>
      </c>
    </row>
    <row r="2715" spans="1:12" x14ac:dyDescent="0.3">
      <c r="A2715" t="str">
        <f>"47935138"</f>
        <v>47935138</v>
      </c>
      <c r="B2715" t="s">
        <v>5525</v>
      </c>
      <c r="C2715" t="str">
        <f t="shared" si="193"/>
        <v>706</v>
      </c>
      <c r="D2715" t="s">
        <v>28</v>
      </c>
      <c r="E2715" t="s">
        <v>83</v>
      </c>
      <c r="F2715" t="s">
        <v>3361</v>
      </c>
      <c r="G2715" t="s">
        <v>5526</v>
      </c>
      <c r="H2715" t="str">
        <f t="shared" si="195"/>
        <v>01700</v>
      </c>
      <c r="I2715" t="s">
        <v>1501</v>
      </c>
    </row>
    <row r="2716" spans="1:12" x14ac:dyDescent="0.3">
      <c r="A2716" t="str">
        <f>"47934905"</f>
        <v>47934905</v>
      </c>
      <c r="B2716" t="s">
        <v>5527</v>
      </c>
      <c r="C2716" t="str">
        <f t="shared" si="193"/>
        <v>706</v>
      </c>
      <c r="D2716" t="s">
        <v>28</v>
      </c>
      <c r="E2716" t="s">
        <v>83</v>
      </c>
      <c r="F2716" t="s">
        <v>217</v>
      </c>
      <c r="G2716" t="s">
        <v>5528</v>
      </c>
      <c r="H2716" t="str">
        <f t="shared" si="195"/>
        <v>01700</v>
      </c>
      <c r="I2716" t="s">
        <v>1501</v>
      </c>
    </row>
    <row r="2717" spans="1:12" x14ac:dyDescent="0.3">
      <c r="A2717" t="str">
        <f>"46256792"</f>
        <v>46256792</v>
      </c>
      <c r="B2717" t="s">
        <v>5529</v>
      </c>
      <c r="C2717" t="str">
        <f t="shared" si="193"/>
        <v>706</v>
      </c>
      <c r="D2717" t="s">
        <v>28</v>
      </c>
      <c r="E2717" t="s">
        <v>52</v>
      </c>
      <c r="F2717" t="s">
        <v>645</v>
      </c>
      <c r="G2717" t="s">
        <v>5530</v>
      </c>
      <c r="H2717" t="str">
        <f t="shared" si="195"/>
        <v>01700</v>
      </c>
      <c r="I2717" t="s">
        <v>1501</v>
      </c>
    </row>
    <row r="2718" spans="1:12" x14ac:dyDescent="0.3">
      <c r="A2718" t="str">
        <f>"47930535"</f>
        <v>47930535</v>
      </c>
      <c r="B2718" t="s">
        <v>5531</v>
      </c>
      <c r="C2718" t="str">
        <f t="shared" si="193"/>
        <v>706</v>
      </c>
      <c r="D2718" t="s">
        <v>28</v>
      </c>
      <c r="E2718" t="s">
        <v>83</v>
      </c>
      <c r="F2718" t="s">
        <v>4876</v>
      </c>
      <c r="G2718" t="s">
        <v>5532</v>
      </c>
      <c r="H2718" t="str">
        <f t="shared" si="195"/>
        <v>01700</v>
      </c>
      <c r="I2718" t="s">
        <v>1501</v>
      </c>
      <c r="J2718" t="s">
        <v>258</v>
      </c>
      <c r="K2718" t="s">
        <v>161</v>
      </c>
      <c r="L2718" t="s">
        <v>209</v>
      </c>
    </row>
    <row r="2719" spans="1:12" x14ac:dyDescent="0.3">
      <c r="A2719" t="str">
        <f>"48472140"</f>
        <v>48472140</v>
      </c>
      <c r="B2719" t="s">
        <v>5533</v>
      </c>
      <c r="C2719" t="str">
        <f t="shared" si="193"/>
        <v>706</v>
      </c>
      <c r="D2719" t="s">
        <v>28</v>
      </c>
      <c r="E2719" t="s">
        <v>23</v>
      </c>
      <c r="F2719" t="s">
        <v>978</v>
      </c>
      <c r="G2719" t="s">
        <v>4674</v>
      </c>
      <c r="H2719" t="str">
        <f t="shared" si="195"/>
        <v>01700</v>
      </c>
      <c r="I2719" t="s">
        <v>1501</v>
      </c>
    </row>
    <row r="2720" spans="1:12" x14ac:dyDescent="0.3">
      <c r="A2720" t="str">
        <f>"66598095"</f>
        <v>66598095</v>
      </c>
      <c r="B2720" t="s">
        <v>5534</v>
      </c>
      <c r="C2720" t="str">
        <f t="shared" si="193"/>
        <v>706</v>
      </c>
      <c r="D2720" t="s">
        <v>28</v>
      </c>
      <c r="E2720" t="s">
        <v>23</v>
      </c>
      <c r="F2720" t="s">
        <v>141</v>
      </c>
      <c r="G2720" t="s">
        <v>5535</v>
      </c>
      <c r="H2720" t="str">
        <f t="shared" si="195"/>
        <v>01700</v>
      </c>
      <c r="I2720" t="s">
        <v>1501</v>
      </c>
    </row>
    <row r="2721" spans="1:12" x14ac:dyDescent="0.3">
      <c r="A2721" t="str">
        <f>"71251511"</f>
        <v>71251511</v>
      </c>
      <c r="B2721" t="s">
        <v>5536</v>
      </c>
      <c r="C2721" t="str">
        <f t="shared" si="193"/>
        <v>706</v>
      </c>
      <c r="D2721" t="s">
        <v>28</v>
      </c>
      <c r="E2721" t="s">
        <v>23</v>
      </c>
      <c r="F2721" t="s">
        <v>4441</v>
      </c>
      <c r="G2721" t="s">
        <v>5537</v>
      </c>
      <c r="H2721" t="str">
        <f t="shared" si="195"/>
        <v>01700</v>
      </c>
      <c r="I2721" t="s">
        <v>1501</v>
      </c>
    </row>
    <row r="2722" spans="1:12" x14ac:dyDescent="0.3">
      <c r="A2722" t="str">
        <f>"75139995"</f>
        <v>75139995</v>
      </c>
      <c r="B2722" t="s">
        <v>5538</v>
      </c>
      <c r="C2722" t="str">
        <f t="shared" si="193"/>
        <v>706</v>
      </c>
      <c r="D2722" t="s">
        <v>28</v>
      </c>
      <c r="E2722" t="s">
        <v>52</v>
      </c>
      <c r="F2722" t="s">
        <v>73</v>
      </c>
      <c r="G2722" t="s">
        <v>4109</v>
      </c>
      <c r="H2722" t="str">
        <f t="shared" si="195"/>
        <v>01700</v>
      </c>
      <c r="I2722" t="s">
        <v>1501</v>
      </c>
    </row>
    <row r="2723" spans="1:12" x14ac:dyDescent="0.3">
      <c r="A2723" t="str">
        <f>"61716308"</f>
        <v>61716308</v>
      </c>
      <c r="B2723" t="s">
        <v>5539</v>
      </c>
      <c r="C2723" t="str">
        <f t="shared" si="193"/>
        <v>706</v>
      </c>
      <c r="D2723" t="s">
        <v>28</v>
      </c>
      <c r="E2723" t="s">
        <v>23</v>
      </c>
      <c r="F2723" t="s">
        <v>966</v>
      </c>
      <c r="G2723" t="s">
        <v>5540</v>
      </c>
      <c r="H2723" t="str">
        <f t="shared" si="195"/>
        <v>01700</v>
      </c>
      <c r="I2723" t="s">
        <v>1501</v>
      </c>
    </row>
    <row r="2724" spans="1:12" x14ac:dyDescent="0.3">
      <c r="A2724" t="str">
        <f>"48473359"</f>
        <v>48473359</v>
      </c>
      <c r="B2724" t="s">
        <v>5541</v>
      </c>
      <c r="C2724" t="str">
        <f t="shared" si="193"/>
        <v>706</v>
      </c>
      <c r="D2724" t="s">
        <v>28</v>
      </c>
      <c r="E2724" t="s">
        <v>23</v>
      </c>
      <c r="F2724" t="s">
        <v>350</v>
      </c>
      <c r="G2724" t="s">
        <v>5542</v>
      </c>
      <c r="H2724" t="str">
        <f t="shared" si="195"/>
        <v>01700</v>
      </c>
      <c r="I2724" t="s">
        <v>1501</v>
      </c>
    </row>
    <row r="2725" spans="1:12" x14ac:dyDescent="0.3">
      <c r="A2725" t="str">
        <f>"71216219"</f>
        <v>71216219</v>
      </c>
      <c r="B2725" t="s">
        <v>5543</v>
      </c>
      <c r="C2725" t="str">
        <f t="shared" si="193"/>
        <v>706</v>
      </c>
      <c r="D2725" t="s">
        <v>28</v>
      </c>
      <c r="E2725" t="s">
        <v>52</v>
      </c>
      <c r="F2725" t="s">
        <v>796</v>
      </c>
      <c r="G2725" t="s">
        <v>797</v>
      </c>
      <c r="H2725" t="str">
        <f t="shared" si="195"/>
        <v>01700</v>
      </c>
      <c r="I2725" t="s">
        <v>1501</v>
      </c>
    </row>
    <row r="2726" spans="1:12" x14ac:dyDescent="0.3">
      <c r="A2726" t="str">
        <f>"62335391"</f>
        <v>62335391</v>
      </c>
      <c r="B2726" t="s">
        <v>5544</v>
      </c>
      <c r="C2726" t="str">
        <f t="shared" si="193"/>
        <v>706</v>
      </c>
      <c r="D2726" t="s">
        <v>28</v>
      </c>
      <c r="E2726" t="s">
        <v>29</v>
      </c>
      <c r="F2726" t="s">
        <v>681</v>
      </c>
      <c r="G2726" t="s">
        <v>5545</v>
      </c>
      <c r="H2726" t="str">
        <f t="shared" si="195"/>
        <v>01700</v>
      </c>
      <c r="I2726" t="s">
        <v>1501</v>
      </c>
    </row>
    <row r="2727" spans="1:12" x14ac:dyDescent="0.3">
      <c r="A2727" t="str">
        <f>"62334662"</f>
        <v>62334662</v>
      </c>
      <c r="B2727" t="s">
        <v>5546</v>
      </c>
      <c r="C2727" t="str">
        <f t="shared" ref="C2727:C2789" si="196">"706"</f>
        <v>706</v>
      </c>
      <c r="D2727" t="s">
        <v>28</v>
      </c>
      <c r="E2727" t="s">
        <v>29</v>
      </c>
      <c r="F2727" t="s">
        <v>117</v>
      </c>
      <c r="G2727" t="s">
        <v>5547</v>
      </c>
      <c r="H2727" t="str">
        <f t="shared" si="195"/>
        <v>01700</v>
      </c>
      <c r="I2727" t="s">
        <v>1501</v>
      </c>
      <c r="J2727" t="s">
        <v>155</v>
      </c>
      <c r="K2727" t="s">
        <v>209</v>
      </c>
      <c r="L2727" t="s">
        <v>161</v>
      </c>
    </row>
    <row r="2728" spans="1:12" x14ac:dyDescent="0.3">
      <c r="A2728" t="str">
        <f>"70972699"</f>
        <v>70972699</v>
      </c>
      <c r="B2728" t="s">
        <v>5548</v>
      </c>
      <c r="C2728" t="str">
        <f t="shared" si="196"/>
        <v>706</v>
      </c>
      <c r="D2728" t="s">
        <v>28</v>
      </c>
      <c r="E2728" t="s">
        <v>83</v>
      </c>
      <c r="F2728" t="s">
        <v>175</v>
      </c>
      <c r="G2728" t="s">
        <v>5549</v>
      </c>
      <c r="H2728" t="str">
        <f>"0170"</f>
        <v>0170</v>
      </c>
      <c r="I2728" t="s">
        <v>1501</v>
      </c>
    </row>
    <row r="2729" spans="1:12" x14ac:dyDescent="0.3">
      <c r="A2729" t="str">
        <f>"72032634"</f>
        <v>72032634</v>
      </c>
      <c r="B2729" t="s">
        <v>5550</v>
      </c>
      <c r="C2729" t="str">
        <f t="shared" si="196"/>
        <v>706</v>
      </c>
      <c r="D2729" t="s">
        <v>28</v>
      </c>
      <c r="E2729" t="s">
        <v>52</v>
      </c>
      <c r="F2729" t="s">
        <v>2400</v>
      </c>
      <c r="G2729" t="s">
        <v>4021</v>
      </c>
      <c r="H2729" t="str">
        <f t="shared" ref="H2729:H2791" si="197">"01700"</f>
        <v>01700</v>
      </c>
      <c r="I2729" t="s">
        <v>1501</v>
      </c>
    </row>
    <row r="2730" spans="1:12" x14ac:dyDescent="0.3">
      <c r="A2730" t="str">
        <f>"67029582"</f>
        <v>67029582</v>
      </c>
      <c r="B2730" t="s">
        <v>5551</v>
      </c>
      <c r="C2730" t="str">
        <f t="shared" si="196"/>
        <v>706</v>
      </c>
      <c r="D2730" t="s">
        <v>28</v>
      </c>
      <c r="E2730" t="s">
        <v>52</v>
      </c>
      <c r="F2730" t="s">
        <v>1676</v>
      </c>
      <c r="G2730" t="s">
        <v>5552</v>
      </c>
      <c r="H2730" t="str">
        <f t="shared" si="197"/>
        <v>01700</v>
      </c>
      <c r="I2730" t="s">
        <v>1501</v>
      </c>
    </row>
    <row r="2731" spans="1:12" x14ac:dyDescent="0.3">
      <c r="A2731" t="str">
        <f>"66598354"</f>
        <v>66598354</v>
      </c>
      <c r="B2731" t="s">
        <v>5553</v>
      </c>
      <c r="C2731" t="str">
        <f t="shared" si="196"/>
        <v>706</v>
      </c>
      <c r="D2731" t="s">
        <v>28</v>
      </c>
      <c r="E2731" t="s">
        <v>52</v>
      </c>
      <c r="F2731" t="s">
        <v>94</v>
      </c>
      <c r="G2731" t="s">
        <v>5554</v>
      </c>
      <c r="H2731" t="str">
        <f t="shared" si="197"/>
        <v>01700</v>
      </c>
      <c r="I2731" t="s">
        <v>1501</v>
      </c>
    </row>
    <row r="2732" spans="1:12" x14ac:dyDescent="0.3">
      <c r="A2732" t="str">
        <f>"48472689"</f>
        <v>48472689</v>
      </c>
      <c r="B2732" t="s">
        <v>5555</v>
      </c>
      <c r="C2732" t="str">
        <f t="shared" si="196"/>
        <v>706</v>
      </c>
      <c r="D2732" t="s">
        <v>28</v>
      </c>
      <c r="E2732" t="s">
        <v>23</v>
      </c>
      <c r="F2732" t="s">
        <v>23</v>
      </c>
      <c r="G2732" t="s">
        <v>5556</v>
      </c>
      <c r="H2732" t="str">
        <f t="shared" si="197"/>
        <v>01700</v>
      </c>
      <c r="I2732" t="s">
        <v>1501</v>
      </c>
    </row>
    <row r="2733" spans="1:12" x14ac:dyDescent="0.3">
      <c r="A2733" t="str">
        <f>"65326687"</f>
        <v>65326687</v>
      </c>
      <c r="B2733" t="s">
        <v>5557</v>
      </c>
      <c r="C2733" t="str">
        <f t="shared" si="196"/>
        <v>706</v>
      </c>
      <c r="D2733" t="s">
        <v>28</v>
      </c>
      <c r="E2733" t="s">
        <v>52</v>
      </c>
      <c r="F2733" t="s">
        <v>1027</v>
      </c>
      <c r="G2733" t="s">
        <v>2108</v>
      </c>
      <c r="H2733" t="str">
        <f t="shared" si="197"/>
        <v>01700</v>
      </c>
      <c r="I2733" t="s">
        <v>1501</v>
      </c>
    </row>
    <row r="2734" spans="1:12" x14ac:dyDescent="0.3">
      <c r="A2734" t="str">
        <f>"47930233"</f>
        <v>47930233</v>
      </c>
      <c r="B2734" t="s">
        <v>5558</v>
      </c>
      <c r="C2734" t="str">
        <f t="shared" si="196"/>
        <v>706</v>
      </c>
      <c r="D2734" t="s">
        <v>28</v>
      </c>
      <c r="E2734" t="s">
        <v>83</v>
      </c>
      <c r="F2734" t="s">
        <v>1867</v>
      </c>
      <c r="G2734" t="s">
        <v>5559</v>
      </c>
      <c r="H2734" t="str">
        <f t="shared" si="197"/>
        <v>01700</v>
      </c>
      <c r="I2734" t="s">
        <v>1501</v>
      </c>
    </row>
    <row r="2735" spans="1:12" x14ac:dyDescent="0.3">
      <c r="A2735" t="str">
        <f>"65338171"</f>
        <v>65338171</v>
      </c>
      <c r="B2735" t="s">
        <v>5560</v>
      </c>
      <c r="C2735" t="str">
        <f t="shared" si="196"/>
        <v>706</v>
      </c>
      <c r="D2735" t="s">
        <v>28</v>
      </c>
      <c r="E2735" t="s">
        <v>52</v>
      </c>
      <c r="F2735" t="s">
        <v>1765</v>
      </c>
      <c r="G2735" t="s">
        <v>5561</v>
      </c>
      <c r="H2735" t="str">
        <f t="shared" si="197"/>
        <v>01700</v>
      </c>
      <c r="I2735" t="s">
        <v>1501</v>
      </c>
    </row>
    <row r="2736" spans="1:12" x14ac:dyDescent="0.3">
      <c r="A2736" t="str">
        <f>"48489735"</f>
        <v>48489735</v>
      </c>
      <c r="B2736" t="s">
        <v>5562</v>
      </c>
      <c r="C2736" t="str">
        <f t="shared" si="196"/>
        <v>706</v>
      </c>
      <c r="D2736" t="s">
        <v>28</v>
      </c>
      <c r="E2736" t="s">
        <v>52</v>
      </c>
      <c r="F2736" t="s">
        <v>113</v>
      </c>
      <c r="G2736" t="s">
        <v>5563</v>
      </c>
      <c r="H2736" t="str">
        <f t="shared" si="197"/>
        <v>01700</v>
      </c>
      <c r="I2736" t="s">
        <v>1501</v>
      </c>
    </row>
    <row r="2737" spans="1:9" x14ac:dyDescent="0.3">
      <c r="A2737" t="str">
        <f>"47930497"</f>
        <v>47930497</v>
      </c>
      <c r="B2737" t="s">
        <v>5564</v>
      </c>
      <c r="C2737" t="str">
        <f t="shared" si="196"/>
        <v>706</v>
      </c>
      <c r="D2737" t="s">
        <v>28</v>
      </c>
      <c r="E2737" t="s">
        <v>83</v>
      </c>
      <c r="F2737" t="s">
        <v>540</v>
      </c>
      <c r="G2737" t="s">
        <v>4874</v>
      </c>
      <c r="H2737" t="str">
        <f t="shared" si="197"/>
        <v>01700</v>
      </c>
      <c r="I2737" t="s">
        <v>1501</v>
      </c>
    </row>
    <row r="2738" spans="1:9" x14ac:dyDescent="0.3">
      <c r="A2738" t="str">
        <f>"47930390"</f>
        <v>47930390</v>
      </c>
      <c r="B2738" t="s">
        <v>5565</v>
      </c>
      <c r="C2738" t="str">
        <f t="shared" si="196"/>
        <v>706</v>
      </c>
      <c r="D2738" t="s">
        <v>28</v>
      </c>
      <c r="E2738" t="s">
        <v>83</v>
      </c>
      <c r="F2738" t="s">
        <v>3510</v>
      </c>
      <c r="G2738" t="s">
        <v>5566</v>
      </c>
      <c r="H2738" t="str">
        <f t="shared" si="197"/>
        <v>01700</v>
      </c>
      <c r="I2738" t="s">
        <v>1501</v>
      </c>
    </row>
    <row r="2739" spans="1:9" x14ac:dyDescent="0.3">
      <c r="A2739" t="str">
        <f>"47863960"</f>
        <v>47863960</v>
      </c>
      <c r="B2739" t="s">
        <v>5567</v>
      </c>
      <c r="C2739" t="str">
        <f t="shared" si="196"/>
        <v>706</v>
      </c>
      <c r="D2739" t="s">
        <v>28</v>
      </c>
      <c r="E2739" t="s">
        <v>29</v>
      </c>
      <c r="F2739" t="s">
        <v>234</v>
      </c>
      <c r="G2739" t="s">
        <v>5568</v>
      </c>
      <c r="H2739" t="str">
        <f t="shared" si="197"/>
        <v>01700</v>
      </c>
      <c r="I2739" t="s">
        <v>1501</v>
      </c>
    </row>
    <row r="2740" spans="1:9" x14ac:dyDescent="0.3">
      <c r="A2740" t="str">
        <f>"48472646"</f>
        <v>48472646</v>
      </c>
      <c r="B2740" t="s">
        <v>5569</v>
      </c>
      <c r="C2740" t="str">
        <f t="shared" si="196"/>
        <v>706</v>
      </c>
      <c r="D2740" t="s">
        <v>28</v>
      </c>
      <c r="E2740" t="s">
        <v>23</v>
      </c>
      <c r="F2740" t="s">
        <v>1418</v>
      </c>
      <c r="G2740" t="s">
        <v>5570</v>
      </c>
      <c r="H2740" t="str">
        <f t="shared" si="197"/>
        <v>01700</v>
      </c>
      <c r="I2740" t="s">
        <v>1501</v>
      </c>
    </row>
    <row r="2741" spans="1:9" x14ac:dyDescent="0.3">
      <c r="A2741" t="str">
        <f>"46277391"</f>
        <v>46277391</v>
      </c>
      <c r="B2741" t="s">
        <v>5571</v>
      </c>
      <c r="C2741" t="str">
        <f t="shared" si="196"/>
        <v>706</v>
      </c>
      <c r="D2741" t="s">
        <v>28</v>
      </c>
      <c r="E2741" t="s">
        <v>23</v>
      </c>
      <c r="F2741" t="s">
        <v>99</v>
      </c>
      <c r="G2741" t="s">
        <v>5572</v>
      </c>
      <c r="H2741" t="str">
        <f t="shared" si="197"/>
        <v>01700</v>
      </c>
      <c r="I2741" t="s">
        <v>1501</v>
      </c>
    </row>
    <row r="2742" spans="1:9" x14ac:dyDescent="0.3">
      <c r="A2742" t="str">
        <f>"65469763"</f>
        <v>65469763</v>
      </c>
      <c r="B2742" t="s">
        <v>5573</v>
      </c>
      <c r="C2742" t="str">
        <f t="shared" si="196"/>
        <v>706</v>
      </c>
      <c r="D2742" t="s">
        <v>28</v>
      </c>
      <c r="E2742" t="s">
        <v>29</v>
      </c>
      <c r="F2742" t="s">
        <v>685</v>
      </c>
      <c r="G2742" t="s">
        <v>5259</v>
      </c>
      <c r="H2742" t="str">
        <f t="shared" si="197"/>
        <v>01700</v>
      </c>
      <c r="I2742" t="s">
        <v>1501</v>
      </c>
    </row>
    <row r="2743" spans="1:9" x14ac:dyDescent="0.3">
      <c r="A2743" t="str">
        <f>"47930519"</f>
        <v>47930519</v>
      </c>
      <c r="B2743" t="s">
        <v>5574</v>
      </c>
      <c r="C2743" t="str">
        <f t="shared" si="196"/>
        <v>706</v>
      </c>
      <c r="D2743" t="s">
        <v>28</v>
      </c>
      <c r="E2743" t="s">
        <v>83</v>
      </c>
      <c r="F2743" t="s">
        <v>83</v>
      </c>
      <c r="G2743" t="s">
        <v>5575</v>
      </c>
      <c r="H2743" t="str">
        <f t="shared" si="197"/>
        <v>01700</v>
      </c>
      <c r="I2743" t="s">
        <v>1501</v>
      </c>
    </row>
    <row r="2744" spans="1:9" x14ac:dyDescent="0.3">
      <c r="A2744" t="str">
        <f>"49158341"</f>
        <v>49158341</v>
      </c>
      <c r="B2744" t="s">
        <v>5576</v>
      </c>
      <c r="C2744" t="str">
        <f t="shared" si="196"/>
        <v>706</v>
      </c>
      <c r="D2744" t="s">
        <v>28</v>
      </c>
      <c r="E2744" t="s">
        <v>23</v>
      </c>
      <c r="F2744" t="s">
        <v>2717</v>
      </c>
      <c r="G2744" t="s">
        <v>5577</v>
      </c>
      <c r="H2744" t="str">
        <f t="shared" si="197"/>
        <v>01700</v>
      </c>
      <c r="I2744" t="s">
        <v>1501</v>
      </c>
    </row>
    <row r="2745" spans="1:9" x14ac:dyDescent="0.3">
      <c r="A2745" t="str">
        <f>"47933607"</f>
        <v>47933607</v>
      </c>
      <c r="B2745" t="s">
        <v>5578</v>
      </c>
      <c r="C2745" t="str">
        <f t="shared" si="196"/>
        <v>706</v>
      </c>
      <c r="D2745" t="s">
        <v>28</v>
      </c>
      <c r="E2745" t="s">
        <v>83</v>
      </c>
      <c r="F2745" t="s">
        <v>3456</v>
      </c>
      <c r="G2745" t="s">
        <v>5579</v>
      </c>
      <c r="H2745" t="str">
        <f t="shared" si="197"/>
        <v>01700</v>
      </c>
      <c r="I2745" t="s">
        <v>1501</v>
      </c>
    </row>
    <row r="2746" spans="1:9" x14ac:dyDescent="0.3">
      <c r="A2746" t="str">
        <f>"70896046"</f>
        <v>70896046</v>
      </c>
      <c r="B2746" t="s">
        <v>5580</v>
      </c>
      <c r="C2746" t="str">
        <f t="shared" si="196"/>
        <v>706</v>
      </c>
      <c r="D2746" t="s">
        <v>28</v>
      </c>
      <c r="E2746" t="s">
        <v>29</v>
      </c>
      <c r="F2746" t="s">
        <v>1121</v>
      </c>
      <c r="G2746" t="s">
        <v>5581</v>
      </c>
      <c r="H2746" t="str">
        <f t="shared" si="197"/>
        <v>01700</v>
      </c>
      <c r="I2746" t="s">
        <v>1501</v>
      </c>
    </row>
    <row r="2747" spans="1:9" x14ac:dyDescent="0.3">
      <c r="A2747" t="str">
        <f>"71186735"</f>
        <v>71186735</v>
      </c>
      <c r="B2747" t="s">
        <v>5582</v>
      </c>
      <c r="C2747" t="str">
        <f t="shared" si="196"/>
        <v>706</v>
      </c>
      <c r="D2747" t="s">
        <v>28</v>
      </c>
      <c r="E2747" t="s">
        <v>23</v>
      </c>
      <c r="F2747" t="s">
        <v>23</v>
      </c>
      <c r="G2747" t="s">
        <v>5583</v>
      </c>
      <c r="H2747" t="str">
        <f t="shared" si="197"/>
        <v>01700</v>
      </c>
      <c r="I2747" t="s">
        <v>1501</v>
      </c>
    </row>
    <row r="2748" spans="1:9" x14ac:dyDescent="0.3">
      <c r="A2748" t="str">
        <f>"49156047"</f>
        <v>49156047</v>
      </c>
      <c r="B2748" t="s">
        <v>5584</v>
      </c>
      <c r="C2748" t="str">
        <f t="shared" si="196"/>
        <v>706</v>
      </c>
      <c r="D2748" t="s">
        <v>28</v>
      </c>
      <c r="E2748" t="s">
        <v>23</v>
      </c>
      <c r="F2748" t="s">
        <v>4802</v>
      </c>
      <c r="G2748" t="s">
        <v>5585</v>
      </c>
      <c r="H2748" t="str">
        <f t="shared" si="197"/>
        <v>01700</v>
      </c>
      <c r="I2748" t="s">
        <v>1501</v>
      </c>
    </row>
    <row r="2749" spans="1:9" x14ac:dyDescent="0.3">
      <c r="A2749" t="str">
        <f>"47658878"</f>
        <v>47658878</v>
      </c>
      <c r="B2749" t="s">
        <v>5586</v>
      </c>
      <c r="C2749" t="str">
        <f t="shared" si="196"/>
        <v>706</v>
      </c>
      <c r="D2749" t="s">
        <v>28</v>
      </c>
      <c r="E2749" t="s">
        <v>29</v>
      </c>
      <c r="F2749" t="s">
        <v>778</v>
      </c>
      <c r="G2749" t="s">
        <v>5587</v>
      </c>
      <c r="H2749" t="str">
        <f t="shared" si="197"/>
        <v>01700</v>
      </c>
      <c r="I2749" t="s">
        <v>1501</v>
      </c>
    </row>
    <row r="2750" spans="1:9" x14ac:dyDescent="0.3">
      <c r="A2750" t="str">
        <f>"47935324"</f>
        <v>47935324</v>
      </c>
      <c r="B2750" t="s">
        <v>5588</v>
      </c>
      <c r="C2750" t="str">
        <f t="shared" si="196"/>
        <v>706</v>
      </c>
      <c r="D2750" t="s">
        <v>28</v>
      </c>
      <c r="E2750" t="s">
        <v>83</v>
      </c>
      <c r="F2750" t="s">
        <v>200</v>
      </c>
      <c r="G2750" t="s">
        <v>5589</v>
      </c>
      <c r="H2750" t="str">
        <f t="shared" si="197"/>
        <v>01700</v>
      </c>
      <c r="I2750" t="s">
        <v>1501</v>
      </c>
    </row>
    <row r="2751" spans="1:9" x14ac:dyDescent="0.3">
      <c r="A2751" t="str">
        <f>"47658606"</f>
        <v>47658606</v>
      </c>
      <c r="B2751" t="s">
        <v>5590</v>
      </c>
      <c r="C2751" t="str">
        <f t="shared" si="196"/>
        <v>706</v>
      </c>
      <c r="D2751" t="s">
        <v>28</v>
      </c>
      <c r="E2751" t="s">
        <v>29</v>
      </c>
      <c r="F2751" t="s">
        <v>681</v>
      </c>
      <c r="G2751" t="s">
        <v>5233</v>
      </c>
      <c r="H2751" t="str">
        <f t="shared" si="197"/>
        <v>01700</v>
      </c>
      <c r="I2751" t="s">
        <v>1501</v>
      </c>
    </row>
    <row r="2752" spans="1:9" x14ac:dyDescent="0.3">
      <c r="A2752" t="str">
        <f>"71221468"</f>
        <v>71221468</v>
      </c>
      <c r="B2752" t="s">
        <v>5591</v>
      </c>
      <c r="C2752" t="str">
        <f t="shared" si="196"/>
        <v>706</v>
      </c>
      <c r="D2752" t="s">
        <v>28</v>
      </c>
      <c r="E2752" t="s">
        <v>52</v>
      </c>
      <c r="F2752" t="s">
        <v>52</v>
      </c>
      <c r="G2752" t="s">
        <v>5592</v>
      </c>
      <c r="H2752" t="str">
        <f t="shared" si="197"/>
        <v>01700</v>
      </c>
      <c r="I2752" t="s">
        <v>1501</v>
      </c>
    </row>
    <row r="2753" spans="1:13" x14ac:dyDescent="0.3">
      <c r="A2753" t="str">
        <f>"47934981"</f>
        <v>47934981</v>
      </c>
      <c r="B2753" t="s">
        <v>5593</v>
      </c>
      <c r="C2753" t="str">
        <f t="shared" si="196"/>
        <v>706</v>
      </c>
      <c r="D2753" t="s">
        <v>28</v>
      </c>
      <c r="E2753" t="s">
        <v>83</v>
      </c>
      <c r="F2753" t="s">
        <v>3513</v>
      </c>
      <c r="G2753" t="s">
        <v>5594</v>
      </c>
      <c r="H2753" t="str">
        <f t="shared" si="197"/>
        <v>01700</v>
      </c>
      <c r="I2753" t="s">
        <v>1501</v>
      </c>
    </row>
    <row r="2754" spans="1:13" x14ac:dyDescent="0.3">
      <c r="A2754" t="str">
        <f>"47933691"</f>
        <v>47933691</v>
      </c>
      <c r="B2754" t="s">
        <v>5595</v>
      </c>
      <c r="C2754" t="str">
        <f t="shared" si="196"/>
        <v>706</v>
      </c>
      <c r="D2754" t="s">
        <v>28</v>
      </c>
      <c r="E2754" t="s">
        <v>83</v>
      </c>
      <c r="F2754" t="s">
        <v>1055</v>
      </c>
      <c r="G2754" t="s">
        <v>5596</v>
      </c>
      <c r="H2754" t="str">
        <f t="shared" si="197"/>
        <v>01700</v>
      </c>
      <c r="I2754" t="s">
        <v>1501</v>
      </c>
    </row>
    <row r="2755" spans="1:13" x14ac:dyDescent="0.3">
      <c r="A2755" t="str">
        <f>"64123855"</f>
        <v>64123855</v>
      </c>
      <c r="B2755" t="s">
        <v>5597</v>
      </c>
      <c r="C2755" t="str">
        <f t="shared" si="196"/>
        <v>706</v>
      </c>
      <c r="D2755" t="s">
        <v>28</v>
      </c>
      <c r="E2755" t="s">
        <v>29</v>
      </c>
      <c r="F2755" t="s">
        <v>38</v>
      </c>
      <c r="G2755" t="s">
        <v>5598</v>
      </c>
      <c r="H2755" t="str">
        <f t="shared" si="197"/>
        <v>01700</v>
      </c>
      <c r="I2755" t="s">
        <v>1501</v>
      </c>
    </row>
    <row r="2756" spans="1:13" x14ac:dyDescent="0.3">
      <c r="A2756" t="str">
        <f>"65823052"</f>
        <v>65823052</v>
      </c>
      <c r="B2756" t="s">
        <v>5599</v>
      </c>
      <c r="C2756" t="str">
        <f t="shared" si="196"/>
        <v>706</v>
      </c>
      <c r="D2756" t="s">
        <v>28</v>
      </c>
      <c r="E2756" t="s">
        <v>23</v>
      </c>
      <c r="F2756" t="s">
        <v>5600</v>
      </c>
      <c r="G2756" t="s">
        <v>5601</v>
      </c>
      <c r="H2756" t="str">
        <f t="shared" si="197"/>
        <v>01700</v>
      </c>
      <c r="I2756" t="s">
        <v>1501</v>
      </c>
    </row>
    <row r="2757" spans="1:13" x14ac:dyDescent="0.3">
      <c r="A2757" t="str">
        <f>"47934999"</f>
        <v>47934999</v>
      </c>
      <c r="B2757" t="s">
        <v>5603</v>
      </c>
      <c r="C2757" t="str">
        <f t="shared" si="196"/>
        <v>706</v>
      </c>
      <c r="D2757" t="s">
        <v>28</v>
      </c>
      <c r="E2757" t="s">
        <v>83</v>
      </c>
      <c r="F2757" t="s">
        <v>1545</v>
      </c>
      <c r="G2757" t="s">
        <v>2410</v>
      </c>
      <c r="H2757" t="str">
        <f t="shared" si="197"/>
        <v>01700</v>
      </c>
      <c r="I2757" t="s">
        <v>1501</v>
      </c>
    </row>
    <row r="2758" spans="1:13" x14ac:dyDescent="0.3">
      <c r="A2758" t="str">
        <f>"67007503"</f>
        <v>67007503</v>
      </c>
      <c r="B2758" t="s">
        <v>5604</v>
      </c>
      <c r="C2758" t="str">
        <f t="shared" si="196"/>
        <v>706</v>
      </c>
      <c r="D2758" t="s">
        <v>28</v>
      </c>
      <c r="E2758" t="s">
        <v>23</v>
      </c>
      <c r="F2758" t="s">
        <v>1880</v>
      </c>
      <c r="G2758" t="s">
        <v>1881</v>
      </c>
      <c r="H2758" t="str">
        <f t="shared" si="197"/>
        <v>01700</v>
      </c>
      <c r="I2758" t="s">
        <v>1501</v>
      </c>
    </row>
    <row r="2759" spans="1:13" x14ac:dyDescent="0.3">
      <c r="A2759" t="str">
        <f>"64124053"</f>
        <v>64124053</v>
      </c>
      <c r="B2759" t="s">
        <v>5605</v>
      </c>
      <c r="C2759" t="str">
        <f t="shared" si="196"/>
        <v>706</v>
      </c>
      <c r="D2759" t="s">
        <v>28</v>
      </c>
      <c r="E2759" t="s">
        <v>29</v>
      </c>
      <c r="F2759" t="s">
        <v>726</v>
      </c>
      <c r="G2759" t="s">
        <v>5606</v>
      </c>
      <c r="H2759" t="str">
        <f t="shared" si="197"/>
        <v>01700</v>
      </c>
      <c r="I2759" t="s">
        <v>1501</v>
      </c>
    </row>
    <row r="2760" spans="1:13" x14ac:dyDescent="0.3">
      <c r="A2760" t="str">
        <f>"48472034"</f>
        <v>48472034</v>
      </c>
      <c r="B2760" t="s">
        <v>5607</v>
      </c>
      <c r="C2760" t="str">
        <f t="shared" si="196"/>
        <v>706</v>
      </c>
      <c r="D2760" t="s">
        <v>28</v>
      </c>
      <c r="E2760" t="s">
        <v>23</v>
      </c>
      <c r="F2760" t="s">
        <v>99</v>
      </c>
      <c r="G2760" t="s">
        <v>5608</v>
      </c>
      <c r="H2760" t="str">
        <f t="shared" si="197"/>
        <v>01700</v>
      </c>
      <c r="I2760" t="s">
        <v>1501</v>
      </c>
    </row>
    <row r="2761" spans="1:13" x14ac:dyDescent="0.3">
      <c r="A2761" t="str">
        <f>"49156802"</f>
        <v>49156802</v>
      </c>
      <c r="B2761" t="s">
        <v>5609</v>
      </c>
      <c r="C2761" t="str">
        <f t="shared" si="196"/>
        <v>706</v>
      </c>
      <c r="D2761" t="s">
        <v>28</v>
      </c>
      <c r="E2761" t="s">
        <v>23</v>
      </c>
      <c r="F2761" t="s">
        <v>3995</v>
      </c>
      <c r="G2761" t="s">
        <v>3996</v>
      </c>
      <c r="H2761" t="str">
        <f t="shared" si="197"/>
        <v>01700</v>
      </c>
      <c r="I2761" t="s">
        <v>1501</v>
      </c>
    </row>
    <row r="2762" spans="1:13" x14ac:dyDescent="0.3">
      <c r="A2762" t="str">
        <f>"48472379"</f>
        <v>48472379</v>
      </c>
      <c r="B2762" t="s">
        <v>5610</v>
      </c>
      <c r="C2762" t="str">
        <f t="shared" si="196"/>
        <v>706</v>
      </c>
      <c r="D2762" t="s">
        <v>28</v>
      </c>
      <c r="E2762" t="s">
        <v>23</v>
      </c>
      <c r="F2762" t="s">
        <v>975</v>
      </c>
      <c r="G2762" t="s">
        <v>1519</v>
      </c>
      <c r="H2762" t="str">
        <f t="shared" si="197"/>
        <v>01700</v>
      </c>
      <c r="I2762" t="s">
        <v>1501</v>
      </c>
    </row>
    <row r="2763" spans="1:13" x14ac:dyDescent="0.3">
      <c r="A2763" t="str">
        <f>"65341945"</f>
        <v>65341945</v>
      </c>
      <c r="B2763" t="s">
        <v>5611</v>
      </c>
      <c r="C2763" t="str">
        <f t="shared" si="196"/>
        <v>706</v>
      </c>
      <c r="D2763" t="s">
        <v>28</v>
      </c>
      <c r="E2763" t="s">
        <v>23</v>
      </c>
      <c r="F2763" t="s">
        <v>24</v>
      </c>
      <c r="G2763" t="s">
        <v>5612</v>
      </c>
      <c r="H2763" t="str">
        <f t="shared" si="197"/>
        <v>01700</v>
      </c>
      <c r="I2763" t="s">
        <v>1501</v>
      </c>
    </row>
    <row r="2764" spans="1:13" x14ac:dyDescent="0.3">
      <c r="A2764" t="str">
        <f>"49156136"</f>
        <v>49156136</v>
      </c>
      <c r="B2764" t="s">
        <v>5613</v>
      </c>
      <c r="C2764" t="str">
        <f t="shared" si="196"/>
        <v>706</v>
      </c>
      <c r="D2764" t="s">
        <v>28</v>
      </c>
      <c r="E2764" t="s">
        <v>23</v>
      </c>
      <c r="F2764" t="s">
        <v>5614</v>
      </c>
      <c r="G2764" t="s">
        <v>5615</v>
      </c>
      <c r="H2764" t="str">
        <f t="shared" si="197"/>
        <v>01700</v>
      </c>
      <c r="I2764" t="s">
        <v>1501</v>
      </c>
    </row>
    <row r="2765" spans="1:13" x14ac:dyDescent="0.3">
      <c r="A2765" t="str">
        <f>"70938351"</f>
        <v>70938351</v>
      </c>
      <c r="B2765" t="s">
        <v>5616</v>
      </c>
      <c r="C2765" t="str">
        <f t="shared" si="196"/>
        <v>706</v>
      </c>
      <c r="D2765" t="s">
        <v>28</v>
      </c>
      <c r="E2765" t="s">
        <v>52</v>
      </c>
      <c r="F2765" t="s">
        <v>1679</v>
      </c>
      <c r="G2765" t="s">
        <v>5617</v>
      </c>
      <c r="H2765" t="str">
        <f t="shared" si="197"/>
        <v>01700</v>
      </c>
      <c r="I2765" t="s">
        <v>1501</v>
      </c>
      <c r="J2765" t="s">
        <v>155</v>
      </c>
      <c r="K2765" t="s">
        <v>161</v>
      </c>
      <c r="L2765" t="s">
        <v>163</v>
      </c>
      <c r="M2765" t="s">
        <v>209</v>
      </c>
    </row>
    <row r="2766" spans="1:13" x14ac:dyDescent="0.3">
      <c r="A2766" t="str">
        <f>"62181831"</f>
        <v>62181831</v>
      </c>
      <c r="B2766" t="s">
        <v>5618</v>
      </c>
      <c r="C2766" t="str">
        <f t="shared" si="196"/>
        <v>706</v>
      </c>
      <c r="D2766" t="s">
        <v>28</v>
      </c>
      <c r="E2766" t="s">
        <v>23</v>
      </c>
      <c r="F2766" t="s">
        <v>107</v>
      </c>
      <c r="G2766" t="s">
        <v>5619</v>
      </c>
      <c r="H2766" t="str">
        <f t="shared" si="197"/>
        <v>01700</v>
      </c>
      <c r="I2766" t="s">
        <v>1501</v>
      </c>
      <c r="J2766" t="s">
        <v>161</v>
      </c>
      <c r="K2766" t="s">
        <v>209</v>
      </c>
    </row>
    <row r="2767" spans="1:13" x14ac:dyDescent="0.3">
      <c r="A2767" t="str">
        <f>"48773743"</f>
        <v>48773743</v>
      </c>
      <c r="B2767" t="s">
        <v>5620</v>
      </c>
      <c r="C2767" t="str">
        <f t="shared" si="196"/>
        <v>706</v>
      </c>
      <c r="D2767" t="s">
        <v>28</v>
      </c>
      <c r="E2767" t="s">
        <v>29</v>
      </c>
      <c r="F2767" t="s">
        <v>195</v>
      </c>
      <c r="G2767" t="s">
        <v>5621</v>
      </c>
      <c r="H2767" t="str">
        <f t="shared" si="197"/>
        <v>01700</v>
      </c>
      <c r="I2767" t="s">
        <v>1501</v>
      </c>
    </row>
    <row r="2768" spans="1:13" x14ac:dyDescent="0.3">
      <c r="A2768" t="str">
        <f>"70905037"</f>
        <v>70905037</v>
      </c>
      <c r="B2768" t="s">
        <v>5622</v>
      </c>
      <c r="C2768" t="str">
        <f t="shared" si="196"/>
        <v>706</v>
      </c>
      <c r="D2768" t="s">
        <v>28</v>
      </c>
      <c r="E2768" t="s">
        <v>52</v>
      </c>
      <c r="F2768" t="s">
        <v>5623</v>
      </c>
      <c r="G2768" t="s">
        <v>5624</v>
      </c>
      <c r="H2768" t="str">
        <f t="shared" si="197"/>
        <v>01700</v>
      </c>
      <c r="I2768" t="s">
        <v>1501</v>
      </c>
    </row>
    <row r="2769" spans="1:9" x14ac:dyDescent="0.3">
      <c r="A2769" t="str">
        <f>"69211779"</f>
        <v>69211779</v>
      </c>
      <c r="B2769" t="s">
        <v>5625</v>
      </c>
      <c r="C2769" t="str">
        <f t="shared" si="196"/>
        <v>706</v>
      </c>
      <c r="D2769" t="s">
        <v>28</v>
      </c>
      <c r="E2769" t="s">
        <v>29</v>
      </c>
      <c r="F2769" t="s">
        <v>1473</v>
      </c>
      <c r="G2769" t="s">
        <v>5626</v>
      </c>
      <c r="H2769" t="str">
        <f t="shared" si="197"/>
        <v>01700</v>
      </c>
      <c r="I2769" t="s">
        <v>1501</v>
      </c>
    </row>
    <row r="2770" spans="1:9" x14ac:dyDescent="0.3">
      <c r="A2770" t="str">
        <f>"48472603"</f>
        <v>48472603</v>
      </c>
      <c r="B2770" t="s">
        <v>5627</v>
      </c>
      <c r="C2770" t="str">
        <f t="shared" si="196"/>
        <v>706</v>
      </c>
      <c r="D2770" t="s">
        <v>28</v>
      </c>
      <c r="E2770" t="s">
        <v>23</v>
      </c>
      <c r="F2770" t="s">
        <v>3332</v>
      </c>
      <c r="G2770" t="s">
        <v>5628</v>
      </c>
      <c r="H2770" t="str">
        <f t="shared" si="197"/>
        <v>01700</v>
      </c>
      <c r="I2770" t="s">
        <v>1501</v>
      </c>
    </row>
    <row r="2771" spans="1:9" x14ac:dyDescent="0.3">
      <c r="A2771" t="str">
        <f>"46277013"</f>
        <v>46277013</v>
      </c>
      <c r="B2771" t="s">
        <v>5629</v>
      </c>
      <c r="C2771" t="str">
        <f t="shared" si="196"/>
        <v>706</v>
      </c>
      <c r="D2771" t="s">
        <v>28</v>
      </c>
      <c r="E2771" t="s">
        <v>23</v>
      </c>
      <c r="F2771" t="s">
        <v>713</v>
      </c>
      <c r="G2771" t="s">
        <v>1009</v>
      </c>
      <c r="H2771" t="str">
        <f t="shared" si="197"/>
        <v>01700</v>
      </c>
      <c r="I2771" t="s">
        <v>1501</v>
      </c>
    </row>
    <row r="2772" spans="1:9" x14ac:dyDescent="0.3">
      <c r="A2772" t="str">
        <f>"60042052"</f>
        <v>60042052</v>
      </c>
      <c r="B2772" t="s">
        <v>5630</v>
      </c>
      <c r="C2772" t="str">
        <f t="shared" si="196"/>
        <v>706</v>
      </c>
      <c r="D2772" t="s">
        <v>28</v>
      </c>
      <c r="E2772" t="s">
        <v>29</v>
      </c>
      <c r="F2772" t="s">
        <v>1899</v>
      </c>
      <c r="G2772" t="s">
        <v>1900</v>
      </c>
      <c r="H2772" t="str">
        <f t="shared" si="197"/>
        <v>01700</v>
      </c>
      <c r="I2772" t="s">
        <v>1501</v>
      </c>
    </row>
    <row r="2773" spans="1:9" x14ac:dyDescent="0.3">
      <c r="A2773" t="str">
        <f>"75055058"</f>
        <v>75055058</v>
      </c>
      <c r="B2773" t="s">
        <v>5631</v>
      </c>
      <c r="C2773" t="str">
        <f t="shared" si="196"/>
        <v>706</v>
      </c>
      <c r="D2773" t="s">
        <v>28</v>
      </c>
      <c r="E2773" t="s">
        <v>52</v>
      </c>
      <c r="F2773" t="s">
        <v>5049</v>
      </c>
      <c r="G2773" t="s">
        <v>5632</v>
      </c>
      <c r="H2773" t="str">
        <f t="shared" si="197"/>
        <v>01700</v>
      </c>
      <c r="I2773" t="s">
        <v>1501</v>
      </c>
    </row>
    <row r="2774" spans="1:9" x14ac:dyDescent="0.3">
      <c r="A2774" t="str">
        <f>"62182943"</f>
        <v>62182943</v>
      </c>
      <c r="B2774" t="s">
        <v>5633</v>
      </c>
      <c r="C2774" t="str">
        <f t="shared" si="196"/>
        <v>706</v>
      </c>
      <c r="D2774" t="s">
        <v>28</v>
      </c>
      <c r="E2774" t="s">
        <v>23</v>
      </c>
      <c r="F2774" t="s">
        <v>4569</v>
      </c>
      <c r="G2774" t="s">
        <v>4570</v>
      </c>
      <c r="H2774" t="str">
        <f t="shared" si="197"/>
        <v>01700</v>
      </c>
      <c r="I2774" t="s">
        <v>1501</v>
      </c>
    </row>
    <row r="2775" spans="1:9" x14ac:dyDescent="0.3">
      <c r="A2775" t="str">
        <f>"62180053"</f>
        <v>62180053</v>
      </c>
      <c r="B2775" t="s">
        <v>5634</v>
      </c>
      <c r="C2775" t="str">
        <f t="shared" si="196"/>
        <v>706</v>
      </c>
      <c r="D2775" t="s">
        <v>28</v>
      </c>
      <c r="E2775" t="s">
        <v>23</v>
      </c>
      <c r="F2775" t="s">
        <v>5635</v>
      </c>
      <c r="G2775" t="s">
        <v>5636</v>
      </c>
      <c r="H2775" t="str">
        <f t="shared" si="197"/>
        <v>01700</v>
      </c>
      <c r="I2775" t="s">
        <v>1501</v>
      </c>
    </row>
    <row r="2776" spans="1:9" x14ac:dyDescent="0.3">
      <c r="A2776" t="str">
        <f>"64438244"</f>
        <v>64438244</v>
      </c>
      <c r="B2776" t="s">
        <v>5637</v>
      </c>
      <c r="C2776" t="str">
        <f t="shared" si="196"/>
        <v>706</v>
      </c>
      <c r="D2776" t="s">
        <v>28</v>
      </c>
      <c r="E2776" t="s">
        <v>52</v>
      </c>
      <c r="F2776" t="s">
        <v>514</v>
      </c>
      <c r="G2776" t="s">
        <v>1674</v>
      </c>
      <c r="H2776" t="str">
        <f t="shared" si="197"/>
        <v>01700</v>
      </c>
      <c r="I2776" t="s">
        <v>1501</v>
      </c>
    </row>
    <row r="2777" spans="1:9" x14ac:dyDescent="0.3">
      <c r="A2777" t="str">
        <f>"47930551"</f>
        <v>47930551</v>
      </c>
      <c r="B2777" t="s">
        <v>5638</v>
      </c>
      <c r="C2777" t="str">
        <f t="shared" si="196"/>
        <v>706</v>
      </c>
      <c r="D2777" t="s">
        <v>28</v>
      </c>
      <c r="E2777" t="s">
        <v>83</v>
      </c>
      <c r="F2777" t="s">
        <v>5639</v>
      </c>
      <c r="G2777" t="s">
        <v>5640</v>
      </c>
      <c r="H2777" t="str">
        <f t="shared" si="197"/>
        <v>01700</v>
      </c>
      <c r="I2777" t="s">
        <v>1501</v>
      </c>
    </row>
    <row r="2778" spans="1:9" x14ac:dyDescent="0.3">
      <c r="A2778" t="str">
        <f>"71173234"</f>
        <v>71173234</v>
      </c>
      <c r="B2778" t="s">
        <v>5641</v>
      </c>
      <c r="C2778" t="str">
        <f t="shared" si="196"/>
        <v>706</v>
      </c>
      <c r="D2778" t="s">
        <v>28</v>
      </c>
      <c r="E2778" t="s">
        <v>23</v>
      </c>
      <c r="F2778" t="s">
        <v>4479</v>
      </c>
      <c r="G2778" t="s">
        <v>4480</v>
      </c>
      <c r="H2778" t="str">
        <f t="shared" si="197"/>
        <v>01700</v>
      </c>
      <c r="I2778" t="s">
        <v>1501</v>
      </c>
    </row>
    <row r="2779" spans="1:9" x14ac:dyDescent="0.3">
      <c r="A2779" t="str">
        <f>"49158325"</f>
        <v>49158325</v>
      </c>
      <c r="B2779" t="s">
        <v>5642</v>
      </c>
      <c r="C2779" t="str">
        <f t="shared" si="196"/>
        <v>706</v>
      </c>
      <c r="D2779" t="s">
        <v>28</v>
      </c>
      <c r="E2779" t="s">
        <v>23</v>
      </c>
      <c r="F2779" t="s">
        <v>350</v>
      </c>
      <c r="G2779" t="s">
        <v>5643</v>
      </c>
      <c r="H2779" t="str">
        <f t="shared" si="197"/>
        <v>01700</v>
      </c>
      <c r="I2779" t="s">
        <v>1501</v>
      </c>
    </row>
    <row r="2780" spans="1:9" x14ac:dyDescent="0.3">
      <c r="A2780" t="str">
        <f>"75116561"</f>
        <v>75116561</v>
      </c>
      <c r="B2780" t="s">
        <v>5644</v>
      </c>
      <c r="C2780" t="str">
        <f t="shared" si="196"/>
        <v>706</v>
      </c>
      <c r="D2780" t="s">
        <v>28</v>
      </c>
      <c r="E2780" t="s">
        <v>23</v>
      </c>
      <c r="F2780" t="s">
        <v>688</v>
      </c>
      <c r="G2780" t="s">
        <v>5645</v>
      </c>
      <c r="H2780" t="str">
        <f t="shared" si="197"/>
        <v>01700</v>
      </c>
      <c r="I2780" t="s">
        <v>1501</v>
      </c>
    </row>
    <row r="2781" spans="1:9" x14ac:dyDescent="0.3">
      <c r="A2781" t="str">
        <f>"46307460"</f>
        <v>46307460</v>
      </c>
      <c r="B2781" t="s">
        <v>5646</v>
      </c>
      <c r="C2781" t="str">
        <f t="shared" si="196"/>
        <v>706</v>
      </c>
      <c r="D2781" t="s">
        <v>28</v>
      </c>
      <c r="E2781" t="s">
        <v>23</v>
      </c>
      <c r="F2781" t="s">
        <v>5647</v>
      </c>
      <c r="G2781" t="s">
        <v>5648</v>
      </c>
      <c r="H2781" t="str">
        <f t="shared" si="197"/>
        <v>01700</v>
      </c>
      <c r="I2781" t="s">
        <v>1501</v>
      </c>
    </row>
    <row r="2782" spans="1:9" x14ac:dyDescent="0.3">
      <c r="A2782" t="str">
        <f>"60990341"</f>
        <v>60990341</v>
      </c>
      <c r="B2782" t="s">
        <v>5649</v>
      </c>
      <c r="C2782" t="str">
        <f t="shared" si="196"/>
        <v>706</v>
      </c>
      <c r="D2782" t="s">
        <v>28</v>
      </c>
      <c r="E2782" t="s">
        <v>29</v>
      </c>
      <c r="F2782" t="s">
        <v>4973</v>
      </c>
      <c r="G2782" t="s">
        <v>5650</v>
      </c>
      <c r="H2782" t="str">
        <f t="shared" si="197"/>
        <v>01700</v>
      </c>
      <c r="I2782" t="s">
        <v>1501</v>
      </c>
    </row>
    <row r="2783" spans="1:9" x14ac:dyDescent="0.3">
      <c r="A2783" t="str">
        <f>"48489662"</f>
        <v>48489662</v>
      </c>
      <c r="B2783" t="s">
        <v>5651</v>
      </c>
      <c r="C2783" t="str">
        <f t="shared" si="196"/>
        <v>706</v>
      </c>
      <c r="D2783" t="s">
        <v>28</v>
      </c>
      <c r="E2783" t="s">
        <v>52</v>
      </c>
      <c r="F2783" t="s">
        <v>1908</v>
      </c>
      <c r="G2783" t="s">
        <v>5652</v>
      </c>
      <c r="H2783" t="str">
        <f t="shared" si="197"/>
        <v>01700</v>
      </c>
      <c r="I2783" t="s">
        <v>1501</v>
      </c>
    </row>
    <row r="2784" spans="1:9" x14ac:dyDescent="0.3">
      <c r="A2784" t="str">
        <f>"47935286"</f>
        <v>47935286</v>
      </c>
      <c r="B2784" t="s">
        <v>5653</v>
      </c>
      <c r="C2784" t="str">
        <f t="shared" si="196"/>
        <v>706</v>
      </c>
      <c r="D2784" t="s">
        <v>28</v>
      </c>
      <c r="E2784" t="s">
        <v>83</v>
      </c>
      <c r="F2784" t="s">
        <v>83</v>
      </c>
      <c r="G2784" t="s">
        <v>5654</v>
      </c>
      <c r="H2784" t="str">
        <f t="shared" si="197"/>
        <v>01700</v>
      </c>
      <c r="I2784" t="s">
        <v>1501</v>
      </c>
    </row>
    <row r="2785" spans="1:9" x14ac:dyDescent="0.3">
      <c r="A2785" t="str">
        <f>"71191321"</f>
        <v>71191321</v>
      </c>
      <c r="B2785" t="s">
        <v>5655</v>
      </c>
      <c r="C2785" t="str">
        <f t="shared" si="196"/>
        <v>706</v>
      </c>
      <c r="D2785" t="s">
        <v>28</v>
      </c>
      <c r="E2785" t="s">
        <v>52</v>
      </c>
      <c r="F2785" t="s">
        <v>1078</v>
      </c>
      <c r="G2785" t="s">
        <v>5656</v>
      </c>
      <c r="H2785" t="str">
        <f t="shared" si="197"/>
        <v>01700</v>
      </c>
      <c r="I2785" t="s">
        <v>1501</v>
      </c>
    </row>
    <row r="2786" spans="1:9" x14ac:dyDescent="0.3">
      <c r="A2786" t="str">
        <f>"46998047"</f>
        <v>46998047</v>
      </c>
      <c r="B2786" t="s">
        <v>5657</v>
      </c>
      <c r="C2786" t="str">
        <f t="shared" si="196"/>
        <v>706</v>
      </c>
      <c r="D2786" t="s">
        <v>28</v>
      </c>
      <c r="E2786" t="s">
        <v>83</v>
      </c>
      <c r="F2786" t="s">
        <v>285</v>
      </c>
      <c r="G2786" t="s">
        <v>1154</v>
      </c>
      <c r="H2786" t="str">
        <f t="shared" si="197"/>
        <v>01700</v>
      </c>
      <c r="I2786" t="s">
        <v>1501</v>
      </c>
    </row>
    <row r="2787" spans="1:9" x14ac:dyDescent="0.3">
      <c r="A2787" t="str">
        <f>"48739553"</f>
        <v>48739553</v>
      </c>
      <c r="B2787" t="s">
        <v>5658</v>
      </c>
      <c r="C2787" t="str">
        <f t="shared" si="196"/>
        <v>706</v>
      </c>
      <c r="D2787" t="s">
        <v>28</v>
      </c>
      <c r="E2787" t="s">
        <v>29</v>
      </c>
      <c r="F2787" t="s">
        <v>1874</v>
      </c>
      <c r="G2787" t="s">
        <v>5659</v>
      </c>
      <c r="H2787" t="str">
        <f t="shared" si="197"/>
        <v>01700</v>
      </c>
      <c r="I2787" t="s">
        <v>1501</v>
      </c>
    </row>
    <row r="2788" spans="1:9" x14ac:dyDescent="0.3">
      <c r="A2788" t="str">
        <f>"67029400"</f>
        <v>67029400</v>
      </c>
      <c r="B2788" t="s">
        <v>5660</v>
      </c>
      <c r="C2788" t="str">
        <f t="shared" si="196"/>
        <v>706</v>
      </c>
      <c r="D2788" t="s">
        <v>28</v>
      </c>
      <c r="E2788" t="s">
        <v>52</v>
      </c>
      <c r="F2788" t="s">
        <v>178</v>
      </c>
      <c r="G2788" t="s">
        <v>5661</v>
      </c>
      <c r="H2788" t="str">
        <f t="shared" si="197"/>
        <v>01700</v>
      </c>
      <c r="I2788" t="s">
        <v>1501</v>
      </c>
    </row>
    <row r="2789" spans="1:9" x14ac:dyDescent="0.3">
      <c r="A2789" t="str">
        <f>"46311262"</f>
        <v>46311262</v>
      </c>
      <c r="B2789" t="s">
        <v>5662</v>
      </c>
      <c r="C2789" t="str">
        <f t="shared" si="196"/>
        <v>706</v>
      </c>
      <c r="D2789" t="s">
        <v>28</v>
      </c>
      <c r="E2789" t="s">
        <v>23</v>
      </c>
      <c r="F2789" t="s">
        <v>2883</v>
      </c>
      <c r="G2789" t="s">
        <v>5663</v>
      </c>
      <c r="H2789" t="str">
        <f t="shared" si="197"/>
        <v>01700</v>
      </c>
      <c r="I2789" t="s">
        <v>1501</v>
      </c>
    </row>
    <row r="2790" spans="1:9" x14ac:dyDescent="0.3">
      <c r="A2790" t="str">
        <f>"47933704"</f>
        <v>47933704</v>
      </c>
      <c r="B2790" t="s">
        <v>5664</v>
      </c>
      <c r="C2790" t="str">
        <f t="shared" ref="C2790:C2826" si="198">"706"</f>
        <v>706</v>
      </c>
      <c r="D2790" t="s">
        <v>28</v>
      </c>
      <c r="E2790" t="s">
        <v>83</v>
      </c>
      <c r="F2790" t="s">
        <v>453</v>
      </c>
      <c r="G2790" t="s">
        <v>5665</v>
      </c>
      <c r="H2790" t="str">
        <f t="shared" si="197"/>
        <v>01700</v>
      </c>
      <c r="I2790" t="s">
        <v>1501</v>
      </c>
    </row>
    <row r="2791" spans="1:9" x14ac:dyDescent="0.3">
      <c r="A2791" t="str">
        <f>"64438554"</f>
        <v>64438554</v>
      </c>
      <c r="B2791" t="s">
        <v>5666</v>
      </c>
      <c r="C2791" t="str">
        <f t="shared" si="198"/>
        <v>706</v>
      </c>
      <c r="D2791" t="s">
        <v>28</v>
      </c>
      <c r="E2791" t="s">
        <v>23</v>
      </c>
      <c r="F2791" t="s">
        <v>1917</v>
      </c>
      <c r="G2791" t="s">
        <v>5667</v>
      </c>
      <c r="H2791" t="str">
        <f t="shared" si="197"/>
        <v>01700</v>
      </c>
      <c r="I2791" t="s">
        <v>1501</v>
      </c>
    </row>
    <row r="2792" spans="1:9" x14ac:dyDescent="0.3">
      <c r="A2792" t="str">
        <f>"02335573"</f>
        <v>02335573</v>
      </c>
      <c r="B2792" t="s">
        <v>5668</v>
      </c>
      <c r="C2792" t="str">
        <f t="shared" si="198"/>
        <v>706</v>
      </c>
      <c r="D2792" t="s">
        <v>28</v>
      </c>
      <c r="E2792" t="s">
        <v>29</v>
      </c>
      <c r="F2792" t="s">
        <v>1791</v>
      </c>
      <c r="G2792" t="s">
        <v>1792</v>
      </c>
      <c r="H2792" t="str">
        <f t="shared" ref="H2792:H2821" si="199">"01700"</f>
        <v>01700</v>
      </c>
      <c r="I2792" t="s">
        <v>1501</v>
      </c>
    </row>
    <row r="2793" spans="1:9" x14ac:dyDescent="0.3">
      <c r="A2793" t="str">
        <f>"61716090"</f>
        <v>61716090</v>
      </c>
      <c r="B2793" t="s">
        <v>5669</v>
      </c>
      <c r="C2793" t="str">
        <f t="shared" si="198"/>
        <v>706</v>
      </c>
      <c r="D2793" t="s">
        <v>28</v>
      </c>
      <c r="E2793" t="s">
        <v>23</v>
      </c>
      <c r="F2793" t="s">
        <v>107</v>
      </c>
      <c r="G2793" t="s">
        <v>5670</v>
      </c>
      <c r="H2793" t="str">
        <f t="shared" si="199"/>
        <v>01700</v>
      </c>
      <c r="I2793" t="s">
        <v>1501</v>
      </c>
    </row>
    <row r="2794" spans="1:9" x14ac:dyDescent="0.3">
      <c r="A2794" t="str">
        <f>"62181424"</f>
        <v>62181424</v>
      </c>
      <c r="B2794" t="s">
        <v>5671</v>
      </c>
      <c r="C2794" t="str">
        <f t="shared" si="198"/>
        <v>706</v>
      </c>
      <c r="D2794" t="s">
        <v>28</v>
      </c>
      <c r="E2794" t="s">
        <v>23</v>
      </c>
      <c r="F2794" t="s">
        <v>1935</v>
      </c>
      <c r="G2794" t="s">
        <v>5672</v>
      </c>
      <c r="H2794" t="str">
        <f t="shared" si="199"/>
        <v>01700</v>
      </c>
      <c r="I2794" t="s">
        <v>1501</v>
      </c>
    </row>
    <row r="2795" spans="1:9" x14ac:dyDescent="0.3">
      <c r="A2795" t="str">
        <f>"48472557"</f>
        <v>48472557</v>
      </c>
      <c r="B2795" t="s">
        <v>5673</v>
      </c>
      <c r="C2795" t="str">
        <f t="shared" si="198"/>
        <v>706</v>
      </c>
      <c r="D2795" t="s">
        <v>28</v>
      </c>
      <c r="E2795" t="s">
        <v>23</v>
      </c>
      <c r="F2795" t="s">
        <v>23</v>
      </c>
      <c r="G2795" t="s">
        <v>5674</v>
      </c>
      <c r="H2795" t="str">
        <f t="shared" si="199"/>
        <v>01700</v>
      </c>
      <c r="I2795" t="s">
        <v>1501</v>
      </c>
    </row>
    <row r="2796" spans="1:9" x14ac:dyDescent="0.3">
      <c r="A2796" t="str">
        <f>"71243968"</f>
        <v>71243968</v>
      </c>
      <c r="B2796" t="s">
        <v>5675</v>
      </c>
      <c r="C2796" t="str">
        <f t="shared" si="198"/>
        <v>706</v>
      </c>
      <c r="D2796" t="s">
        <v>28</v>
      </c>
      <c r="E2796" t="s">
        <v>29</v>
      </c>
      <c r="F2796" t="s">
        <v>718</v>
      </c>
      <c r="G2796" t="s">
        <v>5676</v>
      </c>
      <c r="H2796" t="str">
        <f t="shared" si="199"/>
        <v>01700</v>
      </c>
      <c r="I2796" t="s">
        <v>1501</v>
      </c>
    </row>
    <row r="2797" spans="1:9" x14ac:dyDescent="0.3">
      <c r="A2797" t="str">
        <f>"62181661"</f>
        <v>62181661</v>
      </c>
      <c r="B2797" t="s">
        <v>5677</v>
      </c>
      <c r="C2797" t="str">
        <f t="shared" si="198"/>
        <v>706</v>
      </c>
      <c r="D2797" t="s">
        <v>28</v>
      </c>
      <c r="E2797" t="s">
        <v>23</v>
      </c>
      <c r="F2797" t="s">
        <v>1697</v>
      </c>
      <c r="G2797" t="s">
        <v>5678</v>
      </c>
      <c r="H2797" t="str">
        <f t="shared" si="199"/>
        <v>01700</v>
      </c>
      <c r="I2797" t="s">
        <v>1501</v>
      </c>
    </row>
    <row r="2798" spans="1:9" x14ac:dyDescent="0.3">
      <c r="A2798" t="str">
        <f>"47863471"</f>
        <v>47863471</v>
      </c>
      <c r="B2798" t="s">
        <v>5679</v>
      </c>
      <c r="C2798" t="str">
        <f t="shared" si="198"/>
        <v>706</v>
      </c>
      <c r="D2798" t="s">
        <v>28</v>
      </c>
      <c r="E2798" t="s">
        <v>29</v>
      </c>
      <c r="F2798" t="s">
        <v>195</v>
      </c>
      <c r="G2798" t="s">
        <v>5680</v>
      </c>
      <c r="H2798" t="str">
        <f t="shared" si="199"/>
        <v>01700</v>
      </c>
      <c r="I2798" t="s">
        <v>1501</v>
      </c>
    </row>
    <row r="2799" spans="1:9" x14ac:dyDescent="0.3">
      <c r="A2799" t="str">
        <f>"47863544"</f>
        <v>47863544</v>
      </c>
      <c r="B2799" t="s">
        <v>5681</v>
      </c>
      <c r="C2799" t="str">
        <f t="shared" si="198"/>
        <v>706</v>
      </c>
      <c r="D2799" t="s">
        <v>28</v>
      </c>
      <c r="E2799" t="s">
        <v>29</v>
      </c>
      <c r="F2799" t="s">
        <v>1590</v>
      </c>
      <c r="G2799" t="s">
        <v>1591</v>
      </c>
      <c r="H2799" t="str">
        <f t="shared" si="199"/>
        <v>01700</v>
      </c>
      <c r="I2799" t="s">
        <v>1501</v>
      </c>
    </row>
    <row r="2800" spans="1:9" x14ac:dyDescent="0.3">
      <c r="A2800" t="str">
        <f>"48472654"</f>
        <v>48472654</v>
      </c>
      <c r="B2800" t="s">
        <v>5682</v>
      </c>
      <c r="C2800" t="str">
        <f t="shared" si="198"/>
        <v>706</v>
      </c>
      <c r="D2800" t="s">
        <v>28</v>
      </c>
      <c r="E2800" t="s">
        <v>23</v>
      </c>
      <c r="F2800" t="s">
        <v>1492</v>
      </c>
      <c r="G2800" t="s">
        <v>5683</v>
      </c>
      <c r="H2800" t="str">
        <f t="shared" si="199"/>
        <v>01700</v>
      </c>
      <c r="I2800" t="s">
        <v>1501</v>
      </c>
    </row>
    <row r="2801" spans="1:14" x14ac:dyDescent="0.3">
      <c r="A2801" t="str">
        <f>"47930608"</f>
        <v>47930608</v>
      </c>
      <c r="B2801" t="s">
        <v>5684</v>
      </c>
      <c r="C2801" t="str">
        <f t="shared" si="198"/>
        <v>706</v>
      </c>
      <c r="D2801" t="s">
        <v>28</v>
      </c>
      <c r="E2801" t="s">
        <v>83</v>
      </c>
      <c r="F2801" t="s">
        <v>4976</v>
      </c>
      <c r="G2801" t="s">
        <v>5685</v>
      </c>
      <c r="H2801" t="str">
        <f t="shared" si="199"/>
        <v>01700</v>
      </c>
      <c r="I2801" t="s">
        <v>1501</v>
      </c>
    </row>
    <row r="2802" spans="1:14" x14ac:dyDescent="0.3">
      <c r="A2802" t="str">
        <f>"46277471"</f>
        <v>46277471</v>
      </c>
      <c r="B2802" t="s">
        <v>5686</v>
      </c>
      <c r="C2802" t="str">
        <f t="shared" si="198"/>
        <v>706</v>
      </c>
      <c r="D2802" t="s">
        <v>28</v>
      </c>
      <c r="E2802" t="s">
        <v>23</v>
      </c>
      <c r="F2802" t="s">
        <v>68</v>
      </c>
      <c r="G2802" t="s">
        <v>5687</v>
      </c>
      <c r="H2802" t="str">
        <f t="shared" si="199"/>
        <v>01700</v>
      </c>
      <c r="I2802" t="s">
        <v>1501</v>
      </c>
    </row>
    <row r="2803" spans="1:14" x14ac:dyDescent="0.3">
      <c r="A2803" t="str">
        <f>"06081801"</f>
        <v>06081801</v>
      </c>
      <c r="B2803" t="s">
        <v>5688</v>
      </c>
      <c r="C2803" t="str">
        <f t="shared" si="198"/>
        <v>706</v>
      </c>
      <c r="D2803" t="s">
        <v>28</v>
      </c>
      <c r="E2803" t="s">
        <v>29</v>
      </c>
      <c r="F2803" t="s">
        <v>670</v>
      </c>
      <c r="G2803" t="s">
        <v>5689</v>
      </c>
      <c r="H2803" t="str">
        <f t="shared" si="199"/>
        <v>01700</v>
      </c>
      <c r="I2803" t="s">
        <v>1501</v>
      </c>
      <c r="J2803" t="s">
        <v>2350</v>
      </c>
      <c r="K2803" t="s">
        <v>3238</v>
      </c>
    </row>
    <row r="2804" spans="1:14" x14ac:dyDescent="0.3">
      <c r="A2804" t="str">
        <f>"45659486"</f>
        <v>45659486</v>
      </c>
      <c r="B2804" t="s">
        <v>5690</v>
      </c>
      <c r="C2804" t="str">
        <f t="shared" si="198"/>
        <v>706</v>
      </c>
      <c r="D2804" t="s">
        <v>28</v>
      </c>
      <c r="E2804" t="s">
        <v>52</v>
      </c>
      <c r="F2804" t="s">
        <v>2736</v>
      </c>
      <c r="G2804" t="s">
        <v>5691</v>
      </c>
      <c r="H2804" t="str">
        <f t="shared" si="199"/>
        <v>01700</v>
      </c>
      <c r="I2804" t="s">
        <v>1501</v>
      </c>
    </row>
    <row r="2805" spans="1:14" x14ac:dyDescent="0.3">
      <c r="A2805" t="str">
        <f>"70911860"</f>
        <v>70911860</v>
      </c>
      <c r="B2805" t="s">
        <v>5692</v>
      </c>
      <c r="C2805" t="str">
        <f t="shared" si="198"/>
        <v>706</v>
      </c>
      <c r="D2805" t="s">
        <v>28</v>
      </c>
      <c r="E2805" t="s">
        <v>52</v>
      </c>
      <c r="F2805" t="s">
        <v>1440</v>
      </c>
      <c r="G2805" t="s">
        <v>1441</v>
      </c>
      <c r="H2805" t="str">
        <f t="shared" si="199"/>
        <v>01700</v>
      </c>
      <c r="I2805" t="s">
        <v>1501</v>
      </c>
    </row>
    <row r="2806" spans="1:14" x14ac:dyDescent="0.3">
      <c r="A2806" t="str">
        <f>"47935171"</f>
        <v>47935171</v>
      </c>
      <c r="B2806" t="s">
        <v>5693</v>
      </c>
      <c r="C2806" t="str">
        <f t="shared" si="198"/>
        <v>706</v>
      </c>
      <c r="D2806" t="s">
        <v>28</v>
      </c>
      <c r="E2806" t="s">
        <v>83</v>
      </c>
      <c r="F2806" t="s">
        <v>873</v>
      </c>
      <c r="G2806" t="s">
        <v>4100</v>
      </c>
      <c r="H2806" t="str">
        <f t="shared" si="199"/>
        <v>01700</v>
      </c>
      <c r="I2806" t="s">
        <v>1501</v>
      </c>
    </row>
    <row r="2807" spans="1:14" x14ac:dyDescent="0.3">
      <c r="A2807" t="str">
        <f>"48472964"</f>
        <v>48472964</v>
      </c>
      <c r="B2807" t="s">
        <v>5694</v>
      </c>
      <c r="C2807" t="str">
        <f t="shared" si="198"/>
        <v>706</v>
      </c>
      <c r="D2807" t="s">
        <v>28</v>
      </c>
      <c r="E2807" t="s">
        <v>23</v>
      </c>
      <c r="F2807" t="s">
        <v>1657</v>
      </c>
      <c r="G2807" t="s">
        <v>5695</v>
      </c>
      <c r="H2807" t="str">
        <f t="shared" si="199"/>
        <v>01700</v>
      </c>
      <c r="I2807" t="s">
        <v>1501</v>
      </c>
    </row>
    <row r="2808" spans="1:14" x14ac:dyDescent="0.3">
      <c r="A2808" t="str">
        <f>"26616131"</f>
        <v>26616131</v>
      </c>
      <c r="B2808" t="s">
        <v>5696</v>
      </c>
      <c r="C2808" t="str">
        <f t="shared" si="198"/>
        <v>706</v>
      </c>
      <c r="D2808" t="s">
        <v>28</v>
      </c>
      <c r="E2808" t="s">
        <v>29</v>
      </c>
      <c r="F2808" t="s">
        <v>29</v>
      </c>
      <c r="G2808" t="s">
        <v>5697</v>
      </c>
      <c r="H2808" t="str">
        <f t="shared" si="199"/>
        <v>01700</v>
      </c>
      <c r="I2808" t="s">
        <v>1501</v>
      </c>
    </row>
    <row r="2809" spans="1:14" x14ac:dyDescent="0.3">
      <c r="A2809" t="str">
        <f>"48739634"</f>
        <v>48739634</v>
      </c>
      <c r="B2809" t="s">
        <v>5698</v>
      </c>
      <c r="C2809" t="str">
        <f t="shared" si="198"/>
        <v>706</v>
      </c>
      <c r="D2809" t="s">
        <v>28</v>
      </c>
      <c r="E2809" t="s">
        <v>29</v>
      </c>
      <c r="F2809" t="s">
        <v>29</v>
      </c>
      <c r="G2809" t="s">
        <v>5699</v>
      </c>
      <c r="H2809" t="str">
        <f t="shared" si="199"/>
        <v>01700</v>
      </c>
      <c r="I2809" t="s">
        <v>1501</v>
      </c>
    </row>
    <row r="2810" spans="1:14" x14ac:dyDescent="0.3">
      <c r="A2810" t="str">
        <f>"48739391"</f>
        <v>48739391</v>
      </c>
      <c r="B2810" t="s">
        <v>5700</v>
      </c>
      <c r="C2810" t="str">
        <f t="shared" si="198"/>
        <v>706</v>
      </c>
      <c r="D2810" t="s">
        <v>28</v>
      </c>
      <c r="E2810" t="s">
        <v>29</v>
      </c>
      <c r="F2810" t="s">
        <v>29</v>
      </c>
      <c r="G2810" t="s">
        <v>5701</v>
      </c>
      <c r="H2810" t="str">
        <f t="shared" si="199"/>
        <v>01700</v>
      </c>
      <c r="I2810" t="s">
        <v>1501</v>
      </c>
    </row>
    <row r="2811" spans="1:14" x14ac:dyDescent="0.3">
      <c r="A2811" t="str">
        <f>"46307290"</f>
        <v>46307290</v>
      </c>
      <c r="B2811" t="s">
        <v>5702</v>
      </c>
      <c r="C2811" t="str">
        <f t="shared" si="198"/>
        <v>706</v>
      </c>
      <c r="D2811" t="s">
        <v>28</v>
      </c>
      <c r="E2811" t="s">
        <v>23</v>
      </c>
      <c r="F2811" t="s">
        <v>710</v>
      </c>
      <c r="G2811" t="s">
        <v>5703</v>
      </c>
      <c r="H2811" t="str">
        <f t="shared" si="199"/>
        <v>01700</v>
      </c>
      <c r="I2811" t="s">
        <v>1501</v>
      </c>
      <c r="J2811" t="s">
        <v>2350</v>
      </c>
      <c r="K2811" t="s">
        <v>161</v>
      </c>
      <c r="L2811" t="s">
        <v>209</v>
      </c>
      <c r="M2811" t="s">
        <v>163</v>
      </c>
      <c r="N2811" t="s">
        <v>59</v>
      </c>
    </row>
    <row r="2812" spans="1:14" x14ac:dyDescent="0.3">
      <c r="A2812" t="str">
        <f>"48472905"</f>
        <v>48472905</v>
      </c>
      <c r="B2812" t="s">
        <v>5704</v>
      </c>
      <c r="C2812" t="str">
        <f t="shared" si="198"/>
        <v>706</v>
      </c>
      <c r="D2812" t="s">
        <v>28</v>
      </c>
      <c r="E2812" t="s">
        <v>23</v>
      </c>
      <c r="F2812" t="s">
        <v>107</v>
      </c>
      <c r="G2812" t="s">
        <v>5670</v>
      </c>
      <c r="H2812" t="str">
        <f t="shared" si="199"/>
        <v>01700</v>
      </c>
      <c r="I2812" t="s">
        <v>1501</v>
      </c>
    </row>
    <row r="2813" spans="1:14" x14ac:dyDescent="0.3">
      <c r="A2813" t="str">
        <f>"46277439"</f>
        <v>46277439</v>
      </c>
      <c r="B2813" t="s">
        <v>5705</v>
      </c>
      <c r="C2813" t="str">
        <f t="shared" si="198"/>
        <v>706</v>
      </c>
      <c r="D2813" t="s">
        <v>28</v>
      </c>
      <c r="E2813" t="s">
        <v>23</v>
      </c>
      <c r="F2813" t="s">
        <v>87</v>
      </c>
      <c r="G2813" t="s">
        <v>5706</v>
      </c>
      <c r="H2813" t="str">
        <f t="shared" si="199"/>
        <v>01700</v>
      </c>
      <c r="I2813" t="s">
        <v>1501</v>
      </c>
    </row>
    <row r="2814" spans="1:14" x14ac:dyDescent="0.3">
      <c r="A2814" t="str">
        <f>"01826107"</f>
        <v>01826107</v>
      </c>
      <c r="B2814" t="s">
        <v>5707</v>
      </c>
      <c r="C2814" t="str">
        <f t="shared" si="198"/>
        <v>706</v>
      </c>
      <c r="D2814" t="s">
        <v>28</v>
      </c>
      <c r="E2814" t="s">
        <v>23</v>
      </c>
      <c r="F2814" t="s">
        <v>2318</v>
      </c>
      <c r="G2814" t="s">
        <v>3407</v>
      </c>
      <c r="H2814" t="str">
        <f t="shared" si="199"/>
        <v>01700</v>
      </c>
      <c r="I2814" t="s">
        <v>1501</v>
      </c>
    </row>
    <row r="2815" spans="1:14" x14ac:dyDescent="0.3">
      <c r="A2815" t="str">
        <f>"62831615"</f>
        <v>62831615</v>
      </c>
      <c r="B2815" t="s">
        <v>5708</v>
      </c>
      <c r="C2815" t="str">
        <f t="shared" si="198"/>
        <v>706</v>
      </c>
      <c r="D2815" t="s">
        <v>28</v>
      </c>
      <c r="E2815" t="s">
        <v>52</v>
      </c>
      <c r="F2815" t="s">
        <v>3423</v>
      </c>
      <c r="G2815" t="s">
        <v>5709</v>
      </c>
      <c r="H2815" t="str">
        <f t="shared" si="199"/>
        <v>01700</v>
      </c>
      <c r="I2815" t="s">
        <v>1501</v>
      </c>
    </row>
    <row r="2816" spans="1:14" x14ac:dyDescent="0.3">
      <c r="A2816" t="str">
        <f>"47930373"</f>
        <v>47930373</v>
      </c>
      <c r="B2816" t="s">
        <v>5710</v>
      </c>
      <c r="C2816" t="str">
        <f t="shared" si="198"/>
        <v>706</v>
      </c>
      <c r="D2816" t="s">
        <v>28</v>
      </c>
      <c r="E2816" t="s">
        <v>83</v>
      </c>
      <c r="F2816" t="s">
        <v>5711</v>
      </c>
      <c r="G2816" t="s">
        <v>5712</v>
      </c>
      <c r="H2816" t="str">
        <f t="shared" si="199"/>
        <v>01700</v>
      </c>
      <c r="I2816" t="s">
        <v>1501</v>
      </c>
    </row>
    <row r="2817" spans="1:14" x14ac:dyDescent="0.3">
      <c r="A2817" t="str">
        <f>"75023687"</f>
        <v>75023687</v>
      </c>
      <c r="B2817" t="s">
        <v>5713</v>
      </c>
      <c r="C2817" t="str">
        <f t="shared" si="198"/>
        <v>706</v>
      </c>
      <c r="D2817" t="s">
        <v>28</v>
      </c>
      <c r="E2817" t="s">
        <v>83</v>
      </c>
      <c r="F2817" t="s">
        <v>1635</v>
      </c>
      <c r="G2817" t="s">
        <v>5714</v>
      </c>
      <c r="H2817" t="str">
        <f t="shared" si="199"/>
        <v>01700</v>
      </c>
      <c r="I2817" t="s">
        <v>1501</v>
      </c>
    </row>
    <row r="2818" spans="1:14" x14ac:dyDescent="0.3">
      <c r="A2818" t="str">
        <f>"75091461"</f>
        <v>75091461</v>
      </c>
      <c r="B2818" t="s">
        <v>5715</v>
      </c>
      <c r="C2818" t="str">
        <f t="shared" si="198"/>
        <v>706</v>
      </c>
      <c r="D2818" t="s">
        <v>28</v>
      </c>
      <c r="E2818" t="s">
        <v>29</v>
      </c>
      <c r="F2818" t="s">
        <v>544</v>
      </c>
      <c r="G2818" t="s">
        <v>5716</v>
      </c>
      <c r="H2818" t="str">
        <f t="shared" si="199"/>
        <v>01700</v>
      </c>
      <c r="I2818" t="s">
        <v>1501</v>
      </c>
    </row>
    <row r="2819" spans="1:14" x14ac:dyDescent="0.3">
      <c r="A2819" t="str">
        <f>"47933739"</f>
        <v>47933739</v>
      </c>
      <c r="B2819" t="s">
        <v>5717</v>
      </c>
      <c r="C2819" t="str">
        <f t="shared" si="198"/>
        <v>706</v>
      </c>
      <c r="D2819" t="s">
        <v>28</v>
      </c>
      <c r="E2819" t="s">
        <v>83</v>
      </c>
      <c r="F2819" t="s">
        <v>5718</v>
      </c>
      <c r="G2819" t="s">
        <v>5719</v>
      </c>
      <c r="H2819" t="str">
        <f t="shared" si="199"/>
        <v>01700</v>
      </c>
      <c r="I2819" t="s">
        <v>1501</v>
      </c>
    </row>
    <row r="2820" spans="1:14" x14ac:dyDescent="0.3">
      <c r="A2820" t="str">
        <f>"75138484"</f>
        <v>75138484</v>
      </c>
      <c r="B2820" t="s">
        <v>5720</v>
      </c>
      <c r="C2820" t="str">
        <f t="shared" si="198"/>
        <v>706</v>
      </c>
      <c r="D2820" t="s">
        <v>28</v>
      </c>
      <c r="E2820" t="s">
        <v>23</v>
      </c>
      <c r="F2820" t="s">
        <v>1492</v>
      </c>
      <c r="G2820" t="s">
        <v>2200</v>
      </c>
      <c r="H2820" t="str">
        <f t="shared" si="199"/>
        <v>01700</v>
      </c>
      <c r="I2820" t="s">
        <v>1501</v>
      </c>
    </row>
    <row r="2821" spans="1:14" x14ac:dyDescent="0.3">
      <c r="A2821" t="str">
        <f>"48491357"</f>
        <v>48491357</v>
      </c>
      <c r="B2821" t="s">
        <v>5721</v>
      </c>
      <c r="C2821" t="str">
        <f t="shared" si="198"/>
        <v>706</v>
      </c>
      <c r="D2821" t="s">
        <v>28</v>
      </c>
      <c r="E2821" t="s">
        <v>52</v>
      </c>
      <c r="F2821" t="s">
        <v>2626</v>
      </c>
      <c r="G2821" t="s">
        <v>5722</v>
      </c>
      <c r="H2821" t="str">
        <f t="shared" si="199"/>
        <v>01700</v>
      </c>
      <c r="I2821" t="s">
        <v>1501</v>
      </c>
      <c r="J2821" t="s">
        <v>259</v>
      </c>
      <c r="K2821" t="s">
        <v>147</v>
      </c>
      <c r="L2821" t="s">
        <v>161</v>
      </c>
      <c r="M2821" t="s">
        <v>163</v>
      </c>
      <c r="N2821" t="s">
        <v>209</v>
      </c>
    </row>
    <row r="2822" spans="1:14" x14ac:dyDescent="0.3">
      <c r="A2822" t="str">
        <f>"05189411"</f>
        <v>05189411</v>
      </c>
      <c r="B2822" t="s">
        <v>5723</v>
      </c>
      <c r="C2822" t="str">
        <f t="shared" si="198"/>
        <v>706</v>
      </c>
      <c r="D2822" t="s">
        <v>28</v>
      </c>
      <c r="E2822" t="s">
        <v>23</v>
      </c>
      <c r="F2822" t="s">
        <v>2429</v>
      </c>
      <c r="G2822" t="s">
        <v>5724</v>
      </c>
      <c r="H2822" t="str">
        <f>"94995"</f>
        <v>94995</v>
      </c>
      <c r="I2822" t="s">
        <v>232</v>
      </c>
    </row>
    <row r="2823" spans="1:14" x14ac:dyDescent="0.3">
      <c r="A2823" t="str">
        <f>"26523612"</f>
        <v>26523612</v>
      </c>
      <c r="B2823" t="s">
        <v>5725</v>
      </c>
      <c r="C2823" t="str">
        <f t="shared" si="198"/>
        <v>706</v>
      </c>
      <c r="D2823" t="s">
        <v>28</v>
      </c>
      <c r="E2823" t="s">
        <v>52</v>
      </c>
      <c r="F2823" t="s">
        <v>612</v>
      </c>
      <c r="G2823" t="s">
        <v>5726</v>
      </c>
      <c r="H2823" t="str">
        <f>"9499"</f>
        <v>9499</v>
      </c>
      <c r="I2823" t="s">
        <v>31</v>
      </c>
    </row>
    <row r="2824" spans="1:14" x14ac:dyDescent="0.3">
      <c r="A2824" t="str">
        <f>"21486883"</f>
        <v>21486883</v>
      </c>
      <c r="B2824" t="s">
        <v>5727</v>
      </c>
      <c r="C2824" t="str">
        <f t="shared" si="198"/>
        <v>706</v>
      </c>
      <c r="D2824" t="s">
        <v>28</v>
      </c>
      <c r="E2824" t="s">
        <v>52</v>
      </c>
      <c r="F2824" t="s">
        <v>52</v>
      </c>
      <c r="G2824" t="s">
        <v>5728</v>
      </c>
      <c r="H2824" t="str">
        <f>"9499"</f>
        <v>9499</v>
      </c>
      <c r="I2824" t="s">
        <v>31</v>
      </c>
    </row>
    <row r="2825" spans="1:14" x14ac:dyDescent="0.3">
      <c r="A2825" t="str">
        <f>"06229417"</f>
        <v>06229417</v>
      </c>
      <c r="B2825" t="s">
        <v>5729</v>
      </c>
      <c r="C2825" t="str">
        <f t="shared" si="198"/>
        <v>706</v>
      </c>
      <c r="D2825" t="s">
        <v>28</v>
      </c>
      <c r="E2825" t="s">
        <v>23</v>
      </c>
      <c r="F2825" t="s">
        <v>23</v>
      </c>
      <c r="G2825" t="s">
        <v>5730</v>
      </c>
      <c r="H2825" t="str">
        <f>"9499"</f>
        <v>9499</v>
      </c>
      <c r="I2825" t="s">
        <v>31</v>
      </c>
    </row>
    <row r="2826" spans="1:14" x14ac:dyDescent="0.3">
      <c r="A2826" t="str">
        <f>"70640548"</f>
        <v>70640548</v>
      </c>
      <c r="B2826" t="s">
        <v>5731</v>
      </c>
      <c r="C2826" t="str">
        <f t="shared" si="198"/>
        <v>706</v>
      </c>
      <c r="D2826" t="s">
        <v>28</v>
      </c>
      <c r="E2826" t="s">
        <v>29</v>
      </c>
      <c r="F2826" t="s">
        <v>29</v>
      </c>
      <c r="G2826" t="s">
        <v>5732</v>
      </c>
      <c r="H2826" t="str">
        <f>"94991"</f>
        <v>94991</v>
      </c>
      <c r="I2826" t="s">
        <v>433</v>
      </c>
    </row>
    <row r="2827" spans="1:14" x14ac:dyDescent="0.3">
      <c r="A2827" t="str">
        <f>"02443813"</f>
        <v>02443813</v>
      </c>
      <c r="B2827" t="s">
        <v>5733</v>
      </c>
      <c r="C2827" t="str">
        <f>"141"</f>
        <v>141</v>
      </c>
      <c r="D2827" t="s">
        <v>112</v>
      </c>
      <c r="E2827" t="s">
        <v>23</v>
      </c>
      <c r="F2827" t="s">
        <v>23</v>
      </c>
      <c r="G2827" t="s">
        <v>5734</v>
      </c>
      <c r="H2827" t="str">
        <f>"8899"</f>
        <v>8899</v>
      </c>
      <c r="I2827" t="s">
        <v>40</v>
      </c>
      <c r="J2827" t="s">
        <v>146</v>
      </c>
    </row>
    <row r="2828" spans="1:14" x14ac:dyDescent="0.3">
      <c r="A2828" t="str">
        <f>"70856958"</f>
        <v>70856958</v>
      </c>
      <c r="B2828" t="s">
        <v>5735</v>
      </c>
      <c r="C2828" t="str">
        <f t="shared" ref="C2828:C2836" si="200">"706"</f>
        <v>706</v>
      </c>
      <c r="D2828" t="s">
        <v>28</v>
      </c>
      <c r="E2828" t="s">
        <v>23</v>
      </c>
      <c r="F2828" t="s">
        <v>23</v>
      </c>
      <c r="G2828" t="s">
        <v>5736</v>
      </c>
      <c r="H2828" t="str">
        <f>"9499"</f>
        <v>9499</v>
      </c>
      <c r="I2828" t="s">
        <v>31</v>
      </c>
    </row>
    <row r="2829" spans="1:14" x14ac:dyDescent="0.3">
      <c r="A2829" t="str">
        <f>"26569205"</f>
        <v>26569205</v>
      </c>
      <c r="B2829" t="s">
        <v>5737</v>
      </c>
      <c r="C2829" t="str">
        <f t="shared" si="200"/>
        <v>706</v>
      </c>
      <c r="D2829" t="s">
        <v>28</v>
      </c>
      <c r="E2829" t="s">
        <v>29</v>
      </c>
      <c r="F2829" t="s">
        <v>38</v>
      </c>
      <c r="G2829" t="s">
        <v>2877</v>
      </c>
      <c r="H2829" t="str">
        <f>"90030"</f>
        <v>90030</v>
      </c>
      <c r="I2829" t="s">
        <v>1252</v>
      </c>
    </row>
    <row r="2830" spans="1:14" x14ac:dyDescent="0.3">
      <c r="A2830" t="str">
        <f>"06511821"</f>
        <v>06511821</v>
      </c>
      <c r="B2830" t="s">
        <v>5738</v>
      </c>
      <c r="C2830" t="str">
        <f t="shared" si="200"/>
        <v>706</v>
      </c>
      <c r="D2830" t="s">
        <v>28</v>
      </c>
      <c r="E2830" t="s">
        <v>83</v>
      </c>
      <c r="F2830" t="s">
        <v>183</v>
      </c>
      <c r="G2830" t="s">
        <v>5739</v>
      </c>
      <c r="H2830" t="str">
        <f>"93190"</f>
        <v>93190</v>
      </c>
      <c r="I2830" t="s">
        <v>59</v>
      </c>
    </row>
    <row r="2831" spans="1:14" x14ac:dyDescent="0.3">
      <c r="A2831" t="str">
        <f>"22752986"</f>
        <v>22752986</v>
      </c>
      <c r="B2831" t="s">
        <v>5740</v>
      </c>
      <c r="C2831" t="str">
        <f t="shared" si="200"/>
        <v>706</v>
      </c>
      <c r="D2831" t="s">
        <v>28</v>
      </c>
      <c r="E2831" t="s">
        <v>29</v>
      </c>
      <c r="F2831" t="s">
        <v>38</v>
      </c>
      <c r="G2831" t="s">
        <v>5741</v>
      </c>
      <c r="H2831" t="str">
        <f t="shared" ref="H2831:H2836" si="201">"9499"</f>
        <v>9499</v>
      </c>
      <c r="I2831" t="s">
        <v>31</v>
      </c>
    </row>
    <row r="2832" spans="1:14" x14ac:dyDescent="0.3">
      <c r="A2832" t="str">
        <f>"22887890"</f>
        <v>22887890</v>
      </c>
      <c r="B2832" t="s">
        <v>5742</v>
      </c>
      <c r="C2832" t="str">
        <f t="shared" si="200"/>
        <v>706</v>
      </c>
      <c r="D2832" t="s">
        <v>28</v>
      </c>
      <c r="E2832" t="s">
        <v>23</v>
      </c>
      <c r="F2832" t="s">
        <v>5743</v>
      </c>
      <c r="G2832" t="s">
        <v>5744</v>
      </c>
      <c r="H2832" t="str">
        <f t="shared" si="201"/>
        <v>9499</v>
      </c>
      <c r="I2832" t="s">
        <v>31</v>
      </c>
    </row>
    <row r="2833" spans="1:10" x14ac:dyDescent="0.3">
      <c r="A2833" t="str">
        <f>"22714421"</f>
        <v>22714421</v>
      </c>
      <c r="B2833" t="s">
        <v>5745</v>
      </c>
      <c r="C2833" t="str">
        <f t="shared" si="200"/>
        <v>706</v>
      </c>
      <c r="D2833" t="s">
        <v>28</v>
      </c>
      <c r="E2833" t="s">
        <v>23</v>
      </c>
      <c r="F2833" t="s">
        <v>23</v>
      </c>
      <c r="G2833" t="s">
        <v>4421</v>
      </c>
      <c r="H2833" t="str">
        <f t="shared" si="201"/>
        <v>9499</v>
      </c>
      <c r="I2833" t="s">
        <v>31</v>
      </c>
    </row>
    <row r="2834" spans="1:10" x14ac:dyDescent="0.3">
      <c r="A2834" t="str">
        <f>"19503105"</f>
        <v>19503105</v>
      </c>
      <c r="B2834" t="s">
        <v>5746</v>
      </c>
      <c r="C2834" t="str">
        <f t="shared" si="200"/>
        <v>706</v>
      </c>
      <c r="D2834" t="s">
        <v>28</v>
      </c>
      <c r="E2834" t="s">
        <v>52</v>
      </c>
      <c r="F2834" t="s">
        <v>960</v>
      </c>
      <c r="G2834" t="s">
        <v>5747</v>
      </c>
      <c r="H2834" t="str">
        <f t="shared" si="201"/>
        <v>9499</v>
      </c>
      <c r="I2834" t="s">
        <v>31</v>
      </c>
    </row>
    <row r="2835" spans="1:10" x14ac:dyDescent="0.3">
      <c r="A2835" t="str">
        <f>"27039609"</f>
        <v>27039609</v>
      </c>
      <c r="B2835" t="s">
        <v>5748</v>
      </c>
      <c r="C2835" t="str">
        <f t="shared" si="200"/>
        <v>706</v>
      </c>
      <c r="D2835" t="s">
        <v>28</v>
      </c>
      <c r="E2835" t="s">
        <v>23</v>
      </c>
      <c r="F2835" t="s">
        <v>23</v>
      </c>
      <c r="G2835" t="s">
        <v>5749</v>
      </c>
      <c r="H2835" t="str">
        <f t="shared" si="201"/>
        <v>9499</v>
      </c>
      <c r="I2835" t="s">
        <v>31</v>
      </c>
    </row>
    <row r="2836" spans="1:10" x14ac:dyDescent="0.3">
      <c r="A2836" t="str">
        <f>"19715544"</f>
        <v>19715544</v>
      </c>
      <c r="B2836" t="s">
        <v>5750</v>
      </c>
      <c r="C2836" t="str">
        <f t="shared" si="200"/>
        <v>706</v>
      </c>
      <c r="D2836" t="s">
        <v>28</v>
      </c>
      <c r="E2836" t="s">
        <v>23</v>
      </c>
      <c r="F2836" t="s">
        <v>23</v>
      </c>
      <c r="G2836" t="s">
        <v>3764</v>
      </c>
      <c r="H2836" t="str">
        <f t="shared" si="201"/>
        <v>9499</v>
      </c>
      <c r="I2836" t="s">
        <v>31</v>
      </c>
    </row>
    <row r="2837" spans="1:10" x14ac:dyDescent="0.3">
      <c r="A2837" t="str">
        <f>"05097401"</f>
        <v>05097401</v>
      </c>
      <c r="B2837" t="s">
        <v>5751</v>
      </c>
      <c r="C2837" t="str">
        <f>"161"</f>
        <v>161</v>
      </c>
      <c r="D2837" t="s">
        <v>152</v>
      </c>
      <c r="E2837" t="s">
        <v>29</v>
      </c>
      <c r="F2837" t="s">
        <v>29</v>
      </c>
      <c r="G2837" t="s">
        <v>5752</v>
      </c>
      <c r="H2837" t="str">
        <f>"87900"</f>
        <v>87900</v>
      </c>
      <c r="I2837" t="s">
        <v>1187</v>
      </c>
      <c r="J2837" t="s">
        <v>258</v>
      </c>
    </row>
    <row r="2838" spans="1:10" x14ac:dyDescent="0.3">
      <c r="A2838" t="str">
        <f>"63414601"</f>
        <v>63414601</v>
      </c>
      <c r="B2838" t="s">
        <v>5753</v>
      </c>
      <c r="C2838" t="str">
        <f t="shared" ref="C2838:C2843" si="202">"722"</f>
        <v>722</v>
      </c>
      <c r="D2838" t="s">
        <v>315</v>
      </c>
      <c r="E2838" t="s">
        <v>83</v>
      </c>
      <c r="F2838" t="s">
        <v>83</v>
      </c>
      <c r="G2838" t="s">
        <v>5754</v>
      </c>
      <c r="H2838" t="str">
        <f t="shared" ref="H2838:H2843" si="203">"94910"</f>
        <v>94910</v>
      </c>
      <c r="I2838" t="s">
        <v>316</v>
      </c>
    </row>
    <row r="2839" spans="1:10" x14ac:dyDescent="0.3">
      <c r="A2839" t="str">
        <f>"65763611"</f>
        <v>65763611</v>
      </c>
      <c r="B2839" t="s">
        <v>5755</v>
      </c>
      <c r="C2839" t="str">
        <f t="shared" si="202"/>
        <v>722</v>
      </c>
      <c r="D2839" t="s">
        <v>315</v>
      </c>
      <c r="E2839" t="s">
        <v>83</v>
      </c>
      <c r="F2839" t="s">
        <v>409</v>
      </c>
      <c r="G2839" t="s">
        <v>5756</v>
      </c>
      <c r="H2839" t="str">
        <f t="shared" si="203"/>
        <v>94910</v>
      </c>
      <c r="I2839" t="s">
        <v>316</v>
      </c>
    </row>
    <row r="2840" spans="1:10" x14ac:dyDescent="0.3">
      <c r="A2840" t="str">
        <f>"63414619"</f>
        <v>63414619</v>
      </c>
      <c r="B2840" t="s">
        <v>5757</v>
      </c>
      <c r="C2840" t="str">
        <f t="shared" si="202"/>
        <v>722</v>
      </c>
      <c r="D2840" t="s">
        <v>315</v>
      </c>
      <c r="E2840" t="s">
        <v>83</v>
      </c>
      <c r="F2840" t="s">
        <v>130</v>
      </c>
      <c r="G2840" t="s">
        <v>5758</v>
      </c>
      <c r="H2840" t="str">
        <f t="shared" si="203"/>
        <v>94910</v>
      </c>
      <c r="I2840" t="s">
        <v>316</v>
      </c>
    </row>
    <row r="2841" spans="1:10" x14ac:dyDescent="0.3">
      <c r="A2841" t="str">
        <f>"73631868"</f>
        <v>73631868</v>
      </c>
      <c r="B2841" t="s">
        <v>5759</v>
      </c>
      <c r="C2841" t="str">
        <f t="shared" si="202"/>
        <v>722</v>
      </c>
      <c r="D2841" t="s">
        <v>315</v>
      </c>
      <c r="E2841" t="s">
        <v>52</v>
      </c>
      <c r="F2841" t="s">
        <v>113</v>
      </c>
      <c r="G2841" t="s">
        <v>5760</v>
      </c>
      <c r="H2841" t="str">
        <f t="shared" si="203"/>
        <v>94910</v>
      </c>
      <c r="I2841" t="s">
        <v>316</v>
      </c>
    </row>
    <row r="2842" spans="1:10" x14ac:dyDescent="0.3">
      <c r="A2842" t="str">
        <f>"60575603"</f>
        <v>60575603</v>
      </c>
      <c r="B2842" t="s">
        <v>5761</v>
      </c>
      <c r="C2842" t="str">
        <f t="shared" si="202"/>
        <v>722</v>
      </c>
      <c r="D2842" t="s">
        <v>315</v>
      </c>
      <c r="E2842" t="s">
        <v>83</v>
      </c>
      <c r="F2842" t="s">
        <v>1635</v>
      </c>
      <c r="G2842" t="s">
        <v>5762</v>
      </c>
      <c r="H2842" t="str">
        <f t="shared" si="203"/>
        <v>94910</v>
      </c>
      <c r="I2842" t="s">
        <v>316</v>
      </c>
    </row>
    <row r="2843" spans="1:10" x14ac:dyDescent="0.3">
      <c r="A2843" t="str">
        <f>"62182587"</f>
        <v>62182587</v>
      </c>
      <c r="B2843" t="s">
        <v>5763</v>
      </c>
      <c r="C2843" t="str">
        <f t="shared" si="202"/>
        <v>722</v>
      </c>
      <c r="D2843" t="s">
        <v>315</v>
      </c>
      <c r="E2843" t="s">
        <v>23</v>
      </c>
      <c r="F2843" t="s">
        <v>23</v>
      </c>
      <c r="G2843" t="s">
        <v>5764</v>
      </c>
      <c r="H2843" t="str">
        <f t="shared" si="203"/>
        <v>94910</v>
      </c>
      <c r="I2843" t="s">
        <v>316</v>
      </c>
    </row>
    <row r="2844" spans="1:10" x14ac:dyDescent="0.3">
      <c r="A2844" t="str">
        <f>"02163543"</f>
        <v>02163543</v>
      </c>
      <c r="B2844" t="s">
        <v>5765</v>
      </c>
      <c r="C2844" t="str">
        <f t="shared" ref="C2844:C2856" si="204">"117"</f>
        <v>117</v>
      </c>
      <c r="D2844" t="s">
        <v>1371</v>
      </c>
      <c r="E2844" t="s">
        <v>52</v>
      </c>
      <c r="F2844" t="s">
        <v>113</v>
      </c>
      <c r="G2844" t="s">
        <v>5766</v>
      </c>
      <c r="H2844" t="str">
        <f>"9499"</f>
        <v>9499</v>
      </c>
      <c r="I2844" t="s">
        <v>31</v>
      </c>
    </row>
    <row r="2845" spans="1:10" x14ac:dyDescent="0.3">
      <c r="A2845" t="str">
        <f>"65792424"</f>
        <v>65792424</v>
      </c>
      <c r="B2845" t="s">
        <v>5767</v>
      </c>
      <c r="C2845" t="str">
        <f t="shared" si="204"/>
        <v>117</v>
      </c>
      <c r="D2845" t="s">
        <v>1371</v>
      </c>
      <c r="E2845" t="s">
        <v>23</v>
      </c>
      <c r="F2845" t="s">
        <v>350</v>
      </c>
      <c r="G2845" t="s">
        <v>5768</v>
      </c>
      <c r="H2845" t="str">
        <f>"9499"</f>
        <v>9499</v>
      </c>
      <c r="I2845" t="s">
        <v>31</v>
      </c>
    </row>
    <row r="2846" spans="1:10" x14ac:dyDescent="0.3">
      <c r="A2846" t="str">
        <f>"47658550"</f>
        <v>47658550</v>
      </c>
      <c r="B2846" t="s">
        <v>5769</v>
      </c>
      <c r="C2846" t="str">
        <f t="shared" si="204"/>
        <v>117</v>
      </c>
      <c r="D2846" t="s">
        <v>1371</v>
      </c>
      <c r="E2846" t="s">
        <v>29</v>
      </c>
      <c r="F2846" t="s">
        <v>29</v>
      </c>
      <c r="G2846" t="s">
        <v>5770</v>
      </c>
      <c r="H2846" t="str">
        <f>"9499"</f>
        <v>9499</v>
      </c>
      <c r="I2846" t="s">
        <v>31</v>
      </c>
    </row>
    <row r="2847" spans="1:10" x14ac:dyDescent="0.3">
      <c r="A2847" t="str">
        <f>"26901170"</f>
        <v>26901170</v>
      </c>
      <c r="B2847" t="s">
        <v>5771</v>
      </c>
      <c r="C2847" t="str">
        <f t="shared" si="204"/>
        <v>117</v>
      </c>
      <c r="D2847" t="s">
        <v>1371</v>
      </c>
      <c r="E2847" t="s">
        <v>52</v>
      </c>
      <c r="F2847" t="s">
        <v>73</v>
      </c>
      <c r="G2847" t="s">
        <v>5772</v>
      </c>
      <c r="H2847" t="str">
        <f>"9499"</f>
        <v>9499</v>
      </c>
      <c r="I2847" t="s">
        <v>31</v>
      </c>
    </row>
    <row r="2848" spans="1:10" x14ac:dyDescent="0.3">
      <c r="A2848" t="str">
        <f>"04135211"</f>
        <v>04135211</v>
      </c>
      <c r="B2848" t="s">
        <v>5773</v>
      </c>
      <c r="C2848" t="str">
        <f t="shared" si="204"/>
        <v>117</v>
      </c>
      <c r="D2848" t="s">
        <v>1371</v>
      </c>
      <c r="E2848" t="s">
        <v>23</v>
      </c>
      <c r="F2848" t="s">
        <v>23</v>
      </c>
      <c r="G2848" t="s">
        <v>4954</v>
      </c>
      <c r="H2848" t="str">
        <f>"88"</f>
        <v>88</v>
      </c>
      <c r="I2848" t="s">
        <v>154</v>
      </c>
    </row>
    <row r="2849" spans="1:11" x14ac:dyDescent="0.3">
      <c r="A2849" t="str">
        <f>"65326636"</f>
        <v>65326636</v>
      </c>
      <c r="B2849" t="s">
        <v>5774</v>
      </c>
      <c r="C2849" t="str">
        <f t="shared" si="204"/>
        <v>117</v>
      </c>
      <c r="D2849" t="s">
        <v>1371</v>
      </c>
      <c r="E2849" t="s">
        <v>52</v>
      </c>
      <c r="F2849" t="s">
        <v>52</v>
      </c>
      <c r="G2849" t="s">
        <v>5775</v>
      </c>
      <c r="H2849" t="str">
        <f>"900"</f>
        <v>900</v>
      </c>
      <c r="I2849" t="s">
        <v>500</v>
      </c>
    </row>
    <row r="2850" spans="1:11" x14ac:dyDescent="0.3">
      <c r="A2850" t="str">
        <f>"04694538"</f>
        <v>04694538</v>
      </c>
      <c r="B2850" t="s">
        <v>5776</v>
      </c>
      <c r="C2850" t="str">
        <f t="shared" si="204"/>
        <v>117</v>
      </c>
      <c r="D2850" t="s">
        <v>1371</v>
      </c>
      <c r="E2850" t="s">
        <v>83</v>
      </c>
      <c r="F2850" t="s">
        <v>480</v>
      </c>
      <c r="G2850" t="s">
        <v>5777</v>
      </c>
      <c r="H2850" t="str">
        <f>"94995"</f>
        <v>94995</v>
      </c>
      <c r="I2850" t="s">
        <v>232</v>
      </c>
    </row>
    <row r="2851" spans="1:11" x14ac:dyDescent="0.3">
      <c r="A2851" t="str">
        <f>"65270045"</f>
        <v>65270045</v>
      </c>
      <c r="B2851" t="s">
        <v>5778</v>
      </c>
      <c r="C2851" t="str">
        <f t="shared" si="204"/>
        <v>117</v>
      </c>
      <c r="D2851" t="s">
        <v>1371</v>
      </c>
      <c r="E2851" t="s">
        <v>83</v>
      </c>
      <c r="F2851" t="s">
        <v>4274</v>
      </c>
      <c r="G2851" t="s">
        <v>5779</v>
      </c>
      <c r="H2851" t="str">
        <f>"9499"</f>
        <v>9499</v>
      </c>
      <c r="I2851" t="s">
        <v>31</v>
      </c>
    </row>
    <row r="2852" spans="1:11" x14ac:dyDescent="0.3">
      <c r="A2852" t="str">
        <f>"26218330"</f>
        <v>26218330</v>
      </c>
      <c r="B2852" t="s">
        <v>5780</v>
      </c>
      <c r="C2852" t="str">
        <f t="shared" si="204"/>
        <v>117</v>
      </c>
      <c r="D2852" t="s">
        <v>1371</v>
      </c>
      <c r="E2852" t="s">
        <v>52</v>
      </c>
      <c r="F2852" t="s">
        <v>52</v>
      </c>
      <c r="G2852" t="s">
        <v>5781</v>
      </c>
      <c r="H2852" t="str">
        <f>"94999"</f>
        <v>94999</v>
      </c>
      <c r="I2852" t="s">
        <v>202</v>
      </c>
      <c r="J2852" t="s">
        <v>92</v>
      </c>
      <c r="K2852" t="s">
        <v>126</v>
      </c>
    </row>
    <row r="2853" spans="1:11" x14ac:dyDescent="0.3">
      <c r="A2853" t="str">
        <f>"65822374"</f>
        <v>65822374</v>
      </c>
      <c r="B2853" t="s">
        <v>5782</v>
      </c>
      <c r="C2853" t="str">
        <f t="shared" si="204"/>
        <v>117</v>
      </c>
      <c r="D2853" t="s">
        <v>1371</v>
      </c>
      <c r="E2853" t="s">
        <v>23</v>
      </c>
      <c r="F2853" t="s">
        <v>23</v>
      </c>
      <c r="G2853" t="s">
        <v>3796</v>
      </c>
      <c r="H2853" t="str">
        <f t="shared" ref="H2853:H2859" si="205">"9499"</f>
        <v>9499</v>
      </c>
      <c r="I2853" t="s">
        <v>31</v>
      </c>
    </row>
    <row r="2854" spans="1:11" x14ac:dyDescent="0.3">
      <c r="A2854" t="str">
        <f>"25561022"</f>
        <v>25561022</v>
      </c>
      <c r="B2854" t="s">
        <v>5783</v>
      </c>
      <c r="C2854" t="str">
        <f t="shared" si="204"/>
        <v>117</v>
      </c>
      <c r="D2854" t="s">
        <v>1371</v>
      </c>
      <c r="E2854" t="s">
        <v>23</v>
      </c>
      <c r="F2854" t="s">
        <v>23</v>
      </c>
      <c r="G2854" t="s">
        <v>172</v>
      </c>
      <c r="H2854" t="str">
        <f t="shared" si="205"/>
        <v>9499</v>
      </c>
      <c r="I2854" t="s">
        <v>31</v>
      </c>
    </row>
    <row r="2855" spans="1:11" x14ac:dyDescent="0.3">
      <c r="A2855" t="str">
        <f>"65891511"</f>
        <v>65891511</v>
      </c>
      <c r="B2855" t="s">
        <v>5784</v>
      </c>
      <c r="C2855" t="str">
        <f t="shared" si="204"/>
        <v>117</v>
      </c>
      <c r="D2855" t="s">
        <v>1371</v>
      </c>
      <c r="E2855" t="s">
        <v>29</v>
      </c>
      <c r="F2855" t="s">
        <v>29</v>
      </c>
      <c r="G2855" t="s">
        <v>5785</v>
      </c>
      <c r="H2855" t="str">
        <f t="shared" si="205"/>
        <v>9499</v>
      </c>
      <c r="I2855" t="s">
        <v>31</v>
      </c>
    </row>
    <row r="2856" spans="1:11" x14ac:dyDescent="0.3">
      <c r="A2856" t="str">
        <f>"49625667"</f>
        <v>49625667</v>
      </c>
      <c r="B2856" t="s">
        <v>5786</v>
      </c>
      <c r="C2856" t="str">
        <f t="shared" si="204"/>
        <v>117</v>
      </c>
      <c r="D2856" t="s">
        <v>1371</v>
      </c>
      <c r="E2856" t="s">
        <v>83</v>
      </c>
      <c r="F2856" t="s">
        <v>1718</v>
      </c>
      <c r="G2856" t="s">
        <v>1719</v>
      </c>
      <c r="H2856" t="str">
        <f t="shared" si="205"/>
        <v>9499</v>
      </c>
      <c r="I2856" t="s">
        <v>31</v>
      </c>
    </row>
    <row r="2857" spans="1:11" x14ac:dyDescent="0.3">
      <c r="A2857" t="str">
        <f>"09830081"</f>
        <v>09830081</v>
      </c>
      <c r="B2857" t="s">
        <v>5787</v>
      </c>
      <c r="C2857" t="str">
        <f t="shared" ref="C2857:C2914" si="206">"118"</f>
        <v>118</v>
      </c>
      <c r="D2857" t="s">
        <v>337</v>
      </c>
      <c r="E2857" t="s">
        <v>23</v>
      </c>
      <c r="F2857" t="s">
        <v>2706</v>
      </c>
      <c r="G2857" t="s">
        <v>5788</v>
      </c>
      <c r="H2857" t="str">
        <f t="shared" si="205"/>
        <v>9499</v>
      </c>
      <c r="I2857" t="s">
        <v>31</v>
      </c>
    </row>
    <row r="2858" spans="1:11" x14ac:dyDescent="0.3">
      <c r="A2858" t="str">
        <f>"65888251"</f>
        <v>65888251</v>
      </c>
      <c r="B2858" t="s">
        <v>5789</v>
      </c>
      <c r="C2858" t="str">
        <f t="shared" si="206"/>
        <v>118</v>
      </c>
      <c r="D2858" t="s">
        <v>337</v>
      </c>
      <c r="E2858" t="s">
        <v>29</v>
      </c>
      <c r="F2858" t="s">
        <v>38</v>
      </c>
      <c r="G2858" t="s">
        <v>5790</v>
      </c>
      <c r="H2858" t="str">
        <f t="shared" si="205"/>
        <v>9499</v>
      </c>
      <c r="I2858" t="s">
        <v>31</v>
      </c>
    </row>
    <row r="2859" spans="1:11" x14ac:dyDescent="0.3">
      <c r="A2859" t="str">
        <f>"62335260"</f>
        <v>62335260</v>
      </c>
      <c r="B2859" t="s">
        <v>5791</v>
      </c>
      <c r="C2859" t="str">
        <f t="shared" si="206"/>
        <v>118</v>
      </c>
      <c r="D2859" t="s">
        <v>337</v>
      </c>
      <c r="E2859" t="s">
        <v>29</v>
      </c>
      <c r="F2859" t="s">
        <v>195</v>
      </c>
      <c r="G2859" t="s">
        <v>5792</v>
      </c>
      <c r="H2859" t="str">
        <f t="shared" si="205"/>
        <v>9499</v>
      </c>
      <c r="I2859" t="s">
        <v>31</v>
      </c>
    </row>
    <row r="2860" spans="1:11" x14ac:dyDescent="0.3">
      <c r="A2860" t="str">
        <f>"27744051"</f>
        <v>27744051</v>
      </c>
      <c r="B2860" t="s">
        <v>5793</v>
      </c>
      <c r="C2860" t="str">
        <f t="shared" si="206"/>
        <v>118</v>
      </c>
      <c r="D2860" t="s">
        <v>337</v>
      </c>
      <c r="E2860" t="s">
        <v>83</v>
      </c>
      <c r="F2860" t="s">
        <v>130</v>
      </c>
      <c r="G2860" t="s">
        <v>5794</v>
      </c>
      <c r="H2860" t="str">
        <f>"88"</f>
        <v>88</v>
      </c>
      <c r="I2860" t="s">
        <v>154</v>
      </c>
      <c r="J2860" t="s">
        <v>31</v>
      </c>
    </row>
    <row r="2861" spans="1:11" x14ac:dyDescent="0.3">
      <c r="A2861" t="str">
        <f>"04653793"</f>
        <v>04653793</v>
      </c>
      <c r="B2861" t="s">
        <v>5795</v>
      </c>
      <c r="C2861" t="str">
        <f t="shared" si="206"/>
        <v>118</v>
      </c>
      <c r="D2861" t="s">
        <v>337</v>
      </c>
      <c r="E2861" t="s">
        <v>23</v>
      </c>
      <c r="F2861" t="s">
        <v>23</v>
      </c>
      <c r="G2861" t="s">
        <v>4143</v>
      </c>
      <c r="H2861" t="str">
        <f>"94999"</f>
        <v>94999</v>
      </c>
      <c r="I2861" t="s">
        <v>202</v>
      </c>
    </row>
    <row r="2862" spans="1:11" x14ac:dyDescent="0.3">
      <c r="A2862" t="str">
        <f>"14168430"</f>
        <v>14168430</v>
      </c>
      <c r="B2862" t="s">
        <v>5796</v>
      </c>
      <c r="C2862" t="str">
        <f t="shared" si="206"/>
        <v>118</v>
      </c>
      <c r="D2862" t="s">
        <v>337</v>
      </c>
      <c r="E2862" t="s">
        <v>23</v>
      </c>
      <c r="F2862" t="s">
        <v>35</v>
      </c>
      <c r="G2862" t="s">
        <v>5797</v>
      </c>
      <c r="H2862" t="str">
        <f>"94996"</f>
        <v>94996</v>
      </c>
      <c r="I2862" t="s">
        <v>47</v>
      </c>
    </row>
    <row r="2863" spans="1:11" x14ac:dyDescent="0.3">
      <c r="A2863" t="str">
        <f>"29454671"</f>
        <v>29454671</v>
      </c>
      <c r="B2863" t="s">
        <v>5798</v>
      </c>
      <c r="C2863" t="str">
        <f t="shared" si="206"/>
        <v>118</v>
      </c>
      <c r="D2863" t="s">
        <v>337</v>
      </c>
      <c r="E2863" t="s">
        <v>29</v>
      </c>
      <c r="F2863" t="s">
        <v>195</v>
      </c>
      <c r="G2863" t="s">
        <v>5799</v>
      </c>
      <c r="H2863" t="str">
        <f>"8899"</f>
        <v>8899</v>
      </c>
      <c r="I2863" t="s">
        <v>40</v>
      </c>
    </row>
    <row r="2864" spans="1:11" x14ac:dyDescent="0.3">
      <c r="A2864" t="str">
        <f>"19959401"</f>
        <v>19959401</v>
      </c>
      <c r="B2864" t="s">
        <v>5800</v>
      </c>
      <c r="C2864" t="str">
        <f t="shared" si="206"/>
        <v>118</v>
      </c>
      <c r="D2864" t="s">
        <v>337</v>
      </c>
      <c r="E2864" t="s">
        <v>23</v>
      </c>
      <c r="F2864" t="s">
        <v>23</v>
      </c>
      <c r="G2864" t="s">
        <v>581</v>
      </c>
      <c r="H2864" t="str">
        <f>"9499"</f>
        <v>9499</v>
      </c>
      <c r="I2864" t="s">
        <v>31</v>
      </c>
    </row>
    <row r="2865" spans="1:11" x14ac:dyDescent="0.3">
      <c r="A2865" t="str">
        <f>"04625536"</f>
        <v>04625536</v>
      </c>
      <c r="B2865" t="s">
        <v>5801</v>
      </c>
      <c r="C2865" t="str">
        <f t="shared" si="206"/>
        <v>118</v>
      </c>
      <c r="D2865" t="s">
        <v>337</v>
      </c>
      <c r="E2865" t="s">
        <v>23</v>
      </c>
      <c r="F2865" t="s">
        <v>23</v>
      </c>
      <c r="G2865" t="s">
        <v>5802</v>
      </c>
      <c r="H2865" t="str">
        <f>"8559"</f>
        <v>8559</v>
      </c>
      <c r="I2865" t="s">
        <v>115</v>
      </c>
      <c r="J2865" t="s">
        <v>31</v>
      </c>
      <c r="K2865" t="s">
        <v>163</v>
      </c>
    </row>
    <row r="2866" spans="1:11" x14ac:dyDescent="0.3">
      <c r="A2866" t="str">
        <f>"28304420"</f>
        <v>28304420</v>
      </c>
      <c r="B2866" t="s">
        <v>5803</v>
      </c>
      <c r="C2866" t="str">
        <f t="shared" si="206"/>
        <v>118</v>
      </c>
      <c r="D2866" t="s">
        <v>337</v>
      </c>
      <c r="E2866" t="s">
        <v>52</v>
      </c>
      <c r="F2866" t="s">
        <v>52</v>
      </c>
      <c r="G2866" t="s">
        <v>5804</v>
      </c>
      <c r="H2866" t="str">
        <f>"9499"</f>
        <v>9499</v>
      </c>
      <c r="I2866" t="s">
        <v>31</v>
      </c>
      <c r="J2866" t="s">
        <v>115</v>
      </c>
    </row>
    <row r="2867" spans="1:11" x14ac:dyDescent="0.3">
      <c r="A2867" t="str">
        <f>"61704008"</f>
        <v>61704008</v>
      </c>
      <c r="B2867" t="s">
        <v>5805</v>
      </c>
      <c r="C2867" t="str">
        <f t="shared" si="206"/>
        <v>118</v>
      </c>
      <c r="D2867" t="s">
        <v>337</v>
      </c>
      <c r="E2867" t="s">
        <v>52</v>
      </c>
      <c r="F2867" t="s">
        <v>514</v>
      </c>
      <c r="G2867" t="s">
        <v>5806</v>
      </c>
      <c r="H2867" t="str">
        <f>"9499"</f>
        <v>9499</v>
      </c>
      <c r="I2867" t="s">
        <v>31</v>
      </c>
    </row>
    <row r="2868" spans="1:11" x14ac:dyDescent="0.3">
      <c r="A2868" t="str">
        <f>"21040401"</f>
        <v>21040401</v>
      </c>
      <c r="B2868" t="s">
        <v>5807</v>
      </c>
      <c r="C2868" t="str">
        <f t="shared" si="206"/>
        <v>118</v>
      </c>
      <c r="D2868" t="s">
        <v>337</v>
      </c>
      <c r="E2868" t="s">
        <v>23</v>
      </c>
      <c r="F2868" t="s">
        <v>107</v>
      </c>
      <c r="G2868" t="s">
        <v>5808</v>
      </c>
      <c r="H2868" t="str">
        <f>"9499"</f>
        <v>9499</v>
      </c>
      <c r="I2868" t="s">
        <v>31</v>
      </c>
    </row>
    <row r="2869" spans="1:11" x14ac:dyDescent="0.3">
      <c r="A2869" t="str">
        <f>"19415885"</f>
        <v>19415885</v>
      </c>
      <c r="B2869" t="s">
        <v>5809</v>
      </c>
      <c r="C2869" t="str">
        <f t="shared" si="206"/>
        <v>118</v>
      </c>
      <c r="D2869" t="s">
        <v>337</v>
      </c>
      <c r="E2869" t="s">
        <v>23</v>
      </c>
      <c r="F2869" t="s">
        <v>23</v>
      </c>
      <c r="G2869" t="s">
        <v>1141</v>
      </c>
      <c r="H2869" t="str">
        <f>"9499"</f>
        <v>9499</v>
      </c>
      <c r="I2869" t="s">
        <v>31</v>
      </c>
    </row>
    <row r="2870" spans="1:11" x14ac:dyDescent="0.3">
      <c r="A2870" t="str">
        <f>"26282887"</f>
        <v>26282887</v>
      </c>
      <c r="B2870" t="s">
        <v>5810</v>
      </c>
      <c r="C2870" t="str">
        <f t="shared" si="206"/>
        <v>118</v>
      </c>
      <c r="D2870" t="s">
        <v>337</v>
      </c>
      <c r="E2870" t="s">
        <v>23</v>
      </c>
      <c r="F2870" t="s">
        <v>23</v>
      </c>
      <c r="G2870" t="s">
        <v>1141</v>
      </c>
      <c r="H2870" t="str">
        <f>"59130"</f>
        <v>59130</v>
      </c>
      <c r="I2870" t="s">
        <v>5811</v>
      </c>
    </row>
    <row r="2871" spans="1:11" x14ac:dyDescent="0.3">
      <c r="A2871" t="str">
        <f>"03021980"</f>
        <v>03021980</v>
      </c>
      <c r="B2871" t="s">
        <v>5812</v>
      </c>
      <c r="C2871" t="str">
        <f t="shared" si="206"/>
        <v>118</v>
      </c>
      <c r="D2871" t="s">
        <v>337</v>
      </c>
      <c r="E2871" t="s">
        <v>23</v>
      </c>
      <c r="F2871" t="s">
        <v>23</v>
      </c>
      <c r="G2871" t="s">
        <v>1141</v>
      </c>
      <c r="H2871" t="str">
        <f>"7490"</f>
        <v>7490</v>
      </c>
      <c r="I2871" t="s">
        <v>160</v>
      </c>
      <c r="J2871" t="s">
        <v>500</v>
      </c>
      <c r="K2871" t="s">
        <v>1066</v>
      </c>
    </row>
    <row r="2872" spans="1:11" x14ac:dyDescent="0.3">
      <c r="A2872" t="str">
        <f>"09942289"</f>
        <v>09942289</v>
      </c>
      <c r="B2872" t="s">
        <v>5813</v>
      </c>
      <c r="C2872" t="str">
        <f t="shared" si="206"/>
        <v>118</v>
      </c>
      <c r="D2872" t="s">
        <v>337</v>
      </c>
      <c r="E2872" t="s">
        <v>52</v>
      </c>
      <c r="F2872" t="s">
        <v>379</v>
      </c>
      <c r="G2872" t="s">
        <v>5814</v>
      </c>
      <c r="H2872" t="str">
        <f t="shared" ref="H2872:H2882" si="207">"9499"</f>
        <v>9499</v>
      </c>
      <c r="I2872" t="s">
        <v>31</v>
      </c>
    </row>
    <row r="2873" spans="1:11" x14ac:dyDescent="0.3">
      <c r="A2873" t="str">
        <f>"21884714"</f>
        <v>21884714</v>
      </c>
      <c r="B2873" t="s">
        <v>5815</v>
      </c>
      <c r="C2873" t="str">
        <f t="shared" si="206"/>
        <v>118</v>
      </c>
      <c r="D2873" t="s">
        <v>337</v>
      </c>
      <c r="E2873" t="s">
        <v>29</v>
      </c>
      <c r="F2873" t="s">
        <v>29</v>
      </c>
      <c r="G2873" t="s">
        <v>5816</v>
      </c>
      <c r="H2873" t="str">
        <f t="shared" si="207"/>
        <v>9499</v>
      </c>
      <c r="I2873" t="s">
        <v>31</v>
      </c>
    </row>
    <row r="2874" spans="1:11" x14ac:dyDescent="0.3">
      <c r="A2874" t="str">
        <f>"26229706"</f>
        <v>26229706</v>
      </c>
      <c r="B2874" t="s">
        <v>5817</v>
      </c>
      <c r="C2874" t="str">
        <f t="shared" si="206"/>
        <v>118</v>
      </c>
      <c r="D2874" t="s">
        <v>337</v>
      </c>
      <c r="E2874" t="s">
        <v>83</v>
      </c>
      <c r="F2874" t="s">
        <v>83</v>
      </c>
      <c r="G2874" t="s">
        <v>318</v>
      </c>
      <c r="H2874" t="str">
        <f t="shared" si="207"/>
        <v>9499</v>
      </c>
      <c r="I2874" t="s">
        <v>31</v>
      </c>
    </row>
    <row r="2875" spans="1:11" x14ac:dyDescent="0.3">
      <c r="A2875" t="str">
        <f>"47934131"</f>
        <v>47934131</v>
      </c>
      <c r="B2875" t="s">
        <v>5818</v>
      </c>
      <c r="C2875" t="str">
        <f t="shared" si="206"/>
        <v>118</v>
      </c>
      <c r="D2875" t="s">
        <v>337</v>
      </c>
      <c r="E2875" t="s">
        <v>83</v>
      </c>
      <c r="F2875" t="s">
        <v>183</v>
      </c>
      <c r="G2875" t="s">
        <v>5819</v>
      </c>
      <c r="H2875" t="str">
        <f t="shared" si="207"/>
        <v>9499</v>
      </c>
      <c r="I2875" t="s">
        <v>31</v>
      </c>
    </row>
    <row r="2876" spans="1:11" x14ac:dyDescent="0.3">
      <c r="A2876" t="str">
        <f>"08791929"</f>
        <v>08791929</v>
      </c>
      <c r="B2876" t="s">
        <v>5820</v>
      </c>
      <c r="C2876" t="str">
        <f t="shared" si="206"/>
        <v>118</v>
      </c>
      <c r="D2876" t="s">
        <v>337</v>
      </c>
      <c r="E2876" t="s">
        <v>83</v>
      </c>
      <c r="F2876" t="s">
        <v>473</v>
      </c>
      <c r="G2876" t="s">
        <v>5821</v>
      </c>
      <c r="H2876" t="str">
        <f t="shared" si="207"/>
        <v>9499</v>
      </c>
      <c r="I2876" t="s">
        <v>31</v>
      </c>
    </row>
    <row r="2877" spans="1:11" x14ac:dyDescent="0.3">
      <c r="A2877" t="str">
        <f>"26279746"</f>
        <v>26279746</v>
      </c>
      <c r="B2877" t="s">
        <v>5822</v>
      </c>
      <c r="C2877" t="str">
        <f t="shared" si="206"/>
        <v>118</v>
      </c>
      <c r="D2877" t="s">
        <v>337</v>
      </c>
      <c r="E2877" t="s">
        <v>23</v>
      </c>
      <c r="F2877" t="s">
        <v>24</v>
      </c>
      <c r="G2877" t="s">
        <v>5823</v>
      </c>
      <c r="H2877" t="str">
        <f t="shared" si="207"/>
        <v>9499</v>
      </c>
      <c r="I2877" t="s">
        <v>31</v>
      </c>
    </row>
    <row r="2878" spans="1:11" x14ac:dyDescent="0.3">
      <c r="A2878" t="str">
        <f>"48773000"</f>
        <v>48773000</v>
      </c>
      <c r="B2878" t="s">
        <v>5824</v>
      </c>
      <c r="C2878" t="str">
        <f t="shared" si="206"/>
        <v>118</v>
      </c>
      <c r="D2878" t="s">
        <v>337</v>
      </c>
      <c r="E2878" t="s">
        <v>29</v>
      </c>
      <c r="F2878" t="s">
        <v>38</v>
      </c>
      <c r="G2878" t="s">
        <v>5825</v>
      </c>
      <c r="H2878" t="str">
        <f t="shared" si="207"/>
        <v>9499</v>
      </c>
      <c r="I2878" t="s">
        <v>31</v>
      </c>
    </row>
    <row r="2879" spans="1:11" x14ac:dyDescent="0.3">
      <c r="A2879" t="str">
        <f>"61715824"</f>
        <v>61715824</v>
      </c>
      <c r="B2879" t="s">
        <v>5826</v>
      </c>
      <c r="C2879" t="str">
        <f t="shared" si="206"/>
        <v>118</v>
      </c>
      <c r="D2879" t="s">
        <v>337</v>
      </c>
      <c r="E2879" t="s">
        <v>23</v>
      </c>
      <c r="F2879" t="s">
        <v>23</v>
      </c>
      <c r="G2879" t="s">
        <v>5827</v>
      </c>
      <c r="H2879" t="str">
        <f t="shared" si="207"/>
        <v>9499</v>
      </c>
      <c r="I2879" t="s">
        <v>31</v>
      </c>
    </row>
    <row r="2880" spans="1:11" x14ac:dyDescent="0.3">
      <c r="A2880" t="str">
        <f>"05851513"</f>
        <v>05851513</v>
      </c>
      <c r="B2880" t="s">
        <v>5828</v>
      </c>
      <c r="C2880" t="str">
        <f t="shared" si="206"/>
        <v>118</v>
      </c>
      <c r="D2880" t="s">
        <v>337</v>
      </c>
      <c r="E2880" t="s">
        <v>52</v>
      </c>
      <c r="F2880" t="s">
        <v>52</v>
      </c>
      <c r="G2880" t="s">
        <v>5829</v>
      </c>
      <c r="H2880" t="str">
        <f t="shared" si="207"/>
        <v>9499</v>
      </c>
      <c r="I2880" t="s">
        <v>31</v>
      </c>
      <c r="J2880" t="s">
        <v>163</v>
      </c>
    </row>
    <row r="2881" spans="1:15" x14ac:dyDescent="0.3">
      <c r="A2881" t="str">
        <f>"26271338"</f>
        <v>26271338</v>
      </c>
      <c r="B2881" t="s">
        <v>5830</v>
      </c>
      <c r="C2881" t="str">
        <f t="shared" si="206"/>
        <v>118</v>
      </c>
      <c r="D2881" t="s">
        <v>337</v>
      </c>
      <c r="E2881" t="s">
        <v>23</v>
      </c>
      <c r="F2881" t="s">
        <v>23</v>
      </c>
      <c r="G2881" t="s">
        <v>5831</v>
      </c>
      <c r="H2881" t="str">
        <f t="shared" si="207"/>
        <v>9499</v>
      </c>
      <c r="I2881" t="s">
        <v>31</v>
      </c>
    </row>
    <row r="2882" spans="1:15" x14ac:dyDescent="0.3">
      <c r="A2882" t="str">
        <f>"29254736"</f>
        <v>29254736</v>
      </c>
      <c r="B2882" t="s">
        <v>5832</v>
      </c>
      <c r="C2882" t="str">
        <f t="shared" si="206"/>
        <v>118</v>
      </c>
      <c r="D2882" t="s">
        <v>337</v>
      </c>
      <c r="E2882" t="s">
        <v>52</v>
      </c>
      <c r="F2882" t="s">
        <v>52</v>
      </c>
      <c r="G2882" t="s">
        <v>5833</v>
      </c>
      <c r="H2882" t="str">
        <f t="shared" si="207"/>
        <v>9499</v>
      </c>
      <c r="I2882" t="s">
        <v>31</v>
      </c>
    </row>
    <row r="2883" spans="1:15" x14ac:dyDescent="0.3">
      <c r="A2883" t="str">
        <f>"08298912"</f>
        <v>08298912</v>
      </c>
      <c r="B2883" t="s">
        <v>5834</v>
      </c>
      <c r="C2883" t="str">
        <f t="shared" si="206"/>
        <v>118</v>
      </c>
      <c r="D2883" t="s">
        <v>337</v>
      </c>
      <c r="E2883" t="s">
        <v>23</v>
      </c>
      <c r="F2883" t="s">
        <v>296</v>
      </c>
      <c r="G2883" t="s">
        <v>5835</v>
      </c>
      <c r="H2883" t="str">
        <f>"94996"</f>
        <v>94996</v>
      </c>
      <c r="I2883" t="s">
        <v>47</v>
      </c>
    </row>
    <row r="2884" spans="1:15" x14ac:dyDescent="0.3">
      <c r="A2884" t="str">
        <f>"28643755"</f>
        <v>28643755</v>
      </c>
      <c r="B2884" t="s">
        <v>5836</v>
      </c>
      <c r="C2884" t="str">
        <f t="shared" si="206"/>
        <v>118</v>
      </c>
      <c r="D2884" t="s">
        <v>337</v>
      </c>
      <c r="E2884" t="s">
        <v>29</v>
      </c>
      <c r="F2884" t="s">
        <v>195</v>
      </c>
      <c r="G2884" t="s">
        <v>5837</v>
      </c>
      <c r="H2884" t="str">
        <f t="shared" ref="H2884:H2889" si="208">"9499"</f>
        <v>9499</v>
      </c>
      <c r="I2884" t="s">
        <v>31</v>
      </c>
    </row>
    <row r="2885" spans="1:15" x14ac:dyDescent="0.3">
      <c r="A2885" t="str">
        <f>"47935243"</f>
        <v>47935243</v>
      </c>
      <c r="B2885" t="s">
        <v>5838</v>
      </c>
      <c r="C2885" t="str">
        <f t="shared" si="206"/>
        <v>118</v>
      </c>
      <c r="D2885" t="s">
        <v>337</v>
      </c>
      <c r="E2885" t="s">
        <v>83</v>
      </c>
      <c r="F2885" t="s">
        <v>83</v>
      </c>
      <c r="G2885" t="s">
        <v>5839</v>
      </c>
      <c r="H2885" t="str">
        <f t="shared" si="208"/>
        <v>9499</v>
      </c>
      <c r="I2885" t="s">
        <v>31</v>
      </c>
    </row>
    <row r="2886" spans="1:15" x14ac:dyDescent="0.3">
      <c r="A2886" t="str">
        <f>"22598847"</f>
        <v>22598847</v>
      </c>
      <c r="B2886" t="s">
        <v>5840</v>
      </c>
      <c r="C2886" t="str">
        <f t="shared" si="206"/>
        <v>118</v>
      </c>
      <c r="D2886" t="s">
        <v>337</v>
      </c>
      <c r="E2886" t="s">
        <v>23</v>
      </c>
      <c r="F2886" t="s">
        <v>68</v>
      </c>
      <c r="G2886" t="s">
        <v>5841</v>
      </c>
      <c r="H2886" t="str">
        <f t="shared" si="208"/>
        <v>9499</v>
      </c>
      <c r="I2886" t="s">
        <v>31</v>
      </c>
    </row>
    <row r="2887" spans="1:15" x14ac:dyDescent="0.3">
      <c r="A2887" t="str">
        <f>"13965620"</f>
        <v>13965620</v>
      </c>
      <c r="B2887" t="s">
        <v>5842</v>
      </c>
      <c r="C2887" t="str">
        <f t="shared" si="206"/>
        <v>118</v>
      </c>
      <c r="D2887" t="s">
        <v>337</v>
      </c>
      <c r="E2887" t="s">
        <v>52</v>
      </c>
      <c r="F2887" t="s">
        <v>334</v>
      </c>
      <c r="G2887" t="s">
        <v>4681</v>
      </c>
      <c r="H2887" t="str">
        <f t="shared" si="208"/>
        <v>9499</v>
      </c>
      <c r="I2887" t="s">
        <v>31</v>
      </c>
      <c r="J2887" t="s">
        <v>146</v>
      </c>
      <c r="K2887" t="s">
        <v>163</v>
      </c>
      <c r="L2887" t="s">
        <v>59</v>
      </c>
    </row>
    <row r="2888" spans="1:15" x14ac:dyDescent="0.3">
      <c r="A2888" t="str">
        <f>"24774332"</f>
        <v>24774332</v>
      </c>
      <c r="B2888" t="s">
        <v>5843</v>
      </c>
      <c r="C2888" t="str">
        <f t="shared" si="206"/>
        <v>118</v>
      </c>
      <c r="D2888" t="s">
        <v>337</v>
      </c>
      <c r="E2888" t="s">
        <v>29</v>
      </c>
      <c r="F2888" t="s">
        <v>38</v>
      </c>
      <c r="G2888" t="s">
        <v>5844</v>
      </c>
      <c r="H2888" t="str">
        <f t="shared" si="208"/>
        <v>9499</v>
      </c>
      <c r="I2888" t="s">
        <v>31</v>
      </c>
    </row>
    <row r="2889" spans="1:15" x14ac:dyDescent="0.3">
      <c r="A2889" t="str">
        <f>"29192072"</f>
        <v>29192072</v>
      </c>
      <c r="B2889" t="s">
        <v>5845</v>
      </c>
      <c r="C2889" t="str">
        <f t="shared" si="206"/>
        <v>118</v>
      </c>
      <c r="D2889" t="s">
        <v>337</v>
      </c>
      <c r="E2889" t="s">
        <v>23</v>
      </c>
      <c r="F2889" t="s">
        <v>23</v>
      </c>
      <c r="G2889" t="s">
        <v>3112</v>
      </c>
      <c r="H2889" t="str">
        <f t="shared" si="208"/>
        <v>9499</v>
      </c>
      <c r="I2889" t="s">
        <v>31</v>
      </c>
      <c r="J2889" t="s">
        <v>146</v>
      </c>
      <c r="K2889" t="s">
        <v>4847</v>
      </c>
    </row>
    <row r="2890" spans="1:15" x14ac:dyDescent="0.3">
      <c r="A2890" t="str">
        <f>"03640230"</f>
        <v>03640230</v>
      </c>
      <c r="B2890" t="s">
        <v>5846</v>
      </c>
      <c r="C2890" t="str">
        <f t="shared" si="206"/>
        <v>118</v>
      </c>
      <c r="D2890" t="s">
        <v>337</v>
      </c>
      <c r="E2890" t="s">
        <v>23</v>
      </c>
      <c r="F2890" t="s">
        <v>23</v>
      </c>
      <c r="G2890" t="s">
        <v>204</v>
      </c>
      <c r="H2890" t="str">
        <f>"93190"</f>
        <v>93190</v>
      </c>
      <c r="I2890" t="s">
        <v>59</v>
      </c>
    </row>
    <row r="2891" spans="1:15" x14ac:dyDescent="0.3">
      <c r="A2891" t="str">
        <f>"48473685"</f>
        <v>48473685</v>
      </c>
      <c r="B2891" t="s">
        <v>5847</v>
      </c>
      <c r="C2891" t="str">
        <f t="shared" si="206"/>
        <v>118</v>
      </c>
      <c r="D2891" t="s">
        <v>337</v>
      </c>
      <c r="E2891" t="s">
        <v>23</v>
      </c>
      <c r="F2891" t="s">
        <v>68</v>
      </c>
      <c r="G2891" t="s">
        <v>5848</v>
      </c>
      <c r="H2891" t="str">
        <f>"88"</f>
        <v>88</v>
      </c>
      <c r="I2891" t="s">
        <v>154</v>
      </c>
    </row>
    <row r="2892" spans="1:15" x14ac:dyDescent="0.3">
      <c r="A2892" t="str">
        <f>"46276408"</f>
        <v>46276408</v>
      </c>
      <c r="B2892" t="s">
        <v>5849</v>
      </c>
      <c r="C2892" t="str">
        <f t="shared" si="206"/>
        <v>118</v>
      </c>
      <c r="D2892" t="s">
        <v>337</v>
      </c>
      <c r="E2892" t="s">
        <v>23</v>
      </c>
      <c r="F2892" t="s">
        <v>23</v>
      </c>
      <c r="G2892" t="s">
        <v>5850</v>
      </c>
      <c r="H2892" t="str">
        <f t="shared" ref="H2892:H2898" si="209">"9499"</f>
        <v>9499</v>
      </c>
      <c r="I2892" t="s">
        <v>31</v>
      </c>
    </row>
    <row r="2893" spans="1:15" x14ac:dyDescent="0.3">
      <c r="A2893" t="str">
        <f>"17669219"</f>
        <v>17669219</v>
      </c>
      <c r="B2893" t="s">
        <v>5851</v>
      </c>
      <c r="C2893" t="str">
        <f t="shared" si="206"/>
        <v>118</v>
      </c>
      <c r="D2893" t="s">
        <v>337</v>
      </c>
      <c r="E2893" t="s">
        <v>29</v>
      </c>
      <c r="F2893" t="s">
        <v>852</v>
      </c>
      <c r="G2893" t="s">
        <v>5852</v>
      </c>
      <c r="H2893" t="str">
        <f t="shared" si="209"/>
        <v>9499</v>
      </c>
      <c r="I2893" t="s">
        <v>31</v>
      </c>
      <c r="J2893" t="s">
        <v>258</v>
      </c>
      <c r="K2893" t="s">
        <v>146</v>
      </c>
      <c r="L2893" t="s">
        <v>5853</v>
      </c>
      <c r="M2893" t="s">
        <v>262</v>
      </c>
      <c r="N2893" t="s">
        <v>163</v>
      </c>
      <c r="O2893" t="s">
        <v>148</v>
      </c>
    </row>
    <row r="2894" spans="1:15" x14ac:dyDescent="0.3">
      <c r="A2894" t="str">
        <f>"28272862"</f>
        <v>28272862</v>
      </c>
      <c r="B2894" t="s">
        <v>5854</v>
      </c>
      <c r="C2894" t="str">
        <f t="shared" si="206"/>
        <v>118</v>
      </c>
      <c r="D2894" t="s">
        <v>337</v>
      </c>
      <c r="E2894" t="s">
        <v>23</v>
      </c>
      <c r="F2894" t="s">
        <v>68</v>
      </c>
      <c r="G2894" t="s">
        <v>5855</v>
      </c>
      <c r="H2894" t="str">
        <f t="shared" si="209"/>
        <v>9499</v>
      </c>
      <c r="I2894" t="s">
        <v>31</v>
      </c>
    </row>
    <row r="2895" spans="1:15" x14ac:dyDescent="0.3">
      <c r="A2895" t="str">
        <f>"19535040"</f>
        <v>19535040</v>
      </c>
      <c r="B2895" t="s">
        <v>5856</v>
      </c>
      <c r="C2895" t="str">
        <f t="shared" si="206"/>
        <v>118</v>
      </c>
      <c r="D2895" t="s">
        <v>337</v>
      </c>
      <c r="E2895" t="s">
        <v>52</v>
      </c>
      <c r="F2895" t="s">
        <v>379</v>
      </c>
      <c r="G2895" t="s">
        <v>5857</v>
      </c>
      <c r="H2895" t="str">
        <f t="shared" si="209"/>
        <v>9499</v>
      </c>
      <c r="I2895" t="s">
        <v>31</v>
      </c>
    </row>
    <row r="2896" spans="1:15" x14ac:dyDescent="0.3">
      <c r="A2896" t="str">
        <f>"08871957"</f>
        <v>08871957</v>
      </c>
      <c r="B2896" t="s">
        <v>5858</v>
      </c>
      <c r="C2896" t="str">
        <f t="shared" si="206"/>
        <v>118</v>
      </c>
      <c r="D2896" t="s">
        <v>337</v>
      </c>
      <c r="E2896" t="s">
        <v>23</v>
      </c>
      <c r="F2896" t="s">
        <v>99</v>
      </c>
      <c r="G2896" t="s">
        <v>4546</v>
      </c>
      <c r="H2896" t="str">
        <f t="shared" si="209"/>
        <v>9499</v>
      </c>
      <c r="I2896" t="s">
        <v>31</v>
      </c>
    </row>
    <row r="2897" spans="1:10" x14ac:dyDescent="0.3">
      <c r="A2897" t="str">
        <f>"05124565"</f>
        <v>05124565</v>
      </c>
      <c r="B2897" t="s">
        <v>5859</v>
      </c>
      <c r="C2897" t="str">
        <f t="shared" si="206"/>
        <v>118</v>
      </c>
      <c r="D2897" t="s">
        <v>337</v>
      </c>
      <c r="E2897" t="s">
        <v>52</v>
      </c>
      <c r="F2897" t="s">
        <v>52</v>
      </c>
      <c r="G2897" t="s">
        <v>5860</v>
      </c>
      <c r="H2897" t="str">
        <f t="shared" si="209"/>
        <v>9499</v>
      </c>
      <c r="I2897" t="s">
        <v>31</v>
      </c>
    </row>
    <row r="2898" spans="1:10" x14ac:dyDescent="0.3">
      <c r="A2898" t="str">
        <f>"29259096"</f>
        <v>29259096</v>
      </c>
      <c r="B2898" t="s">
        <v>5861</v>
      </c>
      <c r="C2898" t="str">
        <f t="shared" si="206"/>
        <v>118</v>
      </c>
      <c r="D2898" t="s">
        <v>337</v>
      </c>
      <c r="E2898" t="s">
        <v>23</v>
      </c>
      <c r="F2898" t="s">
        <v>459</v>
      </c>
      <c r="G2898" t="s">
        <v>5862</v>
      </c>
      <c r="H2898" t="str">
        <f t="shared" si="209"/>
        <v>9499</v>
      </c>
      <c r="I2898" t="s">
        <v>31</v>
      </c>
    </row>
    <row r="2899" spans="1:10" x14ac:dyDescent="0.3">
      <c r="A2899" t="str">
        <f>"29454468"</f>
        <v>29454468</v>
      </c>
      <c r="B2899" t="s">
        <v>5863</v>
      </c>
      <c r="C2899" t="str">
        <f t="shared" si="206"/>
        <v>118</v>
      </c>
      <c r="D2899" t="s">
        <v>337</v>
      </c>
      <c r="E2899" t="s">
        <v>29</v>
      </c>
      <c r="F2899" t="s">
        <v>29</v>
      </c>
      <c r="G2899" t="s">
        <v>5864</v>
      </c>
      <c r="H2899" t="str">
        <f>"8690"</f>
        <v>8690</v>
      </c>
      <c r="I2899" t="s">
        <v>1120</v>
      </c>
    </row>
    <row r="2900" spans="1:10" x14ac:dyDescent="0.3">
      <c r="A2900" t="str">
        <f>"00380750"</f>
        <v>00380750</v>
      </c>
      <c r="B2900" t="s">
        <v>5865</v>
      </c>
      <c r="C2900" t="str">
        <f t="shared" si="206"/>
        <v>118</v>
      </c>
      <c r="D2900" t="s">
        <v>337</v>
      </c>
      <c r="E2900" t="s">
        <v>83</v>
      </c>
      <c r="F2900" t="s">
        <v>83</v>
      </c>
      <c r="G2900" t="s">
        <v>5866</v>
      </c>
      <c r="H2900" t="str">
        <f t="shared" ref="H2900:H2908" si="210">"9499"</f>
        <v>9499</v>
      </c>
      <c r="I2900" t="s">
        <v>31</v>
      </c>
    </row>
    <row r="2901" spans="1:10" x14ac:dyDescent="0.3">
      <c r="A2901" t="str">
        <f>"45211281"</f>
        <v>45211281</v>
      </c>
      <c r="B2901" t="s">
        <v>5867</v>
      </c>
      <c r="C2901" t="str">
        <f t="shared" si="206"/>
        <v>118</v>
      </c>
      <c r="D2901" t="s">
        <v>337</v>
      </c>
      <c r="E2901" t="s">
        <v>29</v>
      </c>
      <c r="F2901" t="s">
        <v>195</v>
      </c>
      <c r="G2901" t="s">
        <v>5868</v>
      </c>
      <c r="H2901" t="str">
        <f t="shared" si="210"/>
        <v>9499</v>
      </c>
      <c r="I2901" t="s">
        <v>31</v>
      </c>
    </row>
    <row r="2902" spans="1:10" x14ac:dyDescent="0.3">
      <c r="A2902" t="str">
        <f>"44740794"</f>
        <v>44740794</v>
      </c>
      <c r="B2902" t="s">
        <v>5869</v>
      </c>
      <c r="C2902" t="str">
        <f t="shared" si="206"/>
        <v>118</v>
      </c>
      <c r="D2902" t="s">
        <v>337</v>
      </c>
      <c r="E2902" t="s">
        <v>29</v>
      </c>
      <c r="F2902" t="s">
        <v>195</v>
      </c>
      <c r="G2902" t="s">
        <v>5870</v>
      </c>
      <c r="H2902" t="str">
        <f t="shared" si="210"/>
        <v>9499</v>
      </c>
      <c r="I2902" t="s">
        <v>31</v>
      </c>
    </row>
    <row r="2903" spans="1:10" x14ac:dyDescent="0.3">
      <c r="A2903" t="str">
        <f>"44740808"</f>
        <v>44740808</v>
      </c>
      <c r="B2903" t="s">
        <v>5871</v>
      </c>
      <c r="C2903" t="str">
        <f t="shared" si="206"/>
        <v>118</v>
      </c>
      <c r="D2903" t="s">
        <v>337</v>
      </c>
      <c r="E2903" t="s">
        <v>29</v>
      </c>
      <c r="F2903" t="s">
        <v>195</v>
      </c>
      <c r="G2903" t="s">
        <v>5872</v>
      </c>
      <c r="H2903" t="str">
        <f t="shared" si="210"/>
        <v>9499</v>
      </c>
      <c r="I2903" t="s">
        <v>31</v>
      </c>
    </row>
    <row r="2904" spans="1:10" x14ac:dyDescent="0.3">
      <c r="A2904" t="str">
        <f>"64123871"</f>
        <v>64123871</v>
      </c>
      <c r="B2904" t="s">
        <v>5873</v>
      </c>
      <c r="C2904" t="str">
        <f t="shared" si="206"/>
        <v>118</v>
      </c>
      <c r="D2904" t="s">
        <v>337</v>
      </c>
      <c r="E2904" t="s">
        <v>29</v>
      </c>
      <c r="F2904" t="s">
        <v>38</v>
      </c>
      <c r="G2904" t="s">
        <v>5874</v>
      </c>
      <c r="H2904" t="str">
        <f t="shared" si="210"/>
        <v>9499</v>
      </c>
      <c r="I2904" t="s">
        <v>31</v>
      </c>
    </row>
    <row r="2905" spans="1:10" x14ac:dyDescent="0.3">
      <c r="A2905" t="str">
        <f>"62181904"</f>
        <v>62181904</v>
      </c>
      <c r="B2905" t="s">
        <v>5875</v>
      </c>
      <c r="C2905" t="str">
        <f t="shared" si="206"/>
        <v>118</v>
      </c>
      <c r="D2905" t="s">
        <v>337</v>
      </c>
      <c r="E2905" t="s">
        <v>23</v>
      </c>
      <c r="F2905" t="s">
        <v>23</v>
      </c>
      <c r="G2905" t="s">
        <v>5876</v>
      </c>
      <c r="H2905" t="str">
        <f t="shared" si="210"/>
        <v>9499</v>
      </c>
      <c r="I2905" t="s">
        <v>31</v>
      </c>
    </row>
    <row r="2906" spans="1:10" x14ac:dyDescent="0.3">
      <c r="A2906" t="str">
        <f>"25832077"</f>
        <v>25832077</v>
      </c>
      <c r="B2906" t="s">
        <v>5877</v>
      </c>
      <c r="C2906" t="str">
        <f t="shared" si="206"/>
        <v>118</v>
      </c>
      <c r="D2906" t="s">
        <v>337</v>
      </c>
      <c r="E2906" t="s">
        <v>29</v>
      </c>
      <c r="F2906" t="s">
        <v>653</v>
      </c>
      <c r="G2906" t="s">
        <v>5878</v>
      </c>
      <c r="H2906" t="str">
        <f t="shared" si="210"/>
        <v>9499</v>
      </c>
      <c r="I2906" t="s">
        <v>31</v>
      </c>
    </row>
    <row r="2907" spans="1:10" x14ac:dyDescent="0.3">
      <c r="A2907" t="str">
        <f>"68898606"</f>
        <v>68898606</v>
      </c>
      <c r="B2907" t="s">
        <v>5879</v>
      </c>
      <c r="C2907" t="str">
        <f t="shared" si="206"/>
        <v>118</v>
      </c>
      <c r="D2907" t="s">
        <v>337</v>
      </c>
      <c r="E2907" t="s">
        <v>29</v>
      </c>
      <c r="F2907" t="s">
        <v>135</v>
      </c>
      <c r="G2907" t="s">
        <v>5880</v>
      </c>
      <c r="H2907" t="str">
        <f t="shared" si="210"/>
        <v>9499</v>
      </c>
      <c r="I2907" t="s">
        <v>31</v>
      </c>
    </row>
    <row r="2908" spans="1:10" x14ac:dyDescent="0.3">
      <c r="A2908" t="str">
        <f>"28576179"</f>
        <v>28576179</v>
      </c>
      <c r="B2908" t="s">
        <v>5881</v>
      </c>
      <c r="C2908" t="str">
        <f t="shared" si="206"/>
        <v>118</v>
      </c>
      <c r="D2908" t="s">
        <v>337</v>
      </c>
      <c r="E2908" t="s">
        <v>29</v>
      </c>
      <c r="F2908" t="s">
        <v>195</v>
      </c>
      <c r="G2908" t="s">
        <v>5882</v>
      </c>
      <c r="H2908" t="str">
        <f t="shared" si="210"/>
        <v>9499</v>
      </c>
      <c r="I2908" t="s">
        <v>31</v>
      </c>
    </row>
    <row r="2909" spans="1:10" x14ac:dyDescent="0.3">
      <c r="A2909" t="str">
        <f>"18190294"</f>
        <v>18190294</v>
      </c>
      <c r="B2909" t="s">
        <v>5883</v>
      </c>
      <c r="C2909" t="str">
        <f t="shared" si="206"/>
        <v>118</v>
      </c>
      <c r="D2909" t="s">
        <v>337</v>
      </c>
      <c r="E2909" t="s">
        <v>83</v>
      </c>
      <c r="F2909" t="s">
        <v>83</v>
      </c>
      <c r="G2909" t="s">
        <v>2331</v>
      </c>
      <c r="H2909" t="str">
        <f>"88"</f>
        <v>88</v>
      </c>
      <c r="I2909" t="s">
        <v>154</v>
      </c>
    </row>
    <row r="2910" spans="1:10" x14ac:dyDescent="0.3">
      <c r="A2910" t="str">
        <f>"22351761"</f>
        <v>22351761</v>
      </c>
      <c r="B2910" t="s">
        <v>5884</v>
      </c>
      <c r="C2910" t="str">
        <f t="shared" si="206"/>
        <v>118</v>
      </c>
      <c r="D2910" t="s">
        <v>337</v>
      </c>
      <c r="E2910" t="s">
        <v>29</v>
      </c>
      <c r="F2910" t="s">
        <v>1654</v>
      </c>
      <c r="G2910" t="s">
        <v>5885</v>
      </c>
      <c r="H2910" t="str">
        <f t="shared" ref="H2910:H2914" si="211">"9499"</f>
        <v>9499</v>
      </c>
      <c r="I2910" t="s">
        <v>31</v>
      </c>
    </row>
    <row r="2911" spans="1:10" x14ac:dyDescent="0.3">
      <c r="A2911" t="str">
        <f>"22333444"</f>
        <v>22333444</v>
      </c>
      <c r="B2911" t="s">
        <v>5886</v>
      </c>
      <c r="C2911" t="str">
        <f t="shared" si="206"/>
        <v>118</v>
      </c>
      <c r="D2911" t="s">
        <v>337</v>
      </c>
      <c r="E2911" t="s">
        <v>23</v>
      </c>
      <c r="F2911" t="s">
        <v>68</v>
      </c>
      <c r="G2911" t="s">
        <v>5887</v>
      </c>
      <c r="H2911" t="str">
        <f t="shared" si="211"/>
        <v>9499</v>
      </c>
      <c r="I2911" t="s">
        <v>31</v>
      </c>
    </row>
    <row r="2912" spans="1:10" x14ac:dyDescent="0.3">
      <c r="A2912" t="str">
        <f>"28282051"</f>
        <v>28282051</v>
      </c>
      <c r="B2912" t="s">
        <v>5888</v>
      </c>
      <c r="C2912" t="str">
        <f t="shared" si="206"/>
        <v>118</v>
      </c>
      <c r="D2912" t="s">
        <v>337</v>
      </c>
      <c r="E2912" t="s">
        <v>23</v>
      </c>
      <c r="F2912" t="s">
        <v>459</v>
      </c>
      <c r="G2912" t="s">
        <v>5889</v>
      </c>
      <c r="H2912" t="str">
        <f t="shared" si="211"/>
        <v>9499</v>
      </c>
      <c r="I2912" t="s">
        <v>31</v>
      </c>
      <c r="J2912" t="s">
        <v>26</v>
      </c>
    </row>
    <row r="2913" spans="1:11" x14ac:dyDescent="0.3">
      <c r="A2913" t="str">
        <f>"62182323"</f>
        <v>62182323</v>
      </c>
      <c r="B2913" t="s">
        <v>5890</v>
      </c>
      <c r="C2913" t="str">
        <f t="shared" si="206"/>
        <v>118</v>
      </c>
      <c r="D2913" t="s">
        <v>337</v>
      </c>
      <c r="E2913" t="s">
        <v>23</v>
      </c>
      <c r="F2913" t="s">
        <v>975</v>
      </c>
      <c r="G2913" t="s">
        <v>5891</v>
      </c>
      <c r="H2913" t="str">
        <f t="shared" si="211"/>
        <v>9499</v>
      </c>
      <c r="I2913" t="s">
        <v>31</v>
      </c>
    </row>
    <row r="2914" spans="1:11" x14ac:dyDescent="0.3">
      <c r="A2914" t="str">
        <f>"07739575"</f>
        <v>07739575</v>
      </c>
      <c r="B2914" t="s">
        <v>5892</v>
      </c>
      <c r="C2914" t="str">
        <f t="shared" si="206"/>
        <v>118</v>
      </c>
      <c r="D2914" t="s">
        <v>337</v>
      </c>
      <c r="E2914" t="s">
        <v>52</v>
      </c>
      <c r="F2914" t="s">
        <v>379</v>
      </c>
      <c r="G2914" t="s">
        <v>5893</v>
      </c>
      <c r="H2914" t="str">
        <f t="shared" si="211"/>
        <v>9499</v>
      </c>
      <c r="I2914" t="s">
        <v>31</v>
      </c>
    </row>
    <row r="2915" spans="1:11" x14ac:dyDescent="0.3">
      <c r="A2915" t="str">
        <f>"07703899"</f>
        <v>07703899</v>
      </c>
      <c r="B2915" t="s">
        <v>5896</v>
      </c>
      <c r="C2915" t="str">
        <f t="shared" ref="C2915:C2949" si="212">"118"</f>
        <v>118</v>
      </c>
      <c r="D2915" t="s">
        <v>337</v>
      </c>
      <c r="E2915" t="s">
        <v>52</v>
      </c>
      <c r="F2915" t="s">
        <v>52</v>
      </c>
      <c r="G2915" t="s">
        <v>53</v>
      </c>
      <c r="H2915" t="str">
        <f>"93190"</f>
        <v>93190</v>
      </c>
      <c r="I2915" t="s">
        <v>59</v>
      </c>
    </row>
    <row r="2916" spans="1:11" x14ac:dyDescent="0.3">
      <c r="A2916" t="str">
        <f>"28319737"</f>
        <v>28319737</v>
      </c>
      <c r="B2916" t="s">
        <v>5897</v>
      </c>
      <c r="C2916" t="str">
        <f t="shared" si="212"/>
        <v>118</v>
      </c>
      <c r="D2916" t="s">
        <v>337</v>
      </c>
      <c r="E2916" t="s">
        <v>52</v>
      </c>
      <c r="F2916" t="s">
        <v>52</v>
      </c>
      <c r="G2916" t="s">
        <v>5898</v>
      </c>
      <c r="H2916" t="str">
        <f>"9499"</f>
        <v>9499</v>
      </c>
      <c r="I2916" t="s">
        <v>31</v>
      </c>
      <c r="J2916" t="s">
        <v>154</v>
      </c>
    </row>
    <row r="2917" spans="1:11" x14ac:dyDescent="0.3">
      <c r="A2917" t="str">
        <f>"44740671"</f>
        <v>44740671</v>
      </c>
      <c r="B2917" t="s">
        <v>5899</v>
      </c>
      <c r="C2917" t="str">
        <f t="shared" si="212"/>
        <v>118</v>
      </c>
      <c r="D2917" t="s">
        <v>337</v>
      </c>
      <c r="E2917" t="s">
        <v>29</v>
      </c>
      <c r="F2917" t="s">
        <v>195</v>
      </c>
      <c r="G2917" t="s">
        <v>5900</v>
      </c>
      <c r="H2917" t="str">
        <f>"9499"</f>
        <v>9499</v>
      </c>
      <c r="I2917" t="s">
        <v>31</v>
      </c>
    </row>
    <row r="2918" spans="1:11" x14ac:dyDescent="0.3">
      <c r="A2918" t="str">
        <f>"25823761"</f>
        <v>25823761</v>
      </c>
      <c r="B2918" t="s">
        <v>5901</v>
      </c>
      <c r="C2918" t="str">
        <f t="shared" si="212"/>
        <v>118</v>
      </c>
      <c r="D2918" t="s">
        <v>337</v>
      </c>
      <c r="E2918" t="s">
        <v>29</v>
      </c>
      <c r="F2918" t="s">
        <v>29</v>
      </c>
      <c r="G2918" t="s">
        <v>5902</v>
      </c>
      <c r="H2918" t="str">
        <f>"9499"</f>
        <v>9499</v>
      </c>
      <c r="I2918" t="s">
        <v>31</v>
      </c>
    </row>
    <row r="2919" spans="1:11" x14ac:dyDescent="0.3">
      <c r="A2919" t="str">
        <f>"29270031"</f>
        <v>29270031</v>
      </c>
      <c r="B2919" t="s">
        <v>5903</v>
      </c>
      <c r="C2919" t="str">
        <f t="shared" si="212"/>
        <v>118</v>
      </c>
      <c r="D2919" t="s">
        <v>337</v>
      </c>
      <c r="E2919" t="s">
        <v>23</v>
      </c>
      <c r="F2919" t="s">
        <v>23</v>
      </c>
      <c r="G2919" t="s">
        <v>5904</v>
      </c>
      <c r="H2919" t="str">
        <f>"8559"</f>
        <v>8559</v>
      </c>
      <c r="I2919" t="s">
        <v>115</v>
      </c>
      <c r="J2919" t="s">
        <v>26</v>
      </c>
      <c r="K2919" t="s">
        <v>126</v>
      </c>
    </row>
    <row r="2920" spans="1:11" x14ac:dyDescent="0.3">
      <c r="A2920" t="str">
        <f>"04697189"</f>
        <v>04697189</v>
      </c>
      <c r="B2920" t="s">
        <v>5905</v>
      </c>
      <c r="C2920" t="str">
        <f t="shared" si="212"/>
        <v>118</v>
      </c>
      <c r="D2920" t="s">
        <v>337</v>
      </c>
      <c r="E2920" t="s">
        <v>23</v>
      </c>
      <c r="F2920" t="s">
        <v>87</v>
      </c>
      <c r="G2920" t="s">
        <v>5906</v>
      </c>
      <c r="H2920" t="str">
        <f>"9499"</f>
        <v>9499</v>
      </c>
      <c r="I2920" t="s">
        <v>31</v>
      </c>
      <c r="J2920" t="s">
        <v>146</v>
      </c>
    </row>
    <row r="2921" spans="1:11" x14ac:dyDescent="0.3">
      <c r="A2921" t="str">
        <f>"08416800"</f>
        <v>08416800</v>
      </c>
      <c r="B2921" t="s">
        <v>5907</v>
      </c>
      <c r="C2921" t="str">
        <f t="shared" si="212"/>
        <v>118</v>
      </c>
      <c r="D2921" t="s">
        <v>337</v>
      </c>
      <c r="E2921" t="s">
        <v>23</v>
      </c>
      <c r="F2921" t="s">
        <v>1418</v>
      </c>
      <c r="G2921" t="s">
        <v>5908</v>
      </c>
      <c r="H2921" t="str">
        <f>"94999"</f>
        <v>94999</v>
      </c>
      <c r="I2921" t="s">
        <v>202</v>
      </c>
    </row>
    <row r="2922" spans="1:11" x14ac:dyDescent="0.3">
      <c r="A2922" t="str">
        <f>"25837150"</f>
        <v>25837150</v>
      </c>
      <c r="B2922" t="s">
        <v>5909</v>
      </c>
      <c r="C2922" t="str">
        <f t="shared" si="212"/>
        <v>118</v>
      </c>
      <c r="D2922" t="s">
        <v>337</v>
      </c>
      <c r="E2922" t="s">
        <v>29</v>
      </c>
      <c r="F2922" t="s">
        <v>29</v>
      </c>
      <c r="G2922" t="s">
        <v>5910</v>
      </c>
      <c r="H2922" t="str">
        <f t="shared" ref="H2922:H2928" si="213">"9499"</f>
        <v>9499</v>
      </c>
      <c r="I2922" t="s">
        <v>31</v>
      </c>
    </row>
    <row r="2923" spans="1:11" x14ac:dyDescent="0.3">
      <c r="A2923" t="str">
        <f>"62334638"</f>
        <v>62334638</v>
      </c>
      <c r="B2923" t="s">
        <v>5911</v>
      </c>
      <c r="C2923" t="str">
        <f t="shared" si="212"/>
        <v>118</v>
      </c>
      <c r="D2923" t="s">
        <v>337</v>
      </c>
      <c r="E2923" t="s">
        <v>29</v>
      </c>
      <c r="F2923" t="s">
        <v>195</v>
      </c>
      <c r="G2923" t="s">
        <v>5912</v>
      </c>
      <c r="H2923" t="str">
        <f t="shared" si="213"/>
        <v>9499</v>
      </c>
      <c r="I2923" t="s">
        <v>31</v>
      </c>
    </row>
    <row r="2924" spans="1:11" x14ac:dyDescent="0.3">
      <c r="A2924" t="str">
        <f>"08730628"</f>
        <v>08730628</v>
      </c>
      <c r="B2924" t="s">
        <v>5913</v>
      </c>
      <c r="C2924" t="str">
        <f t="shared" si="212"/>
        <v>118</v>
      </c>
      <c r="D2924" t="s">
        <v>337</v>
      </c>
      <c r="E2924" t="s">
        <v>29</v>
      </c>
      <c r="F2924" t="s">
        <v>29</v>
      </c>
      <c r="G2924" t="s">
        <v>5914</v>
      </c>
      <c r="H2924" t="str">
        <f t="shared" si="213"/>
        <v>9499</v>
      </c>
      <c r="I2924" t="s">
        <v>31</v>
      </c>
      <c r="J2924" t="s">
        <v>154</v>
      </c>
    </row>
    <row r="2925" spans="1:11" x14ac:dyDescent="0.3">
      <c r="A2925" t="str">
        <f>"66184363"</f>
        <v>66184363</v>
      </c>
      <c r="B2925" t="s">
        <v>5915</v>
      </c>
      <c r="C2925" t="str">
        <f t="shared" si="212"/>
        <v>118</v>
      </c>
      <c r="D2925" t="s">
        <v>337</v>
      </c>
      <c r="E2925" t="s">
        <v>29</v>
      </c>
      <c r="F2925" t="s">
        <v>38</v>
      </c>
      <c r="G2925" t="s">
        <v>1883</v>
      </c>
      <c r="H2925" t="str">
        <f t="shared" si="213"/>
        <v>9499</v>
      </c>
      <c r="I2925" t="s">
        <v>31</v>
      </c>
    </row>
    <row r="2926" spans="1:11" x14ac:dyDescent="0.3">
      <c r="A2926" t="str">
        <f>"28583353"</f>
        <v>28583353</v>
      </c>
      <c r="B2926" t="s">
        <v>5916</v>
      </c>
      <c r="C2926" t="str">
        <f t="shared" si="212"/>
        <v>118</v>
      </c>
      <c r="D2926" t="s">
        <v>337</v>
      </c>
      <c r="E2926" t="s">
        <v>29</v>
      </c>
      <c r="F2926" t="s">
        <v>45</v>
      </c>
      <c r="G2926" t="s">
        <v>2998</v>
      </c>
      <c r="H2926" t="str">
        <f t="shared" si="213"/>
        <v>9499</v>
      </c>
      <c r="I2926" t="s">
        <v>31</v>
      </c>
    </row>
    <row r="2927" spans="1:11" x14ac:dyDescent="0.3">
      <c r="A2927" t="str">
        <f>"04885422"</f>
        <v>04885422</v>
      </c>
      <c r="B2927" t="s">
        <v>5917</v>
      </c>
      <c r="C2927" t="str">
        <f t="shared" si="212"/>
        <v>118</v>
      </c>
      <c r="D2927" t="s">
        <v>337</v>
      </c>
      <c r="E2927" t="s">
        <v>52</v>
      </c>
      <c r="F2927" t="s">
        <v>52</v>
      </c>
      <c r="G2927" t="s">
        <v>5918</v>
      </c>
      <c r="H2927" t="str">
        <f t="shared" si="213"/>
        <v>9499</v>
      </c>
      <c r="I2927" t="s">
        <v>31</v>
      </c>
    </row>
    <row r="2928" spans="1:11" x14ac:dyDescent="0.3">
      <c r="A2928" t="str">
        <f>"47933992"</f>
        <v>47933992</v>
      </c>
      <c r="B2928" t="s">
        <v>5919</v>
      </c>
      <c r="C2928" t="str">
        <f t="shared" si="212"/>
        <v>118</v>
      </c>
      <c r="D2928" t="s">
        <v>337</v>
      </c>
      <c r="E2928" t="s">
        <v>83</v>
      </c>
      <c r="F2928" t="s">
        <v>83</v>
      </c>
      <c r="G2928" t="s">
        <v>5920</v>
      </c>
      <c r="H2928" t="str">
        <f t="shared" si="213"/>
        <v>9499</v>
      </c>
      <c r="I2928" t="s">
        <v>31</v>
      </c>
    </row>
    <row r="2929" spans="1:10" x14ac:dyDescent="0.3">
      <c r="A2929" t="str">
        <f>"29361567"</f>
        <v>29361567</v>
      </c>
      <c r="B2929" t="s">
        <v>5921</v>
      </c>
      <c r="C2929" t="str">
        <f t="shared" si="212"/>
        <v>118</v>
      </c>
      <c r="D2929" t="s">
        <v>337</v>
      </c>
      <c r="E2929" t="s">
        <v>83</v>
      </c>
      <c r="F2929" t="s">
        <v>1425</v>
      </c>
      <c r="G2929" t="s">
        <v>5922</v>
      </c>
      <c r="H2929" t="str">
        <f>"88"</f>
        <v>88</v>
      </c>
      <c r="I2929" t="s">
        <v>154</v>
      </c>
    </row>
    <row r="2930" spans="1:10" x14ac:dyDescent="0.3">
      <c r="A2930" t="str">
        <f>"26817608"</f>
        <v>26817608</v>
      </c>
      <c r="B2930" t="s">
        <v>5923</v>
      </c>
      <c r="C2930" t="str">
        <f t="shared" si="212"/>
        <v>118</v>
      </c>
      <c r="D2930" t="s">
        <v>337</v>
      </c>
      <c r="E2930" t="s">
        <v>29</v>
      </c>
      <c r="F2930" t="s">
        <v>670</v>
      </c>
      <c r="G2930" t="s">
        <v>5924</v>
      </c>
      <c r="H2930" t="str">
        <f t="shared" ref="H2930:H2939" si="214">"9499"</f>
        <v>9499</v>
      </c>
      <c r="I2930" t="s">
        <v>31</v>
      </c>
    </row>
    <row r="2931" spans="1:10" x14ac:dyDescent="0.3">
      <c r="A2931" t="str">
        <f>"60990520"</f>
        <v>60990520</v>
      </c>
      <c r="B2931" t="s">
        <v>5925</v>
      </c>
      <c r="C2931" t="str">
        <f t="shared" si="212"/>
        <v>118</v>
      </c>
      <c r="D2931" t="s">
        <v>337</v>
      </c>
      <c r="E2931" t="s">
        <v>29</v>
      </c>
      <c r="F2931" t="s">
        <v>1121</v>
      </c>
      <c r="G2931" t="s">
        <v>5926</v>
      </c>
      <c r="H2931" t="str">
        <f t="shared" si="214"/>
        <v>9499</v>
      </c>
      <c r="I2931" t="s">
        <v>31</v>
      </c>
    </row>
    <row r="2932" spans="1:10" x14ac:dyDescent="0.3">
      <c r="A2932" t="str">
        <f>"64123618"</f>
        <v>64123618</v>
      </c>
      <c r="B2932" t="s">
        <v>5927</v>
      </c>
      <c r="C2932" t="str">
        <f t="shared" si="212"/>
        <v>118</v>
      </c>
      <c r="D2932" t="s">
        <v>337</v>
      </c>
      <c r="E2932" t="s">
        <v>29</v>
      </c>
      <c r="F2932" t="s">
        <v>38</v>
      </c>
      <c r="G2932" t="s">
        <v>5928</v>
      </c>
      <c r="H2932" t="str">
        <f t="shared" si="214"/>
        <v>9499</v>
      </c>
      <c r="I2932" t="s">
        <v>31</v>
      </c>
    </row>
    <row r="2933" spans="1:10" x14ac:dyDescent="0.3">
      <c r="A2933" t="str">
        <f>"25881582"</f>
        <v>25881582</v>
      </c>
      <c r="B2933" t="s">
        <v>5929</v>
      </c>
      <c r="C2933" t="str">
        <f t="shared" si="212"/>
        <v>118</v>
      </c>
      <c r="D2933" t="s">
        <v>337</v>
      </c>
      <c r="E2933" t="s">
        <v>29</v>
      </c>
      <c r="F2933" t="s">
        <v>775</v>
      </c>
      <c r="G2933" t="s">
        <v>5930</v>
      </c>
      <c r="H2933" t="str">
        <f t="shared" si="214"/>
        <v>9499</v>
      </c>
      <c r="I2933" t="s">
        <v>31</v>
      </c>
    </row>
    <row r="2934" spans="1:10" x14ac:dyDescent="0.3">
      <c r="A2934" t="str">
        <f>"47863668"</f>
        <v>47863668</v>
      </c>
      <c r="B2934" t="s">
        <v>5931</v>
      </c>
      <c r="C2934" t="str">
        <f t="shared" si="212"/>
        <v>118</v>
      </c>
      <c r="D2934" t="s">
        <v>337</v>
      </c>
      <c r="E2934" t="s">
        <v>29</v>
      </c>
      <c r="F2934" t="s">
        <v>1590</v>
      </c>
      <c r="G2934" t="s">
        <v>5932</v>
      </c>
      <c r="H2934" t="str">
        <f t="shared" si="214"/>
        <v>9499</v>
      </c>
      <c r="I2934" t="s">
        <v>31</v>
      </c>
    </row>
    <row r="2935" spans="1:10" x14ac:dyDescent="0.3">
      <c r="A2935" t="str">
        <f>"60990163"</f>
        <v>60990163</v>
      </c>
      <c r="B2935" t="s">
        <v>5933</v>
      </c>
      <c r="C2935" t="str">
        <f t="shared" si="212"/>
        <v>118</v>
      </c>
      <c r="D2935" t="s">
        <v>337</v>
      </c>
      <c r="E2935" t="s">
        <v>29</v>
      </c>
      <c r="F2935" t="s">
        <v>38</v>
      </c>
      <c r="G2935" t="s">
        <v>5934</v>
      </c>
      <c r="H2935" t="str">
        <f t="shared" si="214"/>
        <v>9499</v>
      </c>
      <c r="I2935" t="s">
        <v>31</v>
      </c>
    </row>
    <row r="2936" spans="1:10" x14ac:dyDescent="0.3">
      <c r="A2936" t="str">
        <f>"69211566"</f>
        <v>69211566</v>
      </c>
      <c r="B2936" t="s">
        <v>5935</v>
      </c>
      <c r="C2936" t="str">
        <f t="shared" si="212"/>
        <v>118</v>
      </c>
      <c r="D2936" t="s">
        <v>337</v>
      </c>
      <c r="E2936" t="s">
        <v>29</v>
      </c>
      <c r="F2936" t="s">
        <v>45</v>
      </c>
      <c r="G2936" t="s">
        <v>5936</v>
      </c>
      <c r="H2936" t="str">
        <f t="shared" si="214"/>
        <v>9499</v>
      </c>
      <c r="I2936" t="s">
        <v>31</v>
      </c>
    </row>
    <row r="2937" spans="1:10" x14ac:dyDescent="0.3">
      <c r="A2937" t="str">
        <f>"64123316"</f>
        <v>64123316</v>
      </c>
      <c r="B2937" t="s">
        <v>5937</v>
      </c>
      <c r="C2937" t="str">
        <f t="shared" si="212"/>
        <v>118</v>
      </c>
      <c r="D2937" t="s">
        <v>337</v>
      </c>
      <c r="E2937" t="s">
        <v>29</v>
      </c>
      <c r="F2937" t="s">
        <v>38</v>
      </c>
      <c r="G2937" t="s">
        <v>4007</v>
      </c>
      <c r="H2937" t="str">
        <f t="shared" si="214"/>
        <v>9499</v>
      </c>
      <c r="I2937" t="s">
        <v>31</v>
      </c>
    </row>
    <row r="2938" spans="1:10" x14ac:dyDescent="0.3">
      <c r="A2938" t="str">
        <f>"62181122"</f>
        <v>62181122</v>
      </c>
      <c r="B2938" t="s">
        <v>5938</v>
      </c>
      <c r="C2938" t="str">
        <f t="shared" si="212"/>
        <v>118</v>
      </c>
      <c r="D2938" t="s">
        <v>337</v>
      </c>
      <c r="E2938" t="s">
        <v>23</v>
      </c>
      <c r="F2938" t="s">
        <v>23</v>
      </c>
      <c r="G2938" t="s">
        <v>5939</v>
      </c>
      <c r="H2938" t="str">
        <f t="shared" si="214"/>
        <v>9499</v>
      </c>
      <c r="I2938" t="s">
        <v>31</v>
      </c>
      <c r="J2938" t="s">
        <v>595</v>
      </c>
    </row>
    <row r="2939" spans="1:10" x14ac:dyDescent="0.3">
      <c r="A2939" t="str">
        <f>"09526714"</f>
        <v>09526714</v>
      </c>
      <c r="B2939" t="s">
        <v>5940</v>
      </c>
      <c r="C2939" t="str">
        <f t="shared" si="212"/>
        <v>118</v>
      </c>
      <c r="D2939" t="s">
        <v>337</v>
      </c>
      <c r="E2939" t="s">
        <v>52</v>
      </c>
      <c r="F2939" t="s">
        <v>94</v>
      </c>
      <c r="G2939" t="s">
        <v>5941</v>
      </c>
      <c r="H2939" t="str">
        <f t="shared" si="214"/>
        <v>9499</v>
      </c>
      <c r="I2939" t="s">
        <v>31</v>
      </c>
    </row>
    <row r="2940" spans="1:10" x14ac:dyDescent="0.3">
      <c r="A2940" t="str">
        <f>"09715762"</f>
        <v>09715762</v>
      </c>
      <c r="B2940" t="s">
        <v>5942</v>
      </c>
      <c r="C2940" t="str">
        <f t="shared" si="212"/>
        <v>118</v>
      </c>
      <c r="D2940" t="s">
        <v>337</v>
      </c>
      <c r="E2940" t="s">
        <v>23</v>
      </c>
      <c r="F2940" t="s">
        <v>23</v>
      </c>
      <c r="G2940" t="s">
        <v>5943</v>
      </c>
      <c r="H2940" t="str">
        <f>"9002"</f>
        <v>9002</v>
      </c>
      <c r="I2940" t="s">
        <v>163</v>
      </c>
      <c r="J2940" t="s">
        <v>5944</v>
      </c>
    </row>
    <row r="2941" spans="1:10" x14ac:dyDescent="0.3">
      <c r="A2941" t="str">
        <f>"07699638"</f>
        <v>07699638</v>
      </c>
      <c r="B2941" t="s">
        <v>5945</v>
      </c>
      <c r="C2941" t="str">
        <f t="shared" si="212"/>
        <v>118</v>
      </c>
      <c r="D2941" t="s">
        <v>337</v>
      </c>
      <c r="E2941" t="s">
        <v>29</v>
      </c>
      <c r="F2941" t="s">
        <v>38</v>
      </c>
      <c r="G2941" t="s">
        <v>5946</v>
      </c>
      <c r="H2941" t="str">
        <f>"94996"</f>
        <v>94996</v>
      </c>
      <c r="I2941" t="s">
        <v>47</v>
      </c>
    </row>
    <row r="2942" spans="1:10" x14ac:dyDescent="0.3">
      <c r="A2942" t="str">
        <f>"66184509"</f>
        <v>66184509</v>
      </c>
      <c r="B2942" t="s">
        <v>5947</v>
      </c>
      <c r="C2942" t="str">
        <f t="shared" si="212"/>
        <v>118</v>
      </c>
      <c r="D2942" t="s">
        <v>337</v>
      </c>
      <c r="E2942" t="s">
        <v>29</v>
      </c>
      <c r="F2942" t="s">
        <v>1654</v>
      </c>
      <c r="G2942" t="s">
        <v>5948</v>
      </c>
      <c r="H2942" t="str">
        <f>"9499"</f>
        <v>9499</v>
      </c>
      <c r="I2942" t="s">
        <v>31</v>
      </c>
    </row>
    <row r="2943" spans="1:10" x14ac:dyDescent="0.3">
      <c r="A2943" t="str">
        <f>"26810379"</f>
        <v>26810379</v>
      </c>
      <c r="B2943" t="s">
        <v>5949</v>
      </c>
      <c r="C2943" t="str">
        <f t="shared" si="212"/>
        <v>118</v>
      </c>
      <c r="D2943" t="s">
        <v>337</v>
      </c>
      <c r="E2943" t="s">
        <v>29</v>
      </c>
      <c r="F2943" t="s">
        <v>607</v>
      </c>
      <c r="G2943" t="s">
        <v>5950</v>
      </c>
      <c r="H2943" t="str">
        <f>"9499"</f>
        <v>9499</v>
      </c>
      <c r="I2943" t="s">
        <v>31</v>
      </c>
    </row>
    <row r="2944" spans="1:10" x14ac:dyDescent="0.3">
      <c r="A2944" t="str">
        <f>"25830643"</f>
        <v>25830643</v>
      </c>
      <c r="B2944" t="s">
        <v>5951</v>
      </c>
      <c r="C2944" t="str">
        <f t="shared" si="212"/>
        <v>118</v>
      </c>
      <c r="D2944" t="s">
        <v>337</v>
      </c>
      <c r="E2944" t="s">
        <v>29</v>
      </c>
      <c r="F2944" t="s">
        <v>306</v>
      </c>
      <c r="G2944" t="s">
        <v>5952</v>
      </c>
      <c r="H2944" t="str">
        <f>"9499"</f>
        <v>9499</v>
      </c>
      <c r="I2944" t="s">
        <v>31</v>
      </c>
    </row>
    <row r="2945" spans="1:13" x14ac:dyDescent="0.3">
      <c r="A2945" t="str">
        <f>"64123502"</f>
        <v>64123502</v>
      </c>
      <c r="B2945" t="s">
        <v>5953</v>
      </c>
      <c r="C2945" t="str">
        <f t="shared" si="212"/>
        <v>118</v>
      </c>
      <c r="D2945" t="s">
        <v>337</v>
      </c>
      <c r="E2945" t="s">
        <v>29</v>
      </c>
      <c r="F2945" t="s">
        <v>38</v>
      </c>
      <c r="G2945" t="s">
        <v>5954</v>
      </c>
      <c r="H2945" t="str">
        <f>"9499"</f>
        <v>9499</v>
      </c>
      <c r="I2945" t="s">
        <v>31</v>
      </c>
    </row>
    <row r="2946" spans="1:13" x14ac:dyDescent="0.3">
      <c r="A2946" t="str">
        <f>"05807981"</f>
        <v>05807981</v>
      </c>
      <c r="B2946" t="s">
        <v>5955</v>
      </c>
      <c r="C2946" t="str">
        <f t="shared" si="212"/>
        <v>118</v>
      </c>
      <c r="D2946" t="s">
        <v>337</v>
      </c>
      <c r="E2946" t="s">
        <v>23</v>
      </c>
      <c r="F2946" t="s">
        <v>23</v>
      </c>
      <c r="G2946" t="s">
        <v>581</v>
      </c>
      <c r="H2946" t="str">
        <f>"94996"</f>
        <v>94996</v>
      </c>
      <c r="I2946" t="s">
        <v>47</v>
      </c>
    </row>
    <row r="2947" spans="1:13" x14ac:dyDescent="0.3">
      <c r="A2947" t="str">
        <f>"68898746"</f>
        <v>68898746</v>
      </c>
      <c r="B2947" t="s">
        <v>5956</v>
      </c>
      <c r="C2947" t="str">
        <f t="shared" si="212"/>
        <v>118</v>
      </c>
      <c r="D2947" t="s">
        <v>337</v>
      </c>
      <c r="E2947" t="s">
        <v>29</v>
      </c>
      <c r="F2947" t="s">
        <v>195</v>
      </c>
      <c r="G2947" t="s">
        <v>4722</v>
      </c>
      <c r="H2947" t="str">
        <f>"9499"</f>
        <v>9499</v>
      </c>
      <c r="I2947" t="s">
        <v>31</v>
      </c>
    </row>
    <row r="2948" spans="1:13" x14ac:dyDescent="0.3">
      <c r="A2948" t="str">
        <f>"45211752"</f>
        <v>45211752</v>
      </c>
      <c r="B2948" t="s">
        <v>5957</v>
      </c>
      <c r="C2948" t="str">
        <f t="shared" si="212"/>
        <v>118</v>
      </c>
      <c r="D2948" t="s">
        <v>337</v>
      </c>
      <c r="E2948" t="s">
        <v>29</v>
      </c>
      <c r="F2948" t="s">
        <v>607</v>
      </c>
      <c r="G2948" t="s">
        <v>5958</v>
      </c>
      <c r="H2948" t="str">
        <f>"9499"</f>
        <v>9499</v>
      </c>
      <c r="I2948" t="s">
        <v>31</v>
      </c>
    </row>
    <row r="2949" spans="1:13" x14ac:dyDescent="0.3">
      <c r="A2949" t="str">
        <f>"06647081"</f>
        <v>06647081</v>
      </c>
      <c r="B2949" t="s">
        <v>5959</v>
      </c>
      <c r="C2949" t="str">
        <f t="shared" si="212"/>
        <v>118</v>
      </c>
      <c r="D2949" t="s">
        <v>337</v>
      </c>
      <c r="E2949" t="s">
        <v>83</v>
      </c>
      <c r="F2949" t="s">
        <v>83</v>
      </c>
      <c r="G2949" t="s">
        <v>5960</v>
      </c>
      <c r="H2949" t="str">
        <f>"9499"</f>
        <v>9499</v>
      </c>
      <c r="I2949" t="s">
        <v>31</v>
      </c>
    </row>
    <row r="2950" spans="1:13" x14ac:dyDescent="0.3">
      <c r="A2950" t="str">
        <f>"22708421"</f>
        <v>22708421</v>
      </c>
      <c r="B2950" t="s">
        <v>5961</v>
      </c>
      <c r="C2950" t="str">
        <f>"706"</f>
        <v>706</v>
      </c>
      <c r="D2950" t="s">
        <v>28</v>
      </c>
      <c r="E2950" t="s">
        <v>52</v>
      </c>
      <c r="F2950" t="s">
        <v>52</v>
      </c>
      <c r="G2950" t="s">
        <v>5962</v>
      </c>
      <c r="H2950" t="str">
        <f>"94993"</f>
        <v>94993</v>
      </c>
      <c r="I2950" t="s">
        <v>50</v>
      </c>
    </row>
    <row r="2951" spans="1:13" x14ac:dyDescent="0.3">
      <c r="A2951" t="str">
        <f>"29378800"</f>
        <v>29378800</v>
      </c>
      <c r="B2951" t="s">
        <v>5963</v>
      </c>
      <c r="C2951" t="str">
        <f>"141"</f>
        <v>141</v>
      </c>
      <c r="D2951" t="s">
        <v>112</v>
      </c>
      <c r="E2951" t="s">
        <v>23</v>
      </c>
      <c r="F2951" t="s">
        <v>24</v>
      </c>
      <c r="G2951" t="s">
        <v>5964</v>
      </c>
      <c r="H2951" t="str">
        <f>"889"</f>
        <v>889</v>
      </c>
      <c r="I2951" t="s">
        <v>5965</v>
      </c>
      <c r="J2951" t="s">
        <v>5966</v>
      </c>
      <c r="K2951" t="s">
        <v>498</v>
      </c>
      <c r="L2951" t="s">
        <v>161</v>
      </c>
      <c r="M2951" t="s">
        <v>209</v>
      </c>
    </row>
    <row r="2952" spans="1:13" x14ac:dyDescent="0.3">
      <c r="A2952" t="str">
        <f>"26517477"</f>
        <v>26517477</v>
      </c>
      <c r="B2952" t="s">
        <v>5967</v>
      </c>
      <c r="C2952" t="str">
        <f>"706"</f>
        <v>706</v>
      </c>
      <c r="D2952" t="s">
        <v>28</v>
      </c>
      <c r="E2952" t="s">
        <v>52</v>
      </c>
      <c r="F2952" t="s">
        <v>52</v>
      </c>
      <c r="G2952" t="s">
        <v>1312</v>
      </c>
      <c r="H2952" t="str">
        <f>"9499"</f>
        <v>9499</v>
      </c>
      <c r="I2952" t="s">
        <v>31</v>
      </c>
    </row>
    <row r="2953" spans="1:13" x14ac:dyDescent="0.3">
      <c r="A2953" t="str">
        <f>"08734020"</f>
        <v>08734020</v>
      </c>
      <c r="B2953" t="s">
        <v>5968</v>
      </c>
      <c r="C2953" t="str">
        <f>"706"</f>
        <v>706</v>
      </c>
      <c r="D2953" t="s">
        <v>28</v>
      </c>
      <c r="E2953" t="s">
        <v>83</v>
      </c>
      <c r="F2953" t="s">
        <v>183</v>
      </c>
      <c r="G2953" t="s">
        <v>5969</v>
      </c>
      <c r="H2953" t="str">
        <f>"9499"</f>
        <v>9499</v>
      </c>
      <c r="I2953" t="s">
        <v>31</v>
      </c>
      <c r="J2953" t="s">
        <v>258</v>
      </c>
      <c r="K2953" t="s">
        <v>156</v>
      </c>
      <c r="L2953" t="s">
        <v>146</v>
      </c>
    </row>
    <row r="2954" spans="1:13" x14ac:dyDescent="0.3">
      <c r="A2954" t="str">
        <f>"04854829"</f>
        <v>04854829</v>
      </c>
      <c r="B2954" t="s">
        <v>5970</v>
      </c>
      <c r="C2954" t="str">
        <f>"706"</f>
        <v>706</v>
      </c>
      <c r="D2954" t="s">
        <v>28</v>
      </c>
      <c r="E2954" t="s">
        <v>23</v>
      </c>
      <c r="F2954" t="s">
        <v>459</v>
      </c>
      <c r="G2954" t="s">
        <v>1232</v>
      </c>
      <c r="H2954" t="str">
        <f>"94993"</f>
        <v>94993</v>
      </c>
      <c r="I2954" t="s">
        <v>50</v>
      </c>
      <c r="J2954" t="s">
        <v>259</v>
      </c>
      <c r="K2954" t="s">
        <v>147</v>
      </c>
    </row>
    <row r="2955" spans="1:13" x14ac:dyDescent="0.3">
      <c r="A2955" t="str">
        <f>"28561091"</f>
        <v>28561091</v>
      </c>
      <c r="B2955" t="s">
        <v>5971</v>
      </c>
      <c r="C2955" t="str">
        <f>"706"</f>
        <v>706</v>
      </c>
      <c r="D2955" t="s">
        <v>28</v>
      </c>
      <c r="E2955" t="s">
        <v>23</v>
      </c>
      <c r="F2955" t="s">
        <v>23</v>
      </c>
      <c r="G2955" t="s">
        <v>5972</v>
      </c>
      <c r="H2955" t="str">
        <f>"9499"</f>
        <v>9499</v>
      </c>
      <c r="I2955" t="s">
        <v>31</v>
      </c>
    </row>
    <row r="2956" spans="1:13" x14ac:dyDescent="0.3">
      <c r="A2956" t="str">
        <f>"01387600"</f>
        <v>01387600</v>
      </c>
      <c r="B2956" t="s">
        <v>5973</v>
      </c>
      <c r="C2956" t="str">
        <f>"706"</f>
        <v>706</v>
      </c>
      <c r="D2956" t="s">
        <v>28</v>
      </c>
      <c r="E2956" t="s">
        <v>23</v>
      </c>
      <c r="F2956" t="s">
        <v>23</v>
      </c>
      <c r="G2956" t="s">
        <v>5974</v>
      </c>
      <c r="H2956" t="str">
        <f>"94993"</f>
        <v>94993</v>
      </c>
      <c r="I2956" t="s">
        <v>50</v>
      </c>
    </row>
    <row r="2957" spans="1:13" x14ac:dyDescent="0.3">
      <c r="A2957" t="str">
        <f>"01827863"</f>
        <v>01827863</v>
      </c>
      <c r="B2957" t="s">
        <v>5975</v>
      </c>
      <c r="C2957" t="str">
        <f>"141"</f>
        <v>141</v>
      </c>
      <c r="D2957" t="s">
        <v>112</v>
      </c>
      <c r="E2957" t="s">
        <v>83</v>
      </c>
      <c r="F2957" t="s">
        <v>175</v>
      </c>
      <c r="G2957" t="s">
        <v>4080</v>
      </c>
      <c r="H2957" t="str">
        <f>"741"</f>
        <v>741</v>
      </c>
      <c r="I2957" t="s">
        <v>2893</v>
      </c>
      <c r="J2957" t="s">
        <v>160</v>
      </c>
    </row>
    <row r="2958" spans="1:13" x14ac:dyDescent="0.3">
      <c r="A2958" t="str">
        <f>"01344293"</f>
        <v>01344293</v>
      </c>
      <c r="B2958" t="s">
        <v>5976</v>
      </c>
      <c r="C2958" t="str">
        <f>"706"</f>
        <v>706</v>
      </c>
      <c r="D2958" t="s">
        <v>28</v>
      </c>
      <c r="E2958" t="s">
        <v>52</v>
      </c>
      <c r="F2958" t="s">
        <v>52</v>
      </c>
      <c r="G2958" t="s">
        <v>3051</v>
      </c>
      <c r="H2958" t="str">
        <f>"93190"</f>
        <v>93190</v>
      </c>
      <c r="I2958" t="s">
        <v>59</v>
      </c>
    </row>
    <row r="2959" spans="1:13" x14ac:dyDescent="0.3">
      <c r="A2959" t="str">
        <f>"70922900"</f>
        <v>70922900</v>
      </c>
      <c r="B2959" t="s">
        <v>5977</v>
      </c>
      <c r="C2959" t="str">
        <f>"736"</f>
        <v>736</v>
      </c>
      <c r="D2959" t="s">
        <v>22</v>
      </c>
      <c r="E2959" t="s">
        <v>23</v>
      </c>
      <c r="F2959" t="s">
        <v>23</v>
      </c>
      <c r="G2959" t="s">
        <v>5978</v>
      </c>
      <c r="H2959" t="str">
        <f t="shared" ref="H2959:H2968" si="215">"9499"</f>
        <v>9499</v>
      </c>
      <c r="I2959" t="s">
        <v>31</v>
      </c>
    </row>
    <row r="2960" spans="1:13" x14ac:dyDescent="0.3">
      <c r="A2960" t="str">
        <f>"65842375"</f>
        <v>65842375</v>
      </c>
      <c r="B2960" t="s">
        <v>5979</v>
      </c>
      <c r="C2960" t="str">
        <f>"736"</f>
        <v>736</v>
      </c>
      <c r="D2960" t="s">
        <v>22</v>
      </c>
      <c r="E2960" t="s">
        <v>23</v>
      </c>
      <c r="F2960" t="s">
        <v>23</v>
      </c>
      <c r="G2960" t="s">
        <v>5978</v>
      </c>
      <c r="H2960" t="str">
        <f t="shared" si="215"/>
        <v>9499</v>
      </c>
      <c r="I2960" t="s">
        <v>31</v>
      </c>
    </row>
    <row r="2961" spans="1:10" x14ac:dyDescent="0.3">
      <c r="A2961" t="str">
        <f>"06880843"</f>
        <v>06880843</v>
      </c>
      <c r="B2961" t="s">
        <v>5980</v>
      </c>
      <c r="C2961" t="str">
        <f t="shared" ref="C2961:C2983" si="216">"706"</f>
        <v>706</v>
      </c>
      <c r="D2961" t="s">
        <v>28</v>
      </c>
      <c r="E2961" t="s">
        <v>29</v>
      </c>
      <c r="F2961" t="s">
        <v>38</v>
      </c>
      <c r="G2961" t="s">
        <v>1723</v>
      </c>
      <c r="H2961" t="str">
        <f t="shared" si="215"/>
        <v>9499</v>
      </c>
      <c r="I2961" t="s">
        <v>31</v>
      </c>
    </row>
    <row r="2962" spans="1:10" x14ac:dyDescent="0.3">
      <c r="A2962" t="str">
        <f>"09198245"</f>
        <v>09198245</v>
      </c>
      <c r="B2962" t="s">
        <v>5981</v>
      </c>
      <c r="C2962" t="str">
        <f t="shared" si="216"/>
        <v>706</v>
      </c>
      <c r="D2962" t="s">
        <v>28</v>
      </c>
      <c r="E2962" t="s">
        <v>23</v>
      </c>
      <c r="F2962" t="s">
        <v>23</v>
      </c>
      <c r="G2962" t="s">
        <v>5982</v>
      </c>
      <c r="H2962" t="str">
        <f t="shared" si="215"/>
        <v>9499</v>
      </c>
      <c r="I2962" t="s">
        <v>31</v>
      </c>
    </row>
    <row r="2963" spans="1:10" x14ac:dyDescent="0.3">
      <c r="A2963" t="str">
        <f>"27059553"</f>
        <v>27059553</v>
      </c>
      <c r="B2963" t="s">
        <v>5983</v>
      </c>
      <c r="C2963" t="str">
        <f t="shared" si="216"/>
        <v>706</v>
      </c>
      <c r="D2963" t="s">
        <v>28</v>
      </c>
      <c r="E2963" t="s">
        <v>52</v>
      </c>
      <c r="F2963" t="s">
        <v>1788</v>
      </c>
      <c r="G2963" t="s">
        <v>1789</v>
      </c>
      <c r="H2963" t="str">
        <f t="shared" si="215"/>
        <v>9499</v>
      </c>
      <c r="I2963" t="s">
        <v>31</v>
      </c>
    </row>
    <row r="2964" spans="1:10" x14ac:dyDescent="0.3">
      <c r="A2964" t="str">
        <f>"26668025"</f>
        <v>26668025</v>
      </c>
      <c r="B2964" t="s">
        <v>5984</v>
      </c>
      <c r="C2964" t="str">
        <f t="shared" si="216"/>
        <v>706</v>
      </c>
      <c r="D2964" t="s">
        <v>28</v>
      </c>
      <c r="E2964" t="s">
        <v>23</v>
      </c>
      <c r="F2964" t="s">
        <v>4441</v>
      </c>
      <c r="G2964" t="s">
        <v>5985</v>
      </c>
      <c r="H2964" t="str">
        <f t="shared" si="215"/>
        <v>9499</v>
      </c>
      <c r="I2964" t="s">
        <v>31</v>
      </c>
    </row>
    <row r="2965" spans="1:10" x14ac:dyDescent="0.3">
      <c r="A2965" t="str">
        <f>"46310878"</f>
        <v>46310878</v>
      </c>
      <c r="B2965" t="s">
        <v>5986</v>
      </c>
      <c r="C2965" t="str">
        <f t="shared" si="216"/>
        <v>706</v>
      </c>
      <c r="D2965" t="s">
        <v>28</v>
      </c>
      <c r="E2965" t="s">
        <v>23</v>
      </c>
      <c r="F2965" t="s">
        <v>107</v>
      </c>
      <c r="G2965" t="s">
        <v>5987</v>
      </c>
      <c r="H2965" t="str">
        <f t="shared" si="215"/>
        <v>9499</v>
      </c>
      <c r="I2965" t="s">
        <v>31</v>
      </c>
    </row>
    <row r="2966" spans="1:10" x14ac:dyDescent="0.3">
      <c r="A2966" t="str">
        <f>"21254494"</f>
        <v>21254494</v>
      </c>
      <c r="B2966" t="s">
        <v>5988</v>
      </c>
      <c r="C2966" t="str">
        <f t="shared" si="216"/>
        <v>706</v>
      </c>
      <c r="D2966" t="s">
        <v>28</v>
      </c>
      <c r="E2966" t="s">
        <v>23</v>
      </c>
      <c r="F2966" t="s">
        <v>23</v>
      </c>
      <c r="G2966" t="s">
        <v>5989</v>
      </c>
      <c r="H2966" t="str">
        <f t="shared" si="215"/>
        <v>9499</v>
      </c>
      <c r="I2966" t="s">
        <v>31</v>
      </c>
    </row>
    <row r="2967" spans="1:10" x14ac:dyDescent="0.3">
      <c r="A2967" t="str">
        <f>"11819847"</f>
        <v>11819847</v>
      </c>
      <c r="B2967" t="s">
        <v>5990</v>
      </c>
      <c r="C2967" t="str">
        <f t="shared" si="216"/>
        <v>706</v>
      </c>
      <c r="D2967" t="s">
        <v>28</v>
      </c>
      <c r="E2967" t="s">
        <v>83</v>
      </c>
      <c r="F2967" t="s">
        <v>83</v>
      </c>
      <c r="G2967" t="s">
        <v>5991</v>
      </c>
      <c r="H2967" t="str">
        <f t="shared" si="215"/>
        <v>9499</v>
      </c>
      <c r="I2967" t="s">
        <v>31</v>
      </c>
    </row>
    <row r="2968" spans="1:10" x14ac:dyDescent="0.3">
      <c r="A2968" t="str">
        <f>"10838881"</f>
        <v>10838881</v>
      </c>
      <c r="B2968" t="s">
        <v>5992</v>
      </c>
      <c r="C2968" t="str">
        <f t="shared" si="216"/>
        <v>706</v>
      </c>
      <c r="D2968" t="s">
        <v>28</v>
      </c>
      <c r="E2968" t="s">
        <v>23</v>
      </c>
      <c r="F2968" t="s">
        <v>23</v>
      </c>
      <c r="G2968" t="s">
        <v>5993</v>
      </c>
      <c r="H2968" t="str">
        <f t="shared" si="215"/>
        <v>9499</v>
      </c>
      <c r="I2968" t="s">
        <v>31</v>
      </c>
    </row>
    <row r="2969" spans="1:10" x14ac:dyDescent="0.3">
      <c r="A2969" t="str">
        <f>"22685880"</f>
        <v>22685880</v>
      </c>
      <c r="B2969" t="s">
        <v>5994</v>
      </c>
      <c r="C2969" t="str">
        <f t="shared" si="216"/>
        <v>706</v>
      </c>
      <c r="D2969" t="s">
        <v>28</v>
      </c>
      <c r="E2969" t="s">
        <v>29</v>
      </c>
      <c r="F2969" t="s">
        <v>195</v>
      </c>
      <c r="G2969" t="s">
        <v>5995</v>
      </c>
      <c r="H2969" t="str">
        <f>"94991"</f>
        <v>94991</v>
      </c>
      <c r="I2969" t="s">
        <v>433</v>
      </c>
    </row>
    <row r="2970" spans="1:10" x14ac:dyDescent="0.3">
      <c r="A2970" t="str">
        <f>"22860584"</f>
        <v>22860584</v>
      </c>
      <c r="B2970" t="s">
        <v>5996</v>
      </c>
      <c r="C2970" t="str">
        <f t="shared" si="216"/>
        <v>706</v>
      </c>
      <c r="D2970" t="s">
        <v>28</v>
      </c>
      <c r="E2970" t="s">
        <v>29</v>
      </c>
      <c r="F2970" t="s">
        <v>1266</v>
      </c>
      <c r="G2970" t="s">
        <v>5997</v>
      </c>
      <c r="H2970" t="str">
        <f>"94993"</f>
        <v>94993</v>
      </c>
      <c r="I2970" t="s">
        <v>50</v>
      </c>
    </row>
    <row r="2971" spans="1:10" x14ac:dyDescent="0.3">
      <c r="A2971" t="str">
        <f>"26564165"</f>
        <v>26564165</v>
      </c>
      <c r="B2971" t="s">
        <v>5998</v>
      </c>
      <c r="C2971" t="str">
        <f t="shared" si="216"/>
        <v>706</v>
      </c>
      <c r="D2971" t="s">
        <v>28</v>
      </c>
      <c r="E2971" t="s">
        <v>23</v>
      </c>
      <c r="F2971" t="s">
        <v>141</v>
      </c>
      <c r="G2971" t="s">
        <v>5999</v>
      </c>
      <c r="H2971" t="str">
        <f>"9499"</f>
        <v>9499</v>
      </c>
      <c r="I2971" t="s">
        <v>31</v>
      </c>
    </row>
    <row r="2972" spans="1:10" x14ac:dyDescent="0.3">
      <c r="A2972" t="str">
        <f>"09031448"</f>
        <v>09031448</v>
      </c>
      <c r="B2972" t="s">
        <v>6000</v>
      </c>
      <c r="C2972" t="str">
        <f t="shared" si="216"/>
        <v>706</v>
      </c>
      <c r="D2972" t="s">
        <v>28</v>
      </c>
      <c r="E2972" t="s">
        <v>23</v>
      </c>
      <c r="F2972" t="s">
        <v>87</v>
      </c>
      <c r="G2972" t="s">
        <v>6001</v>
      </c>
      <c r="H2972" t="str">
        <f>"93190"</f>
        <v>93190</v>
      </c>
      <c r="I2972" t="s">
        <v>59</v>
      </c>
      <c r="J2972" t="s">
        <v>146</v>
      </c>
    </row>
    <row r="2973" spans="1:10" x14ac:dyDescent="0.3">
      <c r="A2973" t="str">
        <f>"05506671"</f>
        <v>05506671</v>
      </c>
      <c r="B2973" t="s">
        <v>6002</v>
      </c>
      <c r="C2973" t="str">
        <f t="shared" si="216"/>
        <v>706</v>
      </c>
      <c r="D2973" t="s">
        <v>28</v>
      </c>
      <c r="E2973" t="s">
        <v>52</v>
      </c>
      <c r="F2973" t="s">
        <v>65</v>
      </c>
      <c r="G2973" t="s">
        <v>66</v>
      </c>
      <c r="H2973" t="str">
        <f>"94995"</f>
        <v>94995</v>
      </c>
      <c r="I2973" t="s">
        <v>232</v>
      </c>
    </row>
    <row r="2974" spans="1:10" x14ac:dyDescent="0.3">
      <c r="A2974" t="str">
        <f>"26661039"</f>
        <v>26661039</v>
      </c>
      <c r="B2974" t="s">
        <v>6003</v>
      </c>
      <c r="C2974" t="str">
        <f t="shared" si="216"/>
        <v>706</v>
      </c>
      <c r="D2974" t="s">
        <v>28</v>
      </c>
      <c r="E2974" t="s">
        <v>52</v>
      </c>
      <c r="F2974" t="s">
        <v>379</v>
      </c>
      <c r="G2974" t="s">
        <v>6004</v>
      </c>
      <c r="H2974" t="str">
        <f>"9499"</f>
        <v>9499</v>
      </c>
      <c r="I2974" t="s">
        <v>31</v>
      </c>
    </row>
    <row r="2975" spans="1:10" x14ac:dyDescent="0.3">
      <c r="A2975" t="str">
        <f>"06314929"</f>
        <v>06314929</v>
      </c>
      <c r="B2975" t="s">
        <v>6005</v>
      </c>
      <c r="C2975" t="str">
        <f t="shared" si="216"/>
        <v>706</v>
      </c>
      <c r="D2975" t="s">
        <v>28</v>
      </c>
      <c r="E2975" t="s">
        <v>83</v>
      </c>
      <c r="F2975" t="s">
        <v>130</v>
      </c>
      <c r="G2975" t="s">
        <v>6006</v>
      </c>
      <c r="H2975" t="str">
        <f>"9499"</f>
        <v>9499</v>
      </c>
      <c r="I2975" t="s">
        <v>31</v>
      </c>
    </row>
    <row r="2976" spans="1:10" x14ac:dyDescent="0.3">
      <c r="A2976" t="str">
        <f>"02305933"</f>
        <v>02305933</v>
      </c>
      <c r="B2976" t="s">
        <v>6007</v>
      </c>
      <c r="C2976" t="str">
        <f t="shared" si="216"/>
        <v>706</v>
      </c>
      <c r="D2976" t="s">
        <v>28</v>
      </c>
      <c r="E2976" t="s">
        <v>23</v>
      </c>
      <c r="F2976" t="s">
        <v>23</v>
      </c>
      <c r="G2976" t="s">
        <v>6008</v>
      </c>
      <c r="H2976" t="str">
        <f>"9499"</f>
        <v>9499</v>
      </c>
      <c r="I2976" t="s">
        <v>31</v>
      </c>
    </row>
    <row r="2977" spans="1:11" x14ac:dyDescent="0.3">
      <c r="A2977" t="str">
        <f>"01306553"</f>
        <v>01306553</v>
      </c>
      <c r="B2977" t="s">
        <v>6009</v>
      </c>
      <c r="C2977" t="str">
        <f t="shared" si="216"/>
        <v>706</v>
      </c>
      <c r="D2977" t="s">
        <v>28</v>
      </c>
      <c r="E2977" t="s">
        <v>23</v>
      </c>
      <c r="F2977" t="s">
        <v>107</v>
      </c>
      <c r="G2977" t="s">
        <v>6010</v>
      </c>
      <c r="H2977" t="str">
        <f>"94995"</f>
        <v>94995</v>
      </c>
      <c r="I2977" t="s">
        <v>232</v>
      </c>
    </row>
    <row r="2978" spans="1:11" x14ac:dyDescent="0.3">
      <c r="A2978" t="str">
        <f>"26616165"</f>
        <v>26616165</v>
      </c>
      <c r="B2978" t="s">
        <v>6011</v>
      </c>
      <c r="C2978" t="str">
        <f t="shared" si="216"/>
        <v>706</v>
      </c>
      <c r="D2978" t="s">
        <v>28</v>
      </c>
      <c r="E2978" t="s">
        <v>29</v>
      </c>
      <c r="F2978" t="s">
        <v>38</v>
      </c>
      <c r="G2978" t="s">
        <v>6012</v>
      </c>
      <c r="H2978" t="str">
        <f>"9499"</f>
        <v>9499</v>
      </c>
      <c r="I2978" t="s">
        <v>31</v>
      </c>
    </row>
    <row r="2979" spans="1:11" x14ac:dyDescent="0.3">
      <c r="A2979" t="str">
        <f>"08091706"</f>
        <v>08091706</v>
      </c>
      <c r="B2979" t="s">
        <v>6013</v>
      </c>
      <c r="C2979" t="str">
        <f t="shared" si="216"/>
        <v>706</v>
      </c>
      <c r="D2979" t="s">
        <v>28</v>
      </c>
      <c r="E2979" t="s">
        <v>23</v>
      </c>
      <c r="F2979" t="s">
        <v>688</v>
      </c>
      <c r="G2979" t="s">
        <v>6014</v>
      </c>
      <c r="H2979" t="str">
        <f>"9499"</f>
        <v>9499</v>
      </c>
      <c r="I2979" t="s">
        <v>31</v>
      </c>
    </row>
    <row r="2980" spans="1:11" x14ac:dyDescent="0.3">
      <c r="A2980" t="str">
        <f>"22823981"</f>
        <v>22823981</v>
      </c>
      <c r="B2980" t="s">
        <v>6015</v>
      </c>
      <c r="C2980" t="str">
        <f t="shared" si="216"/>
        <v>706</v>
      </c>
      <c r="D2980" t="s">
        <v>28</v>
      </c>
      <c r="E2980" t="s">
        <v>52</v>
      </c>
      <c r="F2980" t="s">
        <v>517</v>
      </c>
      <c r="G2980" t="s">
        <v>6016</v>
      </c>
      <c r="H2980" t="str">
        <f>"9499"</f>
        <v>9499</v>
      </c>
      <c r="I2980" t="s">
        <v>31</v>
      </c>
    </row>
    <row r="2981" spans="1:11" x14ac:dyDescent="0.3">
      <c r="A2981" t="str">
        <f>"27033911"</f>
        <v>27033911</v>
      </c>
      <c r="B2981" t="s">
        <v>6017</v>
      </c>
      <c r="C2981" t="str">
        <f t="shared" si="216"/>
        <v>706</v>
      </c>
      <c r="D2981" t="s">
        <v>28</v>
      </c>
      <c r="E2981" t="s">
        <v>52</v>
      </c>
      <c r="F2981" t="s">
        <v>94</v>
      </c>
      <c r="G2981" t="s">
        <v>6018</v>
      </c>
      <c r="H2981" t="str">
        <f>"9499"</f>
        <v>9499</v>
      </c>
      <c r="I2981" t="s">
        <v>31</v>
      </c>
    </row>
    <row r="2982" spans="1:11" x14ac:dyDescent="0.3">
      <c r="A2982" t="str">
        <f>"26573440"</f>
        <v>26573440</v>
      </c>
      <c r="B2982" t="s">
        <v>6019</v>
      </c>
      <c r="C2982" t="str">
        <f t="shared" si="216"/>
        <v>706</v>
      </c>
      <c r="D2982" t="s">
        <v>28</v>
      </c>
      <c r="E2982" t="s">
        <v>23</v>
      </c>
      <c r="F2982" t="s">
        <v>23</v>
      </c>
      <c r="G2982" t="s">
        <v>6020</v>
      </c>
      <c r="H2982" t="str">
        <f>"94991"</f>
        <v>94991</v>
      </c>
      <c r="I2982" t="s">
        <v>433</v>
      </c>
    </row>
    <row r="2983" spans="1:11" x14ac:dyDescent="0.3">
      <c r="A2983" t="str">
        <f>"26516861"</f>
        <v>26516861</v>
      </c>
      <c r="B2983" t="s">
        <v>6021</v>
      </c>
      <c r="C2983" t="str">
        <f t="shared" si="216"/>
        <v>706</v>
      </c>
      <c r="D2983" t="s">
        <v>28</v>
      </c>
      <c r="E2983" t="s">
        <v>52</v>
      </c>
      <c r="F2983" t="s">
        <v>52</v>
      </c>
      <c r="G2983" t="s">
        <v>6022</v>
      </c>
      <c r="H2983" t="str">
        <f>"9499"</f>
        <v>9499</v>
      </c>
      <c r="I2983" t="s">
        <v>31</v>
      </c>
    </row>
    <row r="2984" spans="1:11" x14ac:dyDescent="0.3">
      <c r="A2984" t="str">
        <f>"71249419"</f>
        <v>71249419</v>
      </c>
      <c r="B2984" t="s">
        <v>6023</v>
      </c>
      <c r="C2984" t="str">
        <f>"736"</f>
        <v>736</v>
      </c>
      <c r="D2984" t="s">
        <v>22</v>
      </c>
      <c r="E2984" t="s">
        <v>23</v>
      </c>
      <c r="F2984" t="s">
        <v>23</v>
      </c>
      <c r="G2984" t="s">
        <v>601</v>
      </c>
      <c r="H2984" t="str">
        <f>"931"</f>
        <v>931</v>
      </c>
      <c r="I2984" t="s">
        <v>26</v>
      </c>
    </row>
    <row r="2985" spans="1:11" x14ac:dyDescent="0.3">
      <c r="A2985" t="str">
        <f>"04615727"</f>
        <v>04615727</v>
      </c>
      <c r="B2985" t="s">
        <v>6024</v>
      </c>
      <c r="C2985" t="str">
        <f t="shared" ref="C2985:C2991" si="217">"706"</f>
        <v>706</v>
      </c>
      <c r="D2985" t="s">
        <v>28</v>
      </c>
      <c r="E2985" t="s">
        <v>83</v>
      </c>
      <c r="F2985" t="s">
        <v>130</v>
      </c>
      <c r="G2985" t="s">
        <v>6025</v>
      </c>
      <c r="H2985" t="str">
        <f t="shared" ref="H2985:H2990" si="218">"9499"</f>
        <v>9499</v>
      </c>
      <c r="I2985" t="s">
        <v>31</v>
      </c>
    </row>
    <row r="2986" spans="1:11" x14ac:dyDescent="0.3">
      <c r="A2986" t="str">
        <f>"22663673"</f>
        <v>22663673</v>
      </c>
      <c r="B2986" t="s">
        <v>6026</v>
      </c>
      <c r="C2986" t="str">
        <f t="shared" si="217"/>
        <v>706</v>
      </c>
      <c r="D2986" t="s">
        <v>28</v>
      </c>
      <c r="E2986" t="s">
        <v>29</v>
      </c>
      <c r="F2986" t="s">
        <v>702</v>
      </c>
      <c r="G2986" t="s">
        <v>6027</v>
      </c>
      <c r="H2986" t="str">
        <f t="shared" si="218"/>
        <v>9499</v>
      </c>
      <c r="I2986" t="s">
        <v>31</v>
      </c>
    </row>
    <row r="2987" spans="1:11" x14ac:dyDescent="0.3">
      <c r="A2987" t="str">
        <f>"71164863"</f>
        <v>71164863</v>
      </c>
      <c r="B2987" t="s">
        <v>6028</v>
      </c>
      <c r="C2987" t="str">
        <f t="shared" si="217"/>
        <v>706</v>
      </c>
      <c r="D2987" t="s">
        <v>28</v>
      </c>
      <c r="E2987" t="s">
        <v>23</v>
      </c>
      <c r="F2987" t="s">
        <v>23</v>
      </c>
      <c r="G2987" t="s">
        <v>23</v>
      </c>
      <c r="H2987" t="str">
        <f t="shared" si="218"/>
        <v>9499</v>
      </c>
      <c r="I2987" t="s">
        <v>31</v>
      </c>
    </row>
    <row r="2988" spans="1:11" x14ac:dyDescent="0.3">
      <c r="A2988" t="str">
        <f>"01420411"</f>
        <v>01420411</v>
      </c>
      <c r="B2988" t="s">
        <v>6029</v>
      </c>
      <c r="C2988" t="str">
        <f t="shared" si="217"/>
        <v>706</v>
      </c>
      <c r="D2988" t="s">
        <v>28</v>
      </c>
      <c r="E2988" t="s">
        <v>23</v>
      </c>
      <c r="F2988" t="s">
        <v>350</v>
      </c>
      <c r="G2988" t="s">
        <v>6030</v>
      </c>
      <c r="H2988" t="str">
        <f t="shared" si="218"/>
        <v>9499</v>
      </c>
      <c r="I2988" t="s">
        <v>31</v>
      </c>
    </row>
    <row r="2989" spans="1:11" x14ac:dyDescent="0.3">
      <c r="A2989" t="str">
        <f>"05813875"</f>
        <v>05813875</v>
      </c>
      <c r="B2989" t="s">
        <v>6031</v>
      </c>
      <c r="C2989" t="str">
        <f t="shared" si="217"/>
        <v>706</v>
      </c>
      <c r="D2989" t="s">
        <v>28</v>
      </c>
      <c r="E2989" t="s">
        <v>23</v>
      </c>
      <c r="F2989" t="s">
        <v>23</v>
      </c>
      <c r="G2989" t="s">
        <v>6032</v>
      </c>
      <c r="H2989" t="str">
        <f t="shared" si="218"/>
        <v>9499</v>
      </c>
      <c r="I2989" t="s">
        <v>31</v>
      </c>
    </row>
    <row r="2990" spans="1:11" x14ac:dyDescent="0.3">
      <c r="A2990" t="str">
        <f>"01931784"</f>
        <v>01931784</v>
      </c>
      <c r="B2990" t="s">
        <v>6033</v>
      </c>
      <c r="C2990" t="str">
        <f t="shared" si="217"/>
        <v>706</v>
      </c>
      <c r="D2990" t="s">
        <v>28</v>
      </c>
      <c r="E2990" t="s">
        <v>23</v>
      </c>
      <c r="F2990" t="s">
        <v>23</v>
      </c>
      <c r="G2990" t="s">
        <v>6034</v>
      </c>
      <c r="H2990" t="str">
        <f t="shared" si="218"/>
        <v>9499</v>
      </c>
      <c r="I2990" t="s">
        <v>31</v>
      </c>
    </row>
    <row r="2991" spans="1:11" x14ac:dyDescent="0.3">
      <c r="A2991" t="str">
        <f>"19239998"</f>
        <v>19239998</v>
      </c>
      <c r="B2991" t="s">
        <v>6035</v>
      </c>
      <c r="C2991" t="str">
        <f t="shared" si="217"/>
        <v>706</v>
      </c>
      <c r="D2991" t="s">
        <v>28</v>
      </c>
      <c r="E2991" t="s">
        <v>23</v>
      </c>
      <c r="F2991" t="s">
        <v>107</v>
      </c>
      <c r="G2991" t="s">
        <v>206</v>
      </c>
      <c r="H2991" t="str">
        <f>"855"</f>
        <v>855</v>
      </c>
      <c r="I2991" t="s">
        <v>146</v>
      </c>
      <c r="J2991" t="s">
        <v>622</v>
      </c>
      <c r="K2991" t="s">
        <v>31</v>
      </c>
    </row>
    <row r="2992" spans="1:11" x14ac:dyDescent="0.3">
      <c r="A2992" t="str">
        <f>"21082278"</f>
        <v>21082278</v>
      </c>
      <c r="B2992" t="s">
        <v>6036</v>
      </c>
      <c r="C2992" t="str">
        <f>"118"</f>
        <v>118</v>
      </c>
      <c r="D2992" t="s">
        <v>337</v>
      </c>
      <c r="E2992" t="s">
        <v>29</v>
      </c>
      <c r="F2992" t="s">
        <v>195</v>
      </c>
      <c r="G2992" t="s">
        <v>6037</v>
      </c>
      <c r="H2992" t="str">
        <f>"9499"</f>
        <v>9499</v>
      </c>
      <c r="I2992" t="s">
        <v>31</v>
      </c>
    </row>
    <row r="2993" spans="1:11" x14ac:dyDescent="0.3">
      <c r="A2993" t="str">
        <f>"21091277"</f>
        <v>21091277</v>
      </c>
      <c r="B2993" t="s">
        <v>6038</v>
      </c>
      <c r="C2993" t="str">
        <f t="shared" ref="C2993:C3006" si="219">"706"</f>
        <v>706</v>
      </c>
      <c r="D2993" t="s">
        <v>28</v>
      </c>
      <c r="E2993" t="s">
        <v>23</v>
      </c>
      <c r="F2993" t="s">
        <v>1880</v>
      </c>
      <c r="G2993" t="s">
        <v>6039</v>
      </c>
      <c r="H2993" t="str">
        <f>"9499"</f>
        <v>9499</v>
      </c>
      <c r="I2993" t="s">
        <v>31</v>
      </c>
    </row>
    <row r="2994" spans="1:11" x14ac:dyDescent="0.3">
      <c r="A2994" t="str">
        <f>"22852859"</f>
        <v>22852859</v>
      </c>
      <c r="B2994" t="s">
        <v>6040</v>
      </c>
      <c r="C2994" t="str">
        <f t="shared" si="219"/>
        <v>706</v>
      </c>
      <c r="D2994" t="s">
        <v>28</v>
      </c>
      <c r="E2994" t="s">
        <v>52</v>
      </c>
      <c r="F2994" t="s">
        <v>951</v>
      </c>
      <c r="G2994" t="s">
        <v>6041</v>
      </c>
      <c r="H2994" t="str">
        <f>"9499"</f>
        <v>9499</v>
      </c>
      <c r="I2994" t="s">
        <v>31</v>
      </c>
    </row>
    <row r="2995" spans="1:11" x14ac:dyDescent="0.3">
      <c r="A2995" t="str">
        <f>"26645530"</f>
        <v>26645530</v>
      </c>
      <c r="B2995" t="s">
        <v>6042</v>
      </c>
      <c r="C2995" t="str">
        <f t="shared" si="219"/>
        <v>706</v>
      </c>
      <c r="D2995" t="s">
        <v>28</v>
      </c>
      <c r="E2995" t="s">
        <v>52</v>
      </c>
      <c r="F2995" t="s">
        <v>514</v>
      </c>
      <c r="G2995" t="s">
        <v>515</v>
      </c>
      <c r="H2995" t="str">
        <f>"9499"</f>
        <v>9499</v>
      </c>
      <c r="I2995" t="s">
        <v>31</v>
      </c>
    </row>
    <row r="2996" spans="1:11" x14ac:dyDescent="0.3">
      <c r="A2996" t="str">
        <f>"22873651"</f>
        <v>22873651</v>
      </c>
      <c r="B2996" t="s">
        <v>6043</v>
      </c>
      <c r="C2996" t="str">
        <f t="shared" si="219"/>
        <v>706</v>
      </c>
      <c r="D2996" t="s">
        <v>28</v>
      </c>
      <c r="E2996" t="s">
        <v>23</v>
      </c>
      <c r="F2996" t="s">
        <v>23</v>
      </c>
      <c r="G2996" t="s">
        <v>6044</v>
      </c>
      <c r="H2996" t="str">
        <f>"9499"</f>
        <v>9499</v>
      </c>
      <c r="I2996" t="s">
        <v>31</v>
      </c>
    </row>
    <row r="2997" spans="1:11" x14ac:dyDescent="0.3">
      <c r="A2997" t="str">
        <f>"27014878"</f>
        <v>27014878</v>
      </c>
      <c r="B2997" t="s">
        <v>6045</v>
      </c>
      <c r="C2997" t="str">
        <f t="shared" si="219"/>
        <v>706</v>
      </c>
      <c r="D2997" t="s">
        <v>28</v>
      </c>
      <c r="E2997" t="s">
        <v>23</v>
      </c>
      <c r="F2997" t="s">
        <v>350</v>
      </c>
      <c r="G2997" t="s">
        <v>6046</v>
      </c>
      <c r="H2997" t="str">
        <f>"93110"</f>
        <v>93110</v>
      </c>
      <c r="I2997" t="s">
        <v>92</v>
      </c>
    </row>
    <row r="2998" spans="1:11" x14ac:dyDescent="0.3">
      <c r="A2998" t="str">
        <f>"68898487"</f>
        <v>68898487</v>
      </c>
      <c r="B2998" t="s">
        <v>6047</v>
      </c>
      <c r="C2998" t="str">
        <f t="shared" si="219"/>
        <v>706</v>
      </c>
      <c r="D2998" t="s">
        <v>28</v>
      </c>
      <c r="E2998" t="s">
        <v>29</v>
      </c>
      <c r="F2998" t="s">
        <v>29</v>
      </c>
      <c r="G2998" t="s">
        <v>1303</v>
      </c>
      <c r="H2998" t="str">
        <f>"93120"</f>
        <v>93120</v>
      </c>
      <c r="I2998" t="s">
        <v>54</v>
      </c>
    </row>
    <row r="2999" spans="1:11" x14ac:dyDescent="0.3">
      <c r="A2999" t="str">
        <f>"18188401"</f>
        <v>18188401</v>
      </c>
      <c r="B2999" t="s">
        <v>6048</v>
      </c>
      <c r="C2999" t="str">
        <f t="shared" si="219"/>
        <v>706</v>
      </c>
      <c r="D2999" t="s">
        <v>28</v>
      </c>
      <c r="E2999" t="s">
        <v>83</v>
      </c>
      <c r="F2999" t="s">
        <v>83</v>
      </c>
      <c r="G2999" t="s">
        <v>6049</v>
      </c>
      <c r="H2999" t="str">
        <f>"93120"</f>
        <v>93120</v>
      </c>
      <c r="I2999" t="s">
        <v>54</v>
      </c>
    </row>
    <row r="3000" spans="1:11" x14ac:dyDescent="0.3">
      <c r="A3000" t="str">
        <f>"22885170"</f>
        <v>22885170</v>
      </c>
      <c r="B3000" t="s">
        <v>6050</v>
      </c>
      <c r="C3000" t="str">
        <f t="shared" si="219"/>
        <v>706</v>
      </c>
      <c r="D3000" t="s">
        <v>28</v>
      </c>
      <c r="E3000" t="s">
        <v>23</v>
      </c>
      <c r="F3000" t="s">
        <v>23</v>
      </c>
      <c r="G3000" t="s">
        <v>279</v>
      </c>
      <c r="H3000" t="str">
        <f>"93190"</f>
        <v>93190</v>
      </c>
      <c r="I3000" t="s">
        <v>59</v>
      </c>
    </row>
    <row r="3001" spans="1:11" x14ac:dyDescent="0.3">
      <c r="A3001" t="str">
        <f>"22896074"</f>
        <v>22896074</v>
      </c>
      <c r="B3001" t="s">
        <v>6051</v>
      </c>
      <c r="C3001" t="str">
        <f t="shared" si="219"/>
        <v>706</v>
      </c>
      <c r="D3001" t="s">
        <v>28</v>
      </c>
      <c r="E3001" t="s">
        <v>23</v>
      </c>
      <c r="F3001" t="s">
        <v>1953</v>
      </c>
      <c r="G3001" t="s">
        <v>6052</v>
      </c>
      <c r="H3001" t="str">
        <f t="shared" ref="H3001:H3007" si="220">"9499"</f>
        <v>9499</v>
      </c>
      <c r="I3001" t="s">
        <v>31</v>
      </c>
    </row>
    <row r="3002" spans="1:11" x14ac:dyDescent="0.3">
      <c r="A3002" t="str">
        <f>"26650622"</f>
        <v>26650622</v>
      </c>
      <c r="B3002" t="s">
        <v>6053</v>
      </c>
      <c r="C3002" t="str">
        <f t="shared" si="219"/>
        <v>706</v>
      </c>
      <c r="D3002" t="s">
        <v>28</v>
      </c>
      <c r="E3002" t="s">
        <v>52</v>
      </c>
      <c r="F3002" t="s">
        <v>612</v>
      </c>
      <c r="G3002" t="s">
        <v>1643</v>
      </c>
      <c r="H3002" t="str">
        <f t="shared" si="220"/>
        <v>9499</v>
      </c>
      <c r="I3002" t="s">
        <v>31</v>
      </c>
    </row>
    <row r="3003" spans="1:11" x14ac:dyDescent="0.3">
      <c r="A3003" t="str">
        <f>"22853863"</f>
        <v>22853863</v>
      </c>
      <c r="B3003" t="s">
        <v>6054</v>
      </c>
      <c r="C3003" t="str">
        <f t="shared" si="219"/>
        <v>706</v>
      </c>
      <c r="D3003" t="s">
        <v>28</v>
      </c>
      <c r="E3003" t="s">
        <v>29</v>
      </c>
      <c r="F3003" t="s">
        <v>1796</v>
      </c>
      <c r="G3003" t="s">
        <v>6055</v>
      </c>
      <c r="H3003" t="str">
        <f t="shared" si="220"/>
        <v>9499</v>
      </c>
      <c r="I3003" t="s">
        <v>31</v>
      </c>
    </row>
    <row r="3004" spans="1:11" x14ac:dyDescent="0.3">
      <c r="A3004" t="str">
        <f>"06148701"</f>
        <v>06148701</v>
      </c>
      <c r="B3004" t="s">
        <v>6056</v>
      </c>
      <c r="C3004" t="str">
        <f t="shared" si="219"/>
        <v>706</v>
      </c>
      <c r="D3004" t="s">
        <v>28</v>
      </c>
      <c r="E3004" t="s">
        <v>52</v>
      </c>
      <c r="F3004" t="s">
        <v>5296</v>
      </c>
      <c r="G3004" t="s">
        <v>6057</v>
      </c>
      <c r="H3004" t="str">
        <f t="shared" si="220"/>
        <v>9499</v>
      </c>
      <c r="I3004" t="s">
        <v>31</v>
      </c>
    </row>
    <row r="3005" spans="1:11" x14ac:dyDescent="0.3">
      <c r="A3005" t="str">
        <f>"01694529"</f>
        <v>01694529</v>
      </c>
      <c r="B3005" t="s">
        <v>6058</v>
      </c>
      <c r="C3005" t="str">
        <f t="shared" si="219"/>
        <v>706</v>
      </c>
      <c r="D3005" t="s">
        <v>28</v>
      </c>
      <c r="E3005" t="s">
        <v>29</v>
      </c>
      <c r="F3005" t="s">
        <v>1569</v>
      </c>
      <c r="G3005" t="s">
        <v>6059</v>
      </c>
      <c r="H3005" t="str">
        <f t="shared" si="220"/>
        <v>9499</v>
      </c>
      <c r="I3005" t="s">
        <v>31</v>
      </c>
    </row>
    <row r="3006" spans="1:11" x14ac:dyDescent="0.3">
      <c r="A3006" t="str">
        <f>"22770097"</f>
        <v>22770097</v>
      </c>
      <c r="B3006" t="s">
        <v>6060</v>
      </c>
      <c r="C3006" t="str">
        <f t="shared" si="219"/>
        <v>706</v>
      </c>
      <c r="D3006" t="s">
        <v>28</v>
      </c>
      <c r="E3006" t="s">
        <v>52</v>
      </c>
      <c r="F3006" t="s">
        <v>1857</v>
      </c>
      <c r="G3006" t="s">
        <v>6061</v>
      </c>
      <c r="H3006" t="str">
        <f t="shared" si="220"/>
        <v>9499</v>
      </c>
      <c r="I3006" t="s">
        <v>31</v>
      </c>
    </row>
    <row r="3007" spans="1:11" x14ac:dyDescent="0.3">
      <c r="A3007" t="str">
        <f>"29310211"</f>
        <v>29310211</v>
      </c>
      <c r="B3007" t="s">
        <v>6062</v>
      </c>
      <c r="C3007" t="str">
        <f>"141"</f>
        <v>141</v>
      </c>
      <c r="D3007" t="s">
        <v>112</v>
      </c>
      <c r="E3007" t="s">
        <v>52</v>
      </c>
      <c r="F3007" t="s">
        <v>113</v>
      </c>
      <c r="G3007" t="s">
        <v>3376</v>
      </c>
      <c r="H3007" t="str">
        <f t="shared" si="220"/>
        <v>9499</v>
      </c>
      <c r="I3007" t="s">
        <v>31</v>
      </c>
      <c r="J3007" t="s">
        <v>160</v>
      </c>
      <c r="K3007" t="s">
        <v>50</v>
      </c>
    </row>
    <row r="3008" spans="1:11" x14ac:dyDescent="0.3">
      <c r="A3008" t="str">
        <f>"04015461"</f>
        <v>04015461</v>
      </c>
      <c r="B3008" t="s">
        <v>6063</v>
      </c>
      <c r="C3008" t="str">
        <f>"706"</f>
        <v>706</v>
      </c>
      <c r="D3008" t="s">
        <v>28</v>
      </c>
      <c r="E3008" t="s">
        <v>83</v>
      </c>
      <c r="F3008" t="s">
        <v>409</v>
      </c>
      <c r="G3008" t="s">
        <v>6064</v>
      </c>
      <c r="H3008" t="str">
        <f>"94993"</f>
        <v>94993</v>
      </c>
      <c r="I3008" t="s">
        <v>50</v>
      </c>
    </row>
    <row r="3009" spans="1:21" x14ac:dyDescent="0.3">
      <c r="A3009" t="str">
        <f>"09370421"</f>
        <v>09370421</v>
      </c>
      <c r="B3009" t="s">
        <v>6065</v>
      </c>
      <c r="C3009" t="str">
        <f>"736"</f>
        <v>736</v>
      </c>
      <c r="D3009" t="s">
        <v>22</v>
      </c>
      <c r="E3009" t="s">
        <v>23</v>
      </c>
      <c r="F3009" t="s">
        <v>6066</v>
      </c>
      <c r="G3009" t="s">
        <v>6067</v>
      </c>
      <c r="H3009" t="str">
        <f>"94993"</f>
        <v>94993</v>
      </c>
      <c r="I3009" t="s">
        <v>50</v>
      </c>
    </row>
    <row r="3010" spans="1:21" x14ac:dyDescent="0.3">
      <c r="A3010" t="str">
        <f>"22815015"</f>
        <v>22815015</v>
      </c>
      <c r="B3010" t="s">
        <v>6068</v>
      </c>
      <c r="C3010" t="str">
        <f t="shared" ref="C3010:C3070" si="221">"706"</f>
        <v>706</v>
      </c>
      <c r="D3010" t="s">
        <v>28</v>
      </c>
      <c r="E3010" t="s">
        <v>23</v>
      </c>
      <c r="F3010" t="s">
        <v>793</v>
      </c>
      <c r="G3010" t="s">
        <v>6069</v>
      </c>
      <c r="H3010" t="str">
        <f>"94993"</f>
        <v>94993</v>
      </c>
      <c r="I3010" t="s">
        <v>50</v>
      </c>
    </row>
    <row r="3011" spans="1:21" x14ac:dyDescent="0.3">
      <c r="A3011" t="str">
        <f>"22854410"</f>
        <v>22854410</v>
      </c>
      <c r="B3011" t="s">
        <v>6070</v>
      </c>
      <c r="C3011" t="str">
        <f t="shared" si="221"/>
        <v>706</v>
      </c>
      <c r="D3011" t="s">
        <v>28</v>
      </c>
      <c r="E3011" t="s">
        <v>29</v>
      </c>
      <c r="F3011" t="s">
        <v>271</v>
      </c>
      <c r="G3011" t="s">
        <v>6071</v>
      </c>
      <c r="H3011" t="str">
        <f>"94991"</f>
        <v>94991</v>
      </c>
      <c r="I3011" t="s">
        <v>433</v>
      </c>
    </row>
    <row r="3012" spans="1:21" x14ac:dyDescent="0.3">
      <c r="A3012" t="str">
        <f>"22612629"</f>
        <v>22612629</v>
      </c>
      <c r="B3012" t="s">
        <v>6072</v>
      </c>
      <c r="C3012" t="str">
        <f t="shared" si="221"/>
        <v>706</v>
      </c>
      <c r="D3012" t="s">
        <v>28</v>
      </c>
      <c r="E3012" t="s">
        <v>29</v>
      </c>
      <c r="F3012" t="s">
        <v>117</v>
      </c>
      <c r="G3012" t="s">
        <v>6073</v>
      </c>
      <c r="H3012" t="str">
        <f>"9499"</f>
        <v>9499</v>
      </c>
      <c r="I3012" t="s">
        <v>31</v>
      </c>
    </row>
    <row r="3013" spans="1:21" x14ac:dyDescent="0.3">
      <c r="A3013" t="str">
        <f>"22835954"</f>
        <v>22835954</v>
      </c>
      <c r="B3013" t="s">
        <v>6074</v>
      </c>
      <c r="C3013" t="str">
        <f t="shared" si="221"/>
        <v>706</v>
      </c>
      <c r="D3013" t="s">
        <v>28</v>
      </c>
      <c r="E3013" t="s">
        <v>23</v>
      </c>
      <c r="F3013" t="s">
        <v>141</v>
      </c>
      <c r="G3013" t="s">
        <v>6075</v>
      </c>
      <c r="H3013" t="str">
        <f>"94995"</f>
        <v>94995</v>
      </c>
      <c r="I3013" t="s">
        <v>232</v>
      </c>
    </row>
    <row r="3014" spans="1:21" x14ac:dyDescent="0.3">
      <c r="A3014" t="str">
        <f>"01780905"</f>
        <v>01780905</v>
      </c>
      <c r="B3014" t="s">
        <v>6076</v>
      </c>
      <c r="C3014" t="str">
        <f t="shared" si="221"/>
        <v>706</v>
      </c>
      <c r="D3014" t="s">
        <v>28</v>
      </c>
      <c r="E3014" t="s">
        <v>29</v>
      </c>
      <c r="F3014" t="s">
        <v>1121</v>
      </c>
      <c r="G3014" t="s">
        <v>6077</v>
      </c>
      <c r="H3014" t="str">
        <f>"9499"</f>
        <v>9499</v>
      </c>
      <c r="I3014" t="s">
        <v>31</v>
      </c>
    </row>
    <row r="3015" spans="1:21" x14ac:dyDescent="0.3">
      <c r="A3015" t="str">
        <f>"21003033"</f>
        <v>21003033</v>
      </c>
      <c r="B3015" t="s">
        <v>6078</v>
      </c>
      <c r="C3015" t="str">
        <f t="shared" si="221"/>
        <v>706</v>
      </c>
      <c r="D3015" t="s">
        <v>28</v>
      </c>
      <c r="E3015" t="s">
        <v>83</v>
      </c>
      <c r="F3015" t="s">
        <v>183</v>
      </c>
      <c r="G3015" t="s">
        <v>6079</v>
      </c>
      <c r="H3015" t="str">
        <f>"93190"</f>
        <v>93190</v>
      </c>
      <c r="I3015" t="s">
        <v>59</v>
      </c>
    </row>
    <row r="3016" spans="1:21" x14ac:dyDescent="0.3">
      <c r="A3016" t="str">
        <f>"26579596"</f>
        <v>26579596</v>
      </c>
      <c r="B3016" t="s">
        <v>6080</v>
      </c>
      <c r="C3016" t="str">
        <f t="shared" si="221"/>
        <v>706</v>
      </c>
      <c r="D3016" t="s">
        <v>28</v>
      </c>
      <c r="E3016" t="s">
        <v>23</v>
      </c>
      <c r="F3016" t="s">
        <v>68</v>
      </c>
      <c r="G3016" t="s">
        <v>3384</v>
      </c>
      <c r="H3016" t="str">
        <f>"93110"</f>
        <v>93110</v>
      </c>
      <c r="I3016" t="s">
        <v>92</v>
      </c>
    </row>
    <row r="3017" spans="1:21" x14ac:dyDescent="0.3">
      <c r="A3017" t="str">
        <f>"22860622"</f>
        <v>22860622</v>
      </c>
      <c r="B3017" t="s">
        <v>6081</v>
      </c>
      <c r="C3017" t="str">
        <f t="shared" si="221"/>
        <v>706</v>
      </c>
      <c r="D3017" t="s">
        <v>28</v>
      </c>
      <c r="E3017" t="s">
        <v>52</v>
      </c>
      <c r="F3017" t="s">
        <v>113</v>
      </c>
      <c r="G3017" t="s">
        <v>1115</v>
      </c>
      <c r="H3017" t="str">
        <f t="shared" ref="H3017:H3023" si="222">"9499"</f>
        <v>9499</v>
      </c>
      <c r="I3017" t="s">
        <v>31</v>
      </c>
    </row>
    <row r="3018" spans="1:21" x14ac:dyDescent="0.3">
      <c r="A3018" t="str">
        <f>"22693289"</f>
        <v>22693289</v>
      </c>
      <c r="B3018" t="s">
        <v>6082</v>
      </c>
      <c r="C3018" t="str">
        <f t="shared" si="221"/>
        <v>706</v>
      </c>
      <c r="D3018" t="s">
        <v>28</v>
      </c>
      <c r="E3018" t="s">
        <v>23</v>
      </c>
      <c r="F3018" t="s">
        <v>23</v>
      </c>
      <c r="G3018" t="s">
        <v>6083</v>
      </c>
      <c r="H3018" t="str">
        <f t="shared" si="222"/>
        <v>9499</v>
      </c>
      <c r="I3018" t="s">
        <v>31</v>
      </c>
    </row>
    <row r="3019" spans="1:21" x14ac:dyDescent="0.3">
      <c r="A3019" t="str">
        <f>"70909199"</f>
        <v>70909199</v>
      </c>
      <c r="B3019" t="s">
        <v>6084</v>
      </c>
      <c r="C3019" t="str">
        <f t="shared" si="221"/>
        <v>706</v>
      </c>
      <c r="D3019" t="s">
        <v>28</v>
      </c>
      <c r="E3019" t="s">
        <v>83</v>
      </c>
      <c r="F3019" t="s">
        <v>4471</v>
      </c>
      <c r="G3019" t="s">
        <v>6085</v>
      </c>
      <c r="H3019" t="str">
        <f t="shared" si="222"/>
        <v>9499</v>
      </c>
      <c r="I3019" t="s">
        <v>31</v>
      </c>
    </row>
    <row r="3020" spans="1:21" x14ac:dyDescent="0.3">
      <c r="A3020" t="str">
        <f>"01344374"</f>
        <v>01344374</v>
      </c>
      <c r="B3020" t="s">
        <v>6086</v>
      </c>
      <c r="C3020" t="str">
        <f t="shared" si="221"/>
        <v>706</v>
      </c>
      <c r="D3020" t="s">
        <v>28</v>
      </c>
      <c r="E3020" t="s">
        <v>83</v>
      </c>
      <c r="F3020" t="s">
        <v>83</v>
      </c>
      <c r="G3020" t="s">
        <v>826</v>
      </c>
      <c r="H3020" t="str">
        <f t="shared" si="222"/>
        <v>9499</v>
      </c>
      <c r="I3020" t="s">
        <v>31</v>
      </c>
    </row>
    <row r="3021" spans="1:21" x14ac:dyDescent="0.3">
      <c r="A3021" t="str">
        <f>"19948794"</f>
        <v>19948794</v>
      </c>
      <c r="B3021" t="s">
        <v>6087</v>
      </c>
      <c r="C3021" t="str">
        <f t="shared" si="221"/>
        <v>706</v>
      </c>
      <c r="D3021" t="s">
        <v>28</v>
      </c>
      <c r="E3021" t="s">
        <v>83</v>
      </c>
      <c r="F3021" t="s">
        <v>944</v>
      </c>
      <c r="G3021" t="s">
        <v>1706</v>
      </c>
      <c r="H3021" t="str">
        <f t="shared" si="222"/>
        <v>9499</v>
      </c>
      <c r="I3021" t="s">
        <v>31</v>
      </c>
      <c r="J3021" t="s">
        <v>155</v>
      </c>
      <c r="K3021" t="s">
        <v>4311</v>
      </c>
      <c r="L3021" t="s">
        <v>258</v>
      </c>
      <c r="M3021" t="s">
        <v>259</v>
      </c>
      <c r="N3021" t="s">
        <v>147</v>
      </c>
      <c r="O3021" t="s">
        <v>6088</v>
      </c>
      <c r="P3021" t="s">
        <v>146</v>
      </c>
      <c r="Q3021" t="s">
        <v>2417</v>
      </c>
      <c r="R3021" t="s">
        <v>162</v>
      </c>
      <c r="S3021" t="s">
        <v>263</v>
      </c>
      <c r="T3021" t="s">
        <v>313</v>
      </c>
      <c r="U3021" t="s">
        <v>905</v>
      </c>
    </row>
    <row r="3022" spans="1:21" x14ac:dyDescent="0.3">
      <c r="A3022" t="str">
        <f>"22906436"</f>
        <v>22906436</v>
      </c>
      <c r="B3022" t="s">
        <v>6089</v>
      </c>
      <c r="C3022" t="str">
        <f t="shared" si="221"/>
        <v>706</v>
      </c>
      <c r="D3022" t="s">
        <v>28</v>
      </c>
      <c r="E3022" t="s">
        <v>23</v>
      </c>
      <c r="F3022" t="s">
        <v>23</v>
      </c>
      <c r="G3022" t="s">
        <v>6090</v>
      </c>
      <c r="H3022" t="str">
        <f t="shared" si="222"/>
        <v>9499</v>
      </c>
      <c r="I3022" t="s">
        <v>31</v>
      </c>
    </row>
    <row r="3023" spans="1:21" x14ac:dyDescent="0.3">
      <c r="A3023" t="str">
        <f>"26613115"</f>
        <v>26613115</v>
      </c>
      <c r="B3023" t="s">
        <v>6091</v>
      </c>
      <c r="C3023" t="str">
        <f t="shared" si="221"/>
        <v>706</v>
      </c>
      <c r="D3023" t="s">
        <v>28</v>
      </c>
      <c r="E3023" t="s">
        <v>23</v>
      </c>
      <c r="F3023" t="s">
        <v>23</v>
      </c>
      <c r="G3023" t="s">
        <v>6092</v>
      </c>
      <c r="H3023" t="str">
        <f t="shared" si="222"/>
        <v>9499</v>
      </c>
      <c r="I3023" t="s">
        <v>31</v>
      </c>
    </row>
    <row r="3024" spans="1:21" x14ac:dyDescent="0.3">
      <c r="A3024" t="str">
        <f>"26605732"</f>
        <v>26605732</v>
      </c>
      <c r="B3024" t="s">
        <v>6093</v>
      </c>
      <c r="C3024" t="str">
        <f t="shared" si="221"/>
        <v>706</v>
      </c>
      <c r="D3024" t="s">
        <v>28</v>
      </c>
      <c r="E3024" t="s">
        <v>23</v>
      </c>
      <c r="F3024" t="s">
        <v>23</v>
      </c>
      <c r="G3024" t="s">
        <v>1141</v>
      </c>
      <c r="H3024" t="str">
        <f>"94991"</f>
        <v>94991</v>
      </c>
      <c r="I3024" t="s">
        <v>433</v>
      </c>
    </row>
    <row r="3025" spans="1:9" x14ac:dyDescent="0.3">
      <c r="A3025" t="str">
        <f>"63459426"</f>
        <v>63459426</v>
      </c>
      <c r="B3025" t="s">
        <v>6094</v>
      </c>
      <c r="C3025" t="str">
        <f t="shared" si="221"/>
        <v>706</v>
      </c>
      <c r="D3025" t="s">
        <v>28</v>
      </c>
      <c r="E3025" t="s">
        <v>83</v>
      </c>
      <c r="F3025" t="s">
        <v>83</v>
      </c>
      <c r="G3025" t="s">
        <v>83</v>
      </c>
      <c r="H3025" t="str">
        <f t="shared" ref="H3025:H3029" si="223">"9499"</f>
        <v>9499</v>
      </c>
      <c r="I3025" t="s">
        <v>31</v>
      </c>
    </row>
    <row r="3026" spans="1:9" x14ac:dyDescent="0.3">
      <c r="A3026" t="str">
        <f>"27002098"</f>
        <v>27002098</v>
      </c>
      <c r="B3026" t="s">
        <v>6095</v>
      </c>
      <c r="C3026" t="str">
        <f t="shared" si="221"/>
        <v>706</v>
      </c>
      <c r="D3026" t="s">
        <v>28</v>
      </c>
      <c r="E3026" t="s">
        <v>23</v>
      </c>
      <c r="F3026" t="s">
        <v>23</v>
      </c>
      <c r="G3026" t="s">
        <v>6096</v>
      </c>
      <c r="H3026" t="str">
        <f t="shared" si="223"/>
        <v>9499</v>
      </c>
      <c r="I3026" t="s">
        <v>31</v>
      </c>
    </row>
    <row r="3027" spans="1:9" x14ac:dyDescent="0.3">
      <c r="A3027" t="str">
        <f>"26638649"</f>
        <v>26638649</v>
      </c>
      <c r="B3027" t="s">
        <v>6097</v>
      </c>
      <c r="C3027" t="str">
        <f t="shared" si="221"/>
        <v>706</v>
      </c>
      <c r="D3027" t="s">
        <v>28</v>
      </c>
      <c r="E3027" t="s">
        <v>29</v>
      </c>
      <c r="F3027" t="s">
        <v>29</v>
      </c>
      <c r="G3027" t="s">
        <v>5902</v>
      </c>
      <c r="H3027" t="str">
        <f t="shared" si="223"/>
        <v>9499</v>
      </c>
      <c r="I3027" t="s">
        <v>31</v>
      </c>
    </row>
    <row r="3028" spans="1:9" x14ac:dyDescent="0.3">
      <c r="A3028" t="str">
        <f>"26654440"</f>
        <v>26654440</v>
      </c>
      <c r="B3028" t="s">
        <v>6098</v>
      </c>
      <c r="C3028" t="str">
        <f t="shared" si="221"/>
        <v>706</v>
      </c>
      <c r="D3028" t="s">
        <v>28</v>
      </c>
      <c r="E3028" t="s">
        <v>83</v>
      </c>
      <c r="F3028" t="s">
        <v>83</v>
      </c>
      <c r="G3028" t="s">
        <v>6099</v>
      </c>
      <c r="H3028" t="str">
        <f t="shared" si="223"/>
        <v>9499</v>
      </c>
      <c r="I3028" t="s">
        <v>31</v>
      </c>
    </row>
    <row r="3029" spans="1:9" x14ac:dyDescent="0.3">
      <c r="A3029" t="str">
        <f>"70640360"</f>
        <v>70640360</v>
      </c>
      <c r="B3029" t="s">
        <v>6100</v>
      </c>
      <c r="C3029" t="str">
        <f t="shared" si="221"/>
        <v>706</v>
      </c>
      <c r="D3029" t="s">
        <v>28</v>
      </c>
      <c r="E3029" t="s">
        <v>29</v>
      </c>
      <c r="F3029" t="s">
        <v>29</v>
      </c>
      <c r="G3029" t="s">
        <v>6101</v>
      </c>
      <c r="H3029" t="str">
        <f t="shared" si="223"/>
        <v>9499</v>
      </c>
      <c r="I3029" t="s">
        <v>31</v>
      </c>
    </row>
    <row r="3030" spans="1:9" x14ac:dyDescent="0.3">
      <c r="A3030" t="str">
        <f>"27043177"</f>
        <v>27043177</v>
      </c>
      <c r="B3030" t="s">
        <v>6102</v>
      </c>
      <c r="C3030" t="str">
        <f t="shared" si="221"/>
        <v>706</v>
      </c>
      <c r="D3030" t="s">
        <v>28</v>
      </c>
      <c r="E3030" t="s">
        <v>23</v>
      </c>
      <c r="F3030" t="s">
        <v>23</v>
      </c>
      <c r="G3030" t="s">
        <v>6103</v>
      </c>
      <c r="H3030" t="str">
        <f>"94991"</f>
        <v>94991</v>
      </c>
      <c r="I3030" t="s">
        <v>433</v>
      </c>
    </row>
    <row r="3031" spans="1:9" x14ac:dyDescent="0.3">
      <c r="A3031" t="str">
        <f>"26570203"</f>
        <v>26570203</v>
      </c>
      <c r="B3031" t="s">
        <v>6104</v>
      </c>
      <c r="C3031" t="str">
        <f t="shared" si="221"/>
        <v>706</v>
      </c>
      <c r="D3031" t="s">
        <v>28</v>
      </c>
      <c r="E3031" t="s">
        <v>83</v>
      </c>
      <c r="F3031" t="s">
        <v>83</v>
      </c>
      <c r="G3031" t="s">
        <v>6105</v>
      </c>
      <c r="H3031" t="str">
        <f>"9499"</f>
        <v>9499</v>
      </c>
      <c r="I3031" t="s">
        <v>31</v>
      </c>
    </row>
    <row r="3032" spans="1:9" x14ac:dyDescent="0.3">
      <c r="A3032" t="str">
        <f>"22895434"</f>
        <v>22895434</v>
      </c>
      <c r="B3032" t="s">
        <v>6106</v>
      </c>
      <c r="C3032" t="str">
        <f t="shared" si="221"/>
        <v>706</v>
      </c>
      <c r="D3032" t="s">
        <v>28</v>
      </c>
      <c r="E3032" t="s">
        <v>52</v>
      </c>
      <c r="F3032" t="s">
        <v>379</v>
      </c>
      <c r="G3032" t="s">
        <v>6107</v>
      </c>
      <c r="H3032" t="str">
        <f>"9499"</f>
        <v>9499</v>
      </c>
      <c r="I3032" t="s">
        <v>31</v>
      </c>
    </row>
    <row r="3033" spans="1:9" x14ac:dyDescent="0.3">
      <c r="A3033" t="str">
        <f>"22905081"</f>
        <v>22905081</v>
      </c>
      <c r="B3033" t="s">
        <v>6108</v>
      </c>
      <c r="C3033" t="str">
        <f t="shared" si="221"/>
        <v>706</v>
      </c>
      <c r="D3033" t="s">
        <v>28</v>
      </c>
      <c r="E3033" t="s">
        <v>52</v>
      </c>
      <c r="F3033" t="s">
        <v>4762</v>
      </c>
      <c r="G3033" t="s">
        <v>6109</v>
      </c>
      <c r="H3033" t="str">
        <f>"94991"</f>
        <v>94991</v>
      </c>
      <c r="I3033" t="s">
        <v>433</v>
      </c>
    </row>
    <row r="3034" spans="1:9" x14ac:dyDescent="0.3">
      <c r="A3034" t="str">
        <f>"02472279"</f>
        <v>02472279</v>
      </c>
      <c r="B3034" t="s">
        <v>6110</v>
      </c>
      <c r="C3034" t="str">
        <f t="shared" si="221"/>
        <v>706</v>
      </c>
      <c r="D3034" t="s">
        <v>28</v>
      </c>
      <c r="E3034" t="s">
        <v>29</v>
      </c>
      <c r="F3034" t="s">
        <v>29</v>
      </c>
      <c r="G3034" t="s">
        <v>6111</v>
      </c>
      <c r="H3034" t="str">
        <f t="shared" ref="H3034:H3040" si="224">"9499"</f>
        <v>9499</v>
      </c>
      <c r="I3034" t="s">
        <v>31</v>
      </c>
    </row>
    <row r="3035" spans="1:9" x14ac:dyDescent="0.3">
      <c r="A3035" t="str">
        <f>"22670807"</f>
        <v>22670807</v>
      </c>
      <c r="B3035" t="s">
        <v>6112</v>
      </c>
      <c r="C3035" t="str">
        <f t="shared" si="221"/>
        <v>706</v>
      </c>
      <c r="D3035" t="s">
        <v>28</v>
      </c>
      <c r="E3035" t="s">
        <v>23</v>
      </c>
      <c r="F3035" t="s">
        <v>23</v>
      </c>
      <c r="G3035" t="s">
        <v>6113</v>
      </c>
      <c r="H3035" t="str">
        <f t="shared" si="224"/>
        <v>9499</v>
      </c>
      <c r="I3035" t="s">
        <v>31</v>
      </c>
    </row>
    <row r="3036" spans="1:9" x14ac:dyDescent="0.3">
      <c r="A3036" t="str">
        <f>"65274563"</f>
        <v>65274563</v>
      </c>
      <c r="B3036" t="s">
        <v>6114</v>
      </c>
      <c r="C3036" t="str">
        <f t="shared" si="221"/>
        <v>706</v>
      </c>
      <c r="D3036" t="s">
        <v>28</v>
      </c>
      <c r="E3036" t="s">
        <v>83</v>
      </c>
      <c r="F3036" t="s">
        <v>83</v>
      </c>
      <c r="G3036" t="s">
        <v>557</v>
      </c>
      <c r="H3036" t="str">
        <f t="shared" si="224"/>
        <v>9499</v>
      </c>
      <c r="I3036" t="s">
        <v>31</v>
      </c>
    </row>
    <row r="3037" spans="1:9" x14ac:dyDescent="0.3">
      <c r="A3037" t="str">
        <f>"27005232"</f>
        <v>27005232</v>
      </c>
      <c r="B3037" t="s">
        <v>6115</v>
      </c>
      <c r="C3037" t="str">
        <f t="shared" si="221"/>
        <v>706</v>
      </c>
      <c r="D3037" t="s">
        <v>28</v>
      </c>
      <c r="E3037" t="s">
        <v>52</v>
      </c>
      <c r="F3037" t="s">
        <v>1829</v>
      </c>
      <c r="G3037" t="s">
        <v>6116</v>
      </c>
      <c r="H3037" t="str">
        <f t="shared" si="224"/>
        <v>9499</v>
      </c>
      <c r="I3037" t="s">
        <v>31</v>
      </c>
    </row>
    <row r="3038" spans="1:9" x14ac:dyDescent="0.3">
      <c r="A3038" t="str">
        <f>"26621002"</f>
        <v>26621002</v>
      </c>
      <c r="B3038" t="s">
        <v>6117</v>
      </c>
      <c r="C3038" t="str">
        <f t="shared" si="221"/>
        <v>706</v>
      </c>
      <c r="D3038" t="s">
        <v>28</v>
      </c>
      <c r="E3038" t="s">
        <v>29</v>
      </c>
      <c r="F3038" t="s">
        <v>718</v>
      </c>
      <c r="G3038" t="s">
        <v>6118</v>
      </c>
      <c r="H3038" t="str">
        <f t="shared" si="224"/>
        <v>9499</v>
      </c>
      <c r="I3038" t="s">
        <v>31</v>
      </c>
    </row>
    <row r="3039" spans="1:9" x14ac:dyDescent="0.3">
      <c r="A3039" t="str">
        <f>"22607641"</f>
        <v>22607641</v>
      </c>
      <c r="B3039" t="s">
        <v>6119</v>
      </c>
      <c r="C3039" t="str">
        <f t="shared" si="221"/>
        <v>706</v>
      </c>
      <c r="D3039" t="s">
        <v>28</v>
      </c>
      <c r="E3039" t="s">
        <v>83</v>
      </c>
      <c r="F3039" t="s">
        <v>1576</v>
      </c>
      <c r="G3039" t="s">
        <v>6120</v>
      </c>
      <c r="H3039" t="str">
        <f t="shared" si="224"/>
        <v>9499</v>
      </c>
      <c r="I3039" t="s">
        <v>31</v>
      </c>
    </row>
    <row r="3040" spans="1:9" x14ac:dyDescent="0.3">
      <c r="A3040" t="str">
        <f>"22682945"</f>
        <v>22682945</v>
      </c>
      <c r="B3040" t="s">
        <v>6121</v>
      </c>
      <c r="C3040" t="str">
        <f t="shared" si="221"/>
        <v>706</v>
      </c>
      <c r="D3040" t="s">
        <v>28</v>
      </c>
      <c r="E3040" t="s">
        <v>23</v>
      </c>
      <c r="F3040" t="s">
        <v>245</v>
      </c>
      <c r="G3040" t="s">
        <v>6122</v>
      </c>
      <c r="H3040" t="str">
        <f t="shared" si="224"/>
        <v>9499</v>
      </c>
      <c r="I3040" t="s">
        <v>31</v>
      </c>
    </row>
    <row r="3041" spans="1:9" x14ac:dyDescent="0.3">
      <c r="A3041" t="str">
        <f>"22720880"</f>
        <v>22720880</v>
      </c>
      <c r="B3041" t="s">
        <v>6123</v>
      </c>
      <c r="C3041" t="str">
        <f t="shared" si="221"/>
        <v>706</v>
      </c>
      <c r="D3041" t="s">
        <v>28</v>
      </c>
      <c r="E3041" t="s">
        <v>29</v>
      </c>
      <c r="F3041" t="s">
        <v>38</v>
      </c>
      <c r="G3041" t="s">
        <v>6124</v>
      </c>
      <c r="H3041" t="str">
        <f>"93110"</f>
        <v>93110</v>
      </c>
      <c r="I3041" t="s">
        <v>92</v>
      </c>
    </row>
    <row r="3042" spans="1:9" x14ac:dyDescent="0.3">
      <c r="A3042" t="str">
        <f>"27053806"</f>
        <v>27053806</v>
      </c>
      <c r="B3042" t="s">
        <v>6125</v>
      </c>
      <c r="C3042" t="str">
        <f t="shared" si="221"/>
        <v>706</v>
      </c>
      <c r="D3042" t="s">
        <v>28</v>
      </c>
      <c r="E3042" t="s">
        <v>23</v>
      </c>
      <c r="F3042" t="s">
        <v>23</v>
      </c>
      <c r="G3042" t="s">
        <v>6126</v>
      </c>
      <c r="H3042" t="str">
        <f>"9499"</f>
        <v>9499</v>
      </c>
      <c r="I3042" t="s">
        <v>31</v>
      </c>
    </row>
    <row r="3043" spans="1:9" x14ac:dyDescent="0.3">
      <c r="A3043" t="str">
        <f>"27002152"</f>
        <v>27002152</v>
      </c>
      <c r="B3043" t="s">
        <v>6127</v>
      </c>
      <c r="C3043" t="str">
        <f t="shared" si="221"/>
        <v>706</v>
      </c>
      <c r="D3043" t="s">
        <v>28</v>
      </c>
      <c r="E3043" t="s">
        <v>52</v>
      </c>
      <c r="F3043" t="s">
        <v>960</v>
      </c>
      <c r="G3043" t="s">
        <v>6128</v>
      </c>
      <c r="H3043" t="str">
        <f>"9499"</f>
        <v>9499</v>
      </c>
      <c r="I3043" t="s">
        <v>31</v>
      </c>
    </row>
    <row r="3044" spans="1:9" x14ac:dyDescent="0.3">
      <c r="A3044" t="str">
        <f>"26530911"</f>
        <v>26530911</v>
      </c>
      <c r="B3044" t="s">
        <v>6129</v>
      </c>
      <c r="C3044" t="str">
        <f t="shared" si="221"/>
        <v>706</v>
      </c>
      <c r="D3044" t="s">
        <v>28</v>
      </c>
      <c r="E3044" t="s">
        <v>23</v>
      </c>
      <c r="F3044" t="s">
        <v>23</v>
      </c>
      <c r="G3044" t="s">
        <v>6130</v>
      </c>
      <c r="H3044" t="str">
        <f>"9499"</f>
        <v>9499</v>
      </c>
      <c r="I3044" t="s">
        <v>31</v>
      </c>
    </row>
    <row r="3045" spans="1:9" x14ac:dyDescent="0.3">
      <c r="A3045" t="str">
        <f>"22728112"</f>
        <v>22728112</v>
      </c>
      <c r="B3045" t="s">
        <v>6131</v>
      </c>
      <c r="C3045" t="str">
        <f t="shared" si="221"/>
        <v>706</v>
      </c>
      <c r="D3045" t="s">
        <v>28</v>
      </c>
      <c r="E3045" t="s">
        <v>23</v>
      </c>
      <c r="F3045" t="s">
        <v>23</v>
      </c>
      <c r="G3045" t="s">
        <v>6132</v>
      </c>
      <c r="H3045" t="str">
        <f>"9499"</f>
        <v>9499</v>
      </c>
      <c r="I3045" t="s">
        <v>31</v>
      </c>
    </row>
    <row r="3046" spans="1:9" x14ac:dyDescent="0.3">
      <c r="A3046" t="str">
        <f>"28561104"</f>
        <v>28561104</v>
      </c>
      <c r="B3046" t="s">
        <v>6133</v>
      </c>
      <c r="C3046" t="str">
        <f t="shared" si="221"/>
        <v>706</v>
      </c>
      <c r="D3046" t="s">
        <v>28</v>
      </c>
      <c r="E3046" t="s">
        <v>23</v>
      </c>
      <c r="F3046" t="s">
        <v>1418</v>
      </c>
      <c r="G3046" t="s">
        <v>1418</v>
      </c>
      <c r="H3046" t="str">
        <f>"94995"</f>
        <v>94995</v>
      </c>
      <c r="I3046" t="s">
        <v>232</v>
      </c>
    </row>
    <row r="3047" spans="1:9" x14ac:dyDescent="0.3">
      <c r="A3047" t="str">
        <f>"22857176"</f>
        <v>22857176</v>
      </c>
      <c r="B3047" t="s">
        <v>6134</v>
      </c>
      <c r="C3047" t="str">
        <f t="shared" si="221"/>
        <v>706</v>
      </c>
      <c r="D3047" t="s">
        <v>28</v>
      </c>
      <c r="E3047" t="s">
        <v>83</v>
      </c>
      <c r="F3047" t="s">
        <v>480</v>
      </c>
      <c r="G3047" t="s">
        <v>6135</v>
      </c>
      <c r="H3047" t="str">
        <f>"93120"</f>
        <v>93120</v>
      </c>
      <c r="I3047" t="s">
        <v>54</v>
      </c>
    </row>
    <row r="3048" spans="1:9" x14ac:dyDescent="0.3">
      <c r="A3048" t="str">
        <f>"28558430"</f>
        <v>28558430</v>
      </c>
      <c r="B3048" t="s">
        <v>6136</v>
      </c>
      <c r="C3048" t="str">
        <f t="shared" si="221"/>
        <v>706</v>
      </c>
      <c r="D3048" t="s">
        <v>28</v>
      </c>
      <c r="E3048" t="s">
        <v>83</v>
      </c>
      <c r="F3048" t="s">
        <v>520</v>
      </c>
      <c r="G3048" t="s">
        <v>6137</v>
      </c>
      <c r="H3048" t="str">
        <f>"01700"</f>
        <v>01700</v>
      </c>
      <c r="I3048" t="s">
        <v>1501</v>
      </c>
    </row>
    <row r="3049" spans="1:9" x14ac:dyDescent="0.3">
      <c r="A3049" t="str">
        <f>"66934478"</f>
        <v>66934478</v>
      </c>
      <c r="B3049" t="s">
        <v>6138</v>
      </c>
      <c r="C3049" t="str">
        <f t="shared" si="221"/>
        <v>706</v>
      </c>
      <c r="D3049" t="s">
        <v>28</v>
      </c>
      <c r="E3049" t="s">
        <v>29</v>
      </c>
      <c r="F3049" t="s">
        <v>1654</v>
      </c>
      <c r="G3049" t="s">
        <v>6139</v>
      </c>
      <c r="H3049" t="str">
        <f>"9499"</f>
        <v>9499</v>
      </c>
      <c r="I3049" t="s">
        <v>31</v>
      </c>
    </row>
    <row r="3050" spans="1:9" x14ac:dyDescent="0.3">
      <c r="A3050" t="str">
        <f>"26581850"</f>
        <v>26581850</v>
      </c>
      <c r="B3050" t="s">
        <v>6140</v>
      </c>
      <c r="C3050" t="str">
        <f t="shared" si="221"/>
        <v>706</v>
      </c>
      <c r="D3050" t="s">
        <v>28</v>
      </c>
      <c r="E3050" t="s">
        <v>23</v>
      </c>
      <c r="F3050" t="s">
        <v>23</v>
      </c>
      <c r="G3050" t="s">
        <v>6141</v>
      </c>
      <c r="H3050" t="str">
        <f>"9499"</f>
        <v>9499</v>
      </c>
      <c r="I3050" t="s">
        <v>31</v>
      </c>
    </row>
    <row r="3051" spans="1:9" x14ac:dyDescent="0.3">
      <c r="A3051" t="str">
        <f>"22680691"</f>
        <v>22680691</v>
      </c>
      <c r="B3051" t="s">
        <v>6142</v>
      </c>
      <c r="C3051" t="str">
        <f t="shared" si="221"/>
        <v>706</v>
      </c>
      <c r="D3051" t="s">
        <v>28</v>
      </c>
      <c r="E3051" t="s">
        <v>23</v>
      </c>
      <c r="F3051" t="s">
        <v>245</v>
      </c>
      <c r="G3051" t="s">
        <v>6143</v>
      </c>
      <c r="H3051" t="str">
        <f>"93110"</f>
        <v>93110</v>
      </c>
      <c r="I3051" t="s">
        <v>92</v>
      </c>
    </row>
    <row r="3052" spans="1:9" x14ac:dyDescent="0.3">
      <c r="A3052" t="str">
        <f>"28556402"</f>
        <v>28556402</v>
      </c>
      <c r="B3052" t="s">
        <v>6144</v>
      </c>
      <c r="C3052" t="str">
        <f t="shared" si="221"/>
        <v>706</v>
      </c>
      <c r="D3052" t="s">
        <v>28</v>
      </c>
      <c r="E3052" t="s">
        <v>23</v>
      </c>
      <c r="F3052" t="s">
        <v>350</v>
      </c>
      <c r="G3052" t="s">
        <v>6145</v>
      </c>
      <c r="H3052" t="str">
        <f>"94991"</f>
        <v>94991</v>
      </c>
      <c r="I3052" t="s">
        <v>433</v>
      </c>
    </row>
    <row r="3053" spans="1:9" x14ac:dyDescent="0.3">
      <c r="A3053" t="str">
        <f>"27020363"</f>
        <v>27020363</v>
      </c>
      <c r="B3053" t="s">
        <v>6146</v>
      </c>
      <c r="C3053" t="str">
        <f t="shared" si="221"/>
        <v>706</v>
      </c>
      <c r="D3053" t="s">
        <v>28</v>
      </c>
      <c r="E3053" t="s">
        <v>23</v>
      </c>
      <c r="F3053" t="s">
        <v>2467</v>
      </c>
      <c r="G3053" t="s">
        <v>6147</v>
      </c>
      <c r="H3053" t="str">
        <f>"9499"</f>
        <v>9499</v>
      </c>
      <c r="I3053" t="s">
        <v>31</v>
      </c>
    </row>
    <row r="3054" spans="1:9" x14ac:dyDescent="0.3">
      <c r="A3054" t="str">
        <f>"22693602"</f>
        <v>22693602</v>
      </c>
      <c r="B3054" t="s">
        <v>6148</v>
      </c>
      <c r="C3054" t="str">
        <f t="shared" si="221"/>
        <v>706</v>
      </c>
      <c r="D3054" t="s">
        <v>28</v>
      </c>
      <c r="E3054" t="s">
        <v>52</v>
      </c>
      <c r="F3054" t="s">
        <v>1829</v>
      </c>
      <c r="G3054" t="s">
        <v>6149</v>
      </c>
      <c r="H3054" t="str">
        <f>"9499"</f>
        <v>9499</v>
      </c>
      <c r="I3054" t="s">
        <v>31</v>
      </c>
    </row>
    <row r="3055" spans="1:9" x14ac:dyDescent="0.3">
      <c r="A3055" t="str">
        <f>"22669353"</f>
        <v>22669353</v>
      </c>
      <c r="B3055" t="s">
        <v>6150</v>
      </c>
      <c r="C3055" t="str">
        <f t="shared" si="221"/>
        <v>706</v>
      </c>
      <c r="D3055" t="s">
        <v>28</v>
      </c>
      <c r="E3055" t="s">
        <v>23</v>
      </c>
      <c r="F3055" t="s">
        <v>23</v>
      </c>
      <c r="G3055" t="s">
        <v>6151</v>
      </c>
      <c r="H3055" t="str">
        <f>"9499"</f>
        <v>9499</v>
      </c>
      <c r="I3055" t="s">
        <v>31</v>
      </c>
    </row>
    <row r="3056" spans="1:9" x14ac:dyDescent="0.3">
      <c r="A3056" t="str">
        <f>"27057194"</f>
        <v>27057194</v>
      </c>
      <c r="B3056" t="s">
        <v>6152</v>
      </c>
      <c r="C3056" t="str">
        <f t="shared" si="221"/>
        <v>706</v>
      </c>
      <c r="D3056" t="s">
        <v>28</v>
      </c>
      <c r="E3056" t="s">
        <v>23</v>
      </c>
      <c r="F3056" t="s">
        <v>245</v>
      </c>
      <c r="G3056" t="s">
        <v>6153</v>
      </c>
      <c r="H3056" t="str">
        <f>"94"</f>
        <v>94</v>
      </c>
      <c r="I3056" t="s">
        <v>1016</v>
      </c>
    </row>
    <row r="3057" spans="1:9" x14ac:dyDescent="0.3">
      <c r="A3057" t="str">
        <f>"26603781"</f>
        <v>26603781</v>
      </c>
      <c r="B3057" t="s">
        <v>6154</v>
      </c>
      <c r="C3057" t="str">
        <f t="shared" si="221"/>
        <v>706</v>
      </c>
      <c r="D3057" t="s">
        <v>28</v>
      </c>
      <c r="E3057" t="s">
        <v>23</v>
      </c>
      <c r="F3057" t="s">
        <v>23</v>
      </c>
      <c r="G3057" t="s">
        <v>3851</v>
      </c>
      <c r="H3057" t="str">
        <f>"9499"</f>
        <v>9499</v>
      </c>
      <c r="I3057" t="s">
        <v>31</v>
      </c>
    </row>
    <row r="3058" spans="1:9" x14ac:dyDescent="0.3">
      <c r="A3058" t="str">
        <f>"27005062"</f>
        <v>27005062</v>
      </c>
      <c r="B3058" t="s">
        <v>6155</v>
      </c>
      <c r="C3058" t="str">
        <f t="shared" si="221"/>
        <v>706</v>
      </c>
      <c r="D3058" t="s">
        <v>28</v>
      </c>
      <c r="E3058" t="s">
        <v>23</v>
      </c>
      <c r="F3058" t="s">
        <v>23</v>
      </c>
      <c r="G3058" t="s">
        <v>6156</v>
      </c>
      <c r="H3058" t="str">
        <f>"9499"</f>
        <v>9499</v>
      </c>
      <c r="I3058" t="s">
        <v>31</v>
      </c>
    </row>
    <row r="3059" spans="1:9" x14ac:dyDescent="0.3">
      <c r="A3059" t="str">
        <f>"66545544"</f>
        <v>66545544</v>
      </c>
      <c r="B3059" t="s">
        <v>6157</v>
      </c>
      <c r="C3059" t="str">
        <f t="shared" si="221"/>
        <v>706</v>
      </c>
      <c r="D3059" t="s">
        <v>28</v>
      </c>
      <c r="E3059" t="s">
        <v>83</v>
      </c>
      <c r="F3059" t="s">
        <v>983</v>
      </c>
      <c r="G3059" t="s">
        <v>6158</v>
      </c>
      <c r="H3059" t="str">
        <f>"9499"</f>
        <v>9499</v>
      </c>
      <c r="I3059" t="s">
        <v>31</v>
      </c>
    </row>
    <row r="3060" spans="1:9" x14ac:dyDescent="0.3">
      <c r="A3060" t="str">
        <f>"62831585"</f>
        <v>62831585</v>
      </c>
      <c r="B3060" t="s">
        <v>6159</v>
      </c>
      <c r="C3060" t="str">
        <f t="shared" si="221"/>
        <v>706</v>
      </c>
      <c r="D3060" t="s">
        <v>28</v>
      </c>
      <c r="E3060" t="s">
        <v>52</v>
      </c>
      <c r="F3060" t="s">
        <v>234</v>
      </c>
      <c r="G3060" t="s">
        <v>6160</v>
      </c>
      <c r="H3060" t="str">
        <f>"9499"</f>
        <v>9499</v>
      </c>
      <c r="I3060" t="s">
        <v>31</v>
      </c>
    </row>
    <row r="3061" spans="1:9" x14ac:dyDescent="0.3">
      <c r="A3061" t="str">
        <f>"70880794"</f>
        <v>70880794</v>
      </c>
      <c r="B3061" t="s">
        <v>6161</v>
      </c>
      <c r="C3061" t="str">
        <f t="shared" si="221"/>
        <v>706</v>
      </c>
      <c r="D3061" t="s">
        <v>28</v>
      </c>
      <c r="E3061" t="s">
        <v>29</v>
      </c>
      <c r="F3061" t="s">
        <v>29</v>
      </c>
      <c r="G3061" t="s">
        <v>6162</v>
      </c>
      <c r="H3061" t="str">
        <f>"9499"</f>
        <v>9499</v>
      </c>
      <c r="I3061" t="s">
        <v>31</v>
      </c>
    </row>
    <row r="3062" spans="1:9" x14ac:dyDescent="0.3">
      <c r="A3062" t="str">
        <f>"28552695"</f>
        <v>28552695</v>
      </c>
      <c r="B3062" t="s">
        <v>6163</v>
      </c>
      <c r="C3062" t="str">
        <f t="shared" si="221"/>
        <v>706</v>
      </c>
      <c r="D3062" t="s">
        <v>28</v>
      </c>
      <c r="E3062" t="s">
        <v>83</v>
      </c>
      <c r="F3062" t="s">
        <v>5486</v>
      </c>
      <c r="G3062" t="s">
        <v>6164</v>
      </c>
      <c r="H3062" t="str">
        <f>"94"</f>
        <v>94</v>
      </c>
      <c r="I3062" t="s">
        <v>1016</v>
      </c>
    </row>
    <row r="3063" spans="1:9" x14ac:dyDescent="0.3">
      <c r="A3063" t="str">
        <f>"22609911"</f>
        <v>22609911</v>
      </c>
      <c r="B3063" t="s">
        <v>6165</v>
      </c>
      <c r="C3063" t="str">
        <f t="shared" si="221"/>
        <v>706</v>
      </c>
      <c r="D3063" t="s">
        <v>28</v>
      </c>
      <c r="E3063" t="s">
        <v>23</v>
      </c>
      <c r="F3063" t="s">
        <v>23</v>
      </c>
      <c r="G3063" t="s">
        <v>6166</v>
      </c>
      <c r="H3063" t="str">
        <f t="shared" ref="H3063:H3069" si="225">"9499"</f>
        <v>9499</v>
      </c>
      <c r="I3063" t="s">
        <v>31</v>
      </c>
    </row>
    <row r="3064" spans="1:9" x14ac:dyDescent="0.3">
      <c r="A3064" t="str">
        <f>"27060012"</f>
        <v>27060012</v>
      </c>
      <c r="B3064" t="s">
        <v>6167</v>
      </c>
      <c r="C3064" t="str">
        <f t="shared" si="221"/>
        <v>706</v>
      </c>
      <c r="D3064" t="s">
        <v>28</v>
      </c>
      <c r="E3064" t="s">
        <v>23</v>
      </c>
      <c r="F3064" t="s">
        <v>23</v>
      </c>
      <c r="G3064" t="s">
        <v>6168</v>
      </c>
      <c r="H3064" t="str">
        <f t="shared" si="225"/>
        <v>9499</v>
      </c>
      <c r="I3064" t="s">
        <v>31</v>
      </c>
    </row>
    <row r="3065" spans="1:9" x14ac:dyDescent="0.3">
      <c r="A3065" t="str">
        <f>"22668721"</f>
        <v>22668721</v>
      </c>
      <c r="B3065" t="s">
        <v>6169</v>
      </c>
      <c r="C3065" t="str">
        <f t="shared" si="221"/>
        <v>706</v>
      </c>
      <c r="D3065" t="s">
        <v>28</v>
      </c>
      <c r="E3065" t="s">
        <v>52</v>
      </c>
      <c r="F3065" t="s">
        <v>234</v>
      </c>
      <c r="G3065" t="s">
        <v>6170</v>
      </c>
      <c r="H3065" t="str">
        <f t="shared" si="225"/>
        <v>9499</v>
      </c>
      <c r="I3065" t="s">
        <v>31</v>
      </c>
    </row>
    <row r="3066" spans="1:9" x14ac:dyDescent="0.3">
      <c r="A3066" t="str">
        <f>"26653249"</f>
        <v>26653249</v>
      </c>
      <c r="B3066" t="s">
        <v>6171</v>
      </c>
      <c r="C3066" t="str">
        <f t="shared" si="221"/>
        <v>706</v>
      </c>
      <c r="D3066" t="s">
        <v>28</v>
      </c>
      <c r="E3066" t="s">
        <v>23</v>
      </c>
      <c r="F3066" t="s">
        <v>99</v>
      </c>
      <c r="G3066" t="s">
        <v>4741</v>
      </c>
      <c r="H3066" t="str">
        <f t="shared" si="225"/>
        <v>9499</v>
      </c>
      <c r="I3066" t="s">
        <v>31</v>
      </c>
    </row>
    <row r="3067" spans="1:9" x14ac:dyDescent="0.3">
      <c r="A3067" t="str">
        <f>"67007571"</f>
        <v>67007571</v>
      </c>
      <c r="B3067" t="s">
        <v>6172</v>
      </c>
      <c r="C3067" t="str">
        <f t="shared" si="221"/>
        <v>706</v>
      </c>
      <c r="D3067" t="s">
        <v>28</v>
      </c>
      <c r="E3067" t="s">
        <v>83</v>
      </c>
      <c r="F3067" t="s">
        <v>83</v>
      </c>
      <c r="G3067" t="s">
        <v>6173</v>
      </c>
      <c r="H3067" t="str">
        <f t="shared" si="225"/>
        <v>9499</v>
      </c>
      <c r="I3067" t="s">
        <v>31</v>
      </c>
    </row>
    <row r="3068" spans="1:9" x14ac:dyDescent="0.3">
      <c r="A3068" t="str">
        <f>"22727396"</f>
        <v>22727396</v>
      </c>
      <c r="B3068" t="s">
        <v>6174</v>
      </c>
      <c r="C3068" t="str">
        <f t="shared" si="221"/>
        <v>706</v>
      </c>
      <c r="D3068" t="s">
        <v>28</v>
      </c>
      <c r="E3068" t="s">
        <v>23</v>
      </c>
      <c r="F3068" t="s">
        <v>23</v>
      </c>
      <c r="G3068" t="s">
        <v>6175</v>
      </c>
      <c r="H3068" t="str">
        <f t="shared" si="225"/>
        <v>9499</v>
      </c>
      <c r="I3068" t="s">
        <v>31</v>
      </c>
    </row>
    <row r="3069" spans="1:9" x14ac:dyDescent="0.3">
      <c r="A3069" t="str">
        <f>"26991241"</f>
        <v>26991241</v>
      </c>
      <c r="B3069" t="s">
        <v>6176</v>
      </c>
      <c r="C3069" t="str">
        <f t="shared" si="221"/>
        <v>706</v>
      </c>
      <c r="D3069" t="s">
        <v>28</v>
      </c>
      <c r="E3069" t="s">
        <v>52</v>
      </c>
      <c r="F3069" t="s">
        <v>1788</v>
      </c>
      <c r="G3069" t="s">
        <v>6177</v>
      </c>
      <c r="H3069" t="str">
        <f t="shared" si="225"/>
        <v>9499</v>
      </c>
      <c r="I3069" t="s">
        <v>31</v>
      </c>
    </row>
    <row r="3070" spans="1:9" x14ac:dyDescent="0.3">
      <c r="A3070" t="str">
        <f>"01355856"</f>
        <v>01355856</v>
      </c>
      <c r="B3070" t="s">
        <v>6178</v>
      </c>
      <c r="C3070" t="str">
        <f t="shared" si="221"/>
        <v>706</v>
      </c>
      <c r="D3070" t="s">
        <v>28</v>
      </c>
      <c r="E3070" t="s">
        <v>52</v>
      </c>
      <c r="F3070" t="s">
        <v>234</v>
      </c>
      <c r="G3070" t="s">
        <v>3033</v>
      </c>
      <c r="H3070" t="str">
        <f>"93190"</f>
        <v>93190</v>
      </c>
      <c r="I3070" t="s">
        <v>59</v>
      </c>
    </row>
    <row r="3071" spans="1:9" x14ac:dyDescent="0.3">
      <c r="A3071" t="str">
        <f>"22815589"</f>
        <v>22815589</v>
      </c>
      <c r="B3071" t="s">
        <v>6179</v>
      </c>
      <c r="C3071" t="str">
        <f t="shared" ref="C3071:C3124" si="226">"706"</f>
        <v>706</v>
      </c>
      <c r="D3071" t="s">
        <v>28</v>
      </c>
      <c r="E3071" t="s">
        <v>29</v>
      </c>
      <c r="F3071" t="s">
        <v>38</v>
      </c>
      <c r="G3071" t="s">
        <v>6012</v>
      </c>
      <c r="H3071" t="str">
        <f>"9499"</f>
        <v>9499</v>
      </c>
      <c r="I3071" t="s">
        <v>31</v>
      </c>
    </row>
    <row r="3072" spans="1:9" x14ac:dyDescent="0.3">
      <c r="A3072" t="str">
        <f>"22819959"</f>
        <v>22819959</v>
      </c>
      <c r="B3072" t="s">
        <v>6180</v>
      </c>
      <c r="C3072" t="str">
        <f t="shared" si="226"/>
        <v>706</v>
      </c>
      <c r="D3072" t="s">
        <v>28</v>
      </c>
      <c r="E3072" t="s">
        <v>83</v>
      </c>
      <c r="F3072" t="s">
        <v>3361</v>
      </c>
      <c r="G3072" t="s">
        <v>6181</v>
      </c>
      <c r="H3072" t="str">
        <f>"9499"</f>
        <v>9499</v>
      </c>
      <c r="I3072" t="s">
        <v>31</v>
      </c>
    </row>
    <row r="3073" spans="1:9" x14ac:dyDescent="0.3">
      <c r="A3073" t="str">
        <f>"27037363"</f>
        <v>27037363</v>
      </c>
      <c r="B3073" t="s">
        <v>6182</v>
      </c>
      <c r="C3073" t="str">
        <f t="shared" si="226"/>
        <v>706</v>
      </c>
      <c r="D3073" t="s">
        <v>28</v>
      </c>
      <c r="E3073" t="s">
        <v>83</v>
      </c>
      <c r="F3073" t="s">
        <v>991</v>
      </c>
      <c r="G3073" t="s">
        <v>6183</v>
      </c>
      <c r="H3073" t="str">
        <f>"9499"</f>
        <v>9499</v>
      </c>
      <c r="I3073" t="s">
        <v>31</v>
      </c>
    </row>
    <row r="3074" spans="1:9" x14ac:dyDescent="0.3">
      <c r="A3074" t="str">
        <f>"22725784"</f>
        <v>22725784</v>
      </c>
      <c r="B3074" t="s">
        <v>6184</v>
      </c>
      <c r="C3074" t="str">
        <f t="shared" si="226"/>
        <v>706</v>
      </c>
      <c r="D3074" t="s">
        <v>28</v>
      </c>
      <c r="E3074" t="s">
        <v>23</v>
      </c>
      <c r="F3074" t="s">
        <v>23</v>
      </c>
      <c r="G3074" t="s">
        <v>6185</v>
      </c>
      <c r="H3074" t="str">
        <f>"93110"</f>
        <v>93110</v>
      </c>
      <c r="I3074" t="s">
        <v>92</v>
      </c>
    </row>
    <row r="3075" spans="1:9" x14ac:dyDescent="0.3">
      <c r="A3075" t="str">
        <f>"22671625"</f>
        <v>22671625</v>
      </c>
      <c r="B3075" t="s">
        <v>6186</v>
      </c>
      <c r="C3075" t="str">
        <f t="shared" si="226"/>
        <v>706</v>
      </c>
      <c r="D3075" t="s">
        <v>28</v>
      </c>
      <c r="E3075" t="s">
        <v>23</v>
      </c>
      <c r="F3075" t="s">
        <v>23</v>
      </c>
      <c r="G3075" t="s">
        <v>6187</v>
      </c>
      <c r="H3075" t="str">
        <f>"9499"</f>
        <v>9499</v>
      </c>
      <c r="I3075" t="s">
        <v>31</v>
      </c>
    </row>
    <row r="3076" spans="1:9" x14ac:dyDescent="0.3">
      <c r="A3076" t="str">
        <f>"67029507"</f>
        <v>67029507</v>
      </c>
      <c r="B3076" t="s">
        <v>6188</v>
      </c>
      <c r="C3076" t="str">
        <f t="shared" si="226"/>
        <v>706</v>
      </c>
      <c r="D3076" t="s">
        <v>28</v>
      </c>
      <c r="E3076" t="s">
        <v>52</v>
      </c>
      <c r="F3076" t="s">
        <v>73</v>
      </c>
      <c r="G3076" t="s">
        <v>6189</v>
      </c>
      <c r="H3076" t="str">
        <f>"9499"</f>
        <v>9499</v>
      </c>
      <c r="I3076" t="s">
        <v>31</v>
      </c>
    </row>
    <row r="3077" spans="1:9" x14ac:dyDescent="0.3">
      <c r="A3077" t="str">
        <f>"26992108"</f>
        <v>26992108</v>
      </c>
      <c r="B3077" t="s">
        <v>6190</v>
      </c>
      <c r="C3077" t="str">
        <f t="shared" si="226"/>
        <v>706</v>
      </c>
      <c r="D3077" t="s">
        <v>28</v>
      </c>
      <c r="E3077" t="s">
        <v>83</v>
      </c>
      <c r="F3077" t="s">
        <v>1718</v>
      </c>
      <c r="G3077" t="s">
        <v>6191</v>
      </c>
      <c r="H3077" t="str">
        <f>"94995"</f>
        <v>94995</v>
      </c>
      <c r="I3077" t="s">
        <v>232</v>
      </c>
    </row>
    <row r="3078" spans="1:9" x14ac:dyDescent="0.3">
      <c r="A3078" t="str">
        <f>"27056066"</f>
        <v>27056066</v>
      </c>
      <c r="B3078" t="s">
        <v>6192</v>
      </c>
      <c r="C3078" t="str">
        <f t="shared" si="226"/>
        <v>706</v>
      </c>
      <c r="D3078" t="s">
        <v>28</v>
      </c>
      <c r="E3078" t="s">
        <v>83</v>
      </c>
      <c r="F3078" t="s">
        <v>520</v>
      </c>
      <c r="G3078" t="s">
        <v>6193</v>
      </c>
      <c r="H3078" t="str">
        <f>"94"</f>
        <v>94</v>
      </c>
      <c r="I3078" t="s">
        <v>1016</v>
      </c>
    </row>
    <row r="3079" spans="1:9" x14ac:dyDescent="0.3">
      <c r="A3079" t="str">
        <f>"22731130"</f>
        <v>22731130</v>
      </c>
      <c r="B3079" t="s">
        <v>6194</v>
      </c>
      <c r="C3079" t="str">
        <f t="shared" si="226"/>
        <v>706</v>
      </c>
      <c r="D3079" t="s">
        <v>28</v>
      </c>
      <c r="E3079" t="s">
        <v>29</v>
      </c>
      <c r="F3079" t="s">
        <v>234</v>
      </c>
      <c r="G3079" t="s">
        <v>5568</v>
      </c>
      <c r="H3079" t="str">
        <f>"9499"</f>
        <v>9499</v>
      </c>
      <c r="I3079" t="s">
        <v>31</v>
      </c>
    </row>
    <row r="3080" spans="1:9" x14ac:dyDescent="0.3">
      <c r="A3080" t="str">
        <f>"69211795"</f>
        <v>69211795</v>
      </c>
      <c r="B3080" t="s">
        <v>6195</v>
      </c>
      <c r="C3080" t="str">
        <f t="shared" si="226"/>
        <v>706</v>
      </c>
      <c r="D3080" t="s">
        <v>28</v>
      </c>
      <c r="E3080" t="s">
        <v>29</v>
      </c>
      <c r="F3080" t="s">
        <v>195</v>
      </c>
      <c r="G3080" t="s">
        <v>6196</v>
      </c>
      <c r="H3080" t="str">
        <f>"94995"</f>
        <v>94995</v>
      </c>
      <c r="I3080" t="s">
        <v>232</v>
      </c>
    </row>
    <row r="3081" spans="1:9" x14ac:dyDescent="0.3">
      <c r="A3081" t="str">
        <f>"22738622"</f>
        <v>22738622</v>
      </c>
      <c r="B3081" t="s">
        <v>6197</v>
      </c>
      <c r="C3081" t="str">
        <f t="shared" si="226"/>
        <v>706</v>
      </c>
      <c r="D3081" t="s">
        <v>28</v>
      </c>
      <c r="E3081" t="s">
        <v>52</v>
      </c>
      <c r="F3081" t="s">
        <v>864</v>
      </c>
      <c r="G3081" t="s">
        <v>6198</v>
      </c>
      <c r="H3081" t="str">
        <f>"93110"</f>
        <v>93110</v>
      </c>
      <c r="I3081" t="s">
        <v>92</v>
      </c>
    </row>
    <row r="3082" spans="1:9" x14ac:dyDescent="0.3">
      <c r="A3082" t="str">
        <f>"27049094"</f>
        <v>27049094</v>
      </c>
      <c r="B3082" t="s">
        <v>6199</v>
      </c>
      <c r="C3082" t="str">
        <f t="shared" si="226"/>
        <v>706</v>
      </c>
      <c r="D3082" t="s">
        <v>28</v>
      </c>
      <c r="E3082" t="s">
        <v>23</v>
      </c>
      <c r="F3082" t="s">
        <v>23</v>
      </c>
      <c r="G3082" t="s">
        <v>6200</v>
      </c>
      <c r="H3082" t="str">
        <f>"94120"</f>
        <v>94120</v>
      </c>
      <c r="I3082" t="s">
        <v>43</v>
      </c>
    </row>
    <row r="3083" spans="1:9" x14ac:dyDescent="0.3">
      <c r="A3083" t="str">
        <f>"27025136"</f>
        <v>27025136</v>
      </c>
      <c r="B3083" t="s">
        <v>6201</v>
      </c>
      <c r="C3083" t="str">
        <f t="shared" si="226"/>
        <v>706</v>
      </c>
      <c r="D3083" t="s">
        <v>28</v>
      </c>
      <c r="E3083" t="s">
        <v>52</v>
      </c>
      <c r="F3083" t="s">
        <v>864</v>
      </c>
      <c r="G3083" t="s">
        <v>6202</v>
      </c>
      <c r="H3083" t="str">
        <f>"9499"</f>
        <v>9499</v>
      </c>
      <c r="I3083" t="s">
        <v>31</v>
      </c>
    </row>
    <row r="3084" spans="1:9" x14ac:dyDescent="0.3">
      <c r="A3084" t="str">
        <f>"26601354"</f>
        <v>26601354</v>
      </c>
      <c r="B3084" t="s">
        <v>6203</v>
      </c>
      <c r="C3084" t="str">
        <f t="shared" si="226"/>
        <v>706</v>
      </c>
      <c r="D3084" t="s">
        <v>28</v>
      </c>
      <c r="E3084" t="s">
        <v>23</v>
      </c>
      <c r="F3084" t="s">
        <v>23</v>
      </c>
      <c r="G3084" t="s">
        <v>6204</v>
      </c>
      <c r="H3084" t="str">
        <f>"9499"</f>
        <v>9499</v>
      </c>
      <c r="I3084" t="s">
        <v>31</v>
      </c>
    </row>
    <row r="3085" spans="1:9" x14ac:dyDescent="0.3">
      <c r="A3085" t="str">
        <f>"22765450"</f>
        <v>22765450</v>
      </c>
      <c r="B3085" t="s">
        <v>6205</v>
      </c>
      <c r="C3085" t="str">
        <f t="shared" si="226"/>
        <v>706</v>
      </c>
      <c r="D3085" t="s">
        <v>28</v>
      </c>
      <c r="E3085" t="s">
        <v>52</v>
      </c>
      <c r="F3085" t="s">
        <v>488</v>
      </c>
      <c r="G3085" t="s">
        <v>1768</v>
      </c>
      <c r="H3085" t="str">
        <f>"9499"</f>
        <v>9499</v>
      </c>
      <c r="I3085" t="s">
        <v>31</v>
      </c>
    </row>
    <row r="3086" spans="1:9" x14ac:dyDescent="0.3">
      <c r="A3086" t="str">
        <f>"27044157"</f>
        <v>27044157</v>
      </c>
      <c r="B3086" t="s">
        <v>6206</v>
      </c>
      <c r="C3086" t="str">
        <f t="shared" si="226"/>
        <v>706</v>
      </c>
      <c r="D3086" t="s">
        <v>28</v>
      </c>
      <c r="E3086" t="s">
        <v>23</v>
      </c>
      <c r="F3086" t="s">
        <v>23</v>
      </c>
      <c r="G3086" t="s">
        <v>6207</v>
      </c>
      <c r="H3086" t="str">
        <f>"94996"</f>
        <v>94996</v>
      </c>
      <c r="I3086" t="s">
        <v>47</v>
      </c>
    </row>
    <row r="3087" spans="1:9" x14ac:dyDescent="0.3">
      <c r="A3087" t="str">
        <f>"26618672"</f>
        <v>26618672</v>
      </c>
      <c r="B3087" t="s">
        <v>6208</v>
      </c>
      <c r="C3087" t="str">
        <f t="shared" si="226"/>
        <v>706</v>
      </c>
      <c r="D3087" t="s">
        <v>28</v>
      </c>
      <c r="E3087" t="s">
        <v>23</v>
      </c>
      <c r="F3087" t="s">
        <v>6066</v>
      </c>
      <c r="G3087" t="s">
        <v>6209</v>
      </c>
      <c r="H3087" t="str">
        <f>"9499"</f>
        <v>9499</v>
      </c>
      <c r="I3087" t="s">
        <v>31</v>
      </c>
    </row>
    <row r="3088" spans="1:9" x14ac:dyDescent="0.3">
      <c r="A3088" t="str">
        <f>"27048446"</f>
        <v>27048446</v>
      </c>
      <c r="B3088" t="s">
        <v>6210</v>
      </c>
      <c r="C3088" t="str">
        <f t="shared" si="226"/>
        <v>706</v>
      </c>
      <c r="D3088" t="s">
        <v>28</v>
      </c>
      <c r="E3088" t="s">
        <v>29</v>
      </c>
      <c r="F3088" t="s">
        <v>29</v>
      </c>
      <c r="G3088" t="s">
        <v>6211</v>
      </c>
      <c r="H3088" t="str">
        <f>"93190"</f>
        <v>93190</v>
      </c>
      <c r="I3088" t="s">
        <v>59</v>
      </c>
    </row>
    <row r="3089" spans="1:9" x14ac:dyDescent="0.3">
      <c r="A3089" t="str">
        <f>"26601451"</f>
        <v>26601451</v>
      </c>
      <c r="B3089" t="s">
        <v>6212</v>
      </c>
      <c r="C3089" t="str">
        <f t="shared" si="226"/>
        <v>706</v>
      </c>
      <c r="D3089" t="s">
        <v>28</v>
      </c>
      <c r="E3089" t="s">
        <v>83</v>
      </c>
      <c r="F3089" t="s">
        <v>83</v>
      </c>
      <c r="G3089" t="s">
        <v>6105</v>
      </c>
      <c r="H3089" t="str">
        <f>"9499"</f>
        <v>9499</v>
      </c>
      <c r="I3089" t="s">
        <v>31</v>
      </c>
    </row>
    <row r="3090" spans="1:9" x14ac:dyDescent="0.3">
      <c r="A3090" t="str">
        <f>"22674471"</f>
        <v>22674471</v>
      </c>
      <c r="B3090" t="s">
        <v>6213</v>
      </c>
      <c r="C3090" t="str">
        <f t="shared" si="226"/>
        <v>706</v>
      </c>
      <c r="D3090" t="s">
        <v>28</v>
      </c>
      <c r="E3090" t="s">
        <v>83</v>
      </c>
      <c r="F3090" t="s">
        <v>83</v>
      </c>
      <c r="G3090" t="s">
        <v>6214</v>
      </c>
      <c r="H3090" t="str">
        <f>"9499"</f>
        <v>9499</v>
      </c>
      <c r="I3090" t="s">
        <v>31</v>
      </c>
    </row>
    <row r="3091" spans="1:9" x14ac:dyDescent="0.3">
      <c r="A3091" t="str">
        <f>"22756485"</f>
        <v>22756485</v>
      </c>
      <c r="B3091" t="s">
        <v>6215</v>
      </c>
      <c r="C3091" t="str">
        <f t="shared" si="226"/>
        <v>706</v>
      </c>
      <c r="D3091" t="s">
        <v>28</v>
      </c>
      <c r="E3091" t="s">
        <v>29</v>
      </c>
      <c r="F3091" t="s">
        <v>2177</v>
      </c>
      <c r="G3091" t="s">
        <v>6216</v>
      </c>
      <c r="H3091" t="str">
        <f>"94995"</f>
        <v>94995</v>
      </c>
      <c r="I3091" t="s">
        <v>232</v>
      </c>
    </row>
    <row r="3092" spans="1:9" x14ac:dyDescent="0.3">
      <c r="A3092" t="str">
        <f>"22858539"</f>
        <v>22858539</v>
      </c>
      <c r="B3092" t="s">
        <v>6217</v>
      </c>
      <c r="C3092" t="str">
        <f t="shared" si="226"/>
        <v>706</v>
      </c>
      <c r="D3092" t="s">
        <v>28</v>
      </c>
      <c r="E3092" t="s">
        <v>83</v>
      </c>
      <c r="F3092" t="s">
        <v>537</v>
      </c>
      <c r="G3092" t="s">
        <v>1051</v>
      </c>
      <c r="H3092" t="str">
        <f>"9499"</f>
        <v>9499</v>
      </c>
      <c r="I3092" t="s">
        <v>31</v>
      </c>
    </row>
    <row r="3093" spans="1:9" x14ac:dyDescent="0.3">
      <c r="A3093" t="str">
        <f>"67728332"</f>
        <v>67728332</v>
      </c>
      <c r="B3093" t="s">
        <v>6218</v>
      </c>
      <c r="C3093" t="str">
        <f t="shared" si="226"/>
        <v>706</v>
      </c>
      <c r="D3093" t="s">
        <v>28</v>
      </c>
      <c r="E3093" t="s">
        <v>29</v>
      </c>
      <c r="F3093" t="s">
        <v>195</v>
      </c>
      <c r="G3093" t="s">
        <v>6219</v>
      </c>
      <c r="H3093" t="str">
        <f>"9499"</f>
        <v>9499</v>
      </c>
      <c r="I3093" t="s">
        <v>31</v>
      </c>
    </row>
    <row r="3094" spans="1:9" x14ac:dyDescent="0.3">
      <c r="A3094" t="str">
        <f>"22898182"</f>
        <v>22898182</v>
      </c>
      <c r="B3094" t="s">
        <v>6220</v>
      </c>
      <c r="C3094" t="str">
        <f t="shared" si="226"/>
        <v>706</v>
      </c>
      <c r="D3094" t="s">
        <v>28</v>
      </c>
      <c r="E3094" t="s">
        <v>83</v>
      </c>
      <c r="F3094" t="s">
        <v>537</v>
      </c>
      <c r="G3094" t="s">
        <v>1051</v>
      </c>
      <c r="H3094" t="str">
        <f>"94996"</f>
        <v>94996</v>
      </c>
      <c r="I3094" t="s">
        <v>47</v>
      </c>
    </row>
    <row r="3095" spans="1:9" x14ac:dyDescent="0.3">
      <c r="A3095" t="str">
        <f>"22902520"</f>
        <v>22902520</v>
      </c>
      <c r="B3095" t="s">
        <v>6221</v>
      </c>
      <c r="C3095" t="str">
        <f t="shared" si="226"/>
        <v>706</v>
      </c>
      <c r="D3095" t="s">
        <v>28</v>
      </c>
      <c r="E3095" t="s">
        <v>29</v>
      </c>
      <c r="F3095" t="s">
        <v>29</v>
      </c>
      <c r="G3095" t="s">
        <v>6222</v>
      </c>
      <c r="H3095" t="str">
        <f>"9499"</f>
        <v>9499</v>
      </c>
      <c r="I3095" t="s">
        <v>31</v>
      </c>
    </row>
    <row r="3096" spans="1:9" x14ac:dyDescent="0.3">
      <c r="A3096" t="str">
        <f>"70911789"</f>
        <v>70911789</v>
      </c>
      <c r="B3096" t="s">
        <v>6223</v>
      </c>
      <c r="C3096" t="str">
        <f t="shared" si="226"/>
        <v>706</v>
      </c>
      <c r="D3096" t="s">
        <v>28</v>
      </c>
      <c r="E3096" t="s">
        <v>83</v>
      </c>
      <c r="F3096" t="s">
        <v>1718</v>
      </c>
      <c r="G3096" t="s">
        <v>5085</v>
      </c>
      <c r="H3096" t="str">
        <f>"9499"</f>
        <v>9499</v>
      </c>
      <c r="I3096" t="s">
        <v>31</v>
      </c>
    </row>
    <row r="3097" spans="1:9" x14ac:dyDescent="0.3">
      <c r="A3097" t="str">
        <f>"22857184"</f>
        <v>22857184</v>
      </c>
      <c r="B3097" t="s">
        <v>6224</v>
      </c>
      <c r="C3097" t="str">
        <f t="shared" si="226"/>
        <v>706</v>
      </c>
      <c r="D3097" t="s">
        <v>28</v>
      </c>
      <c r="E3097" t="s">
        <v>83</v>
      </c>
      <c r="F3097" t="s">
        <v>6225</v>
      </c>
      <c r="G3097" t="s">
        <v>6226</v>
      </c>
      <c r="H3097" t="str">
        <f>"93190"</f>
        <v>93190</v>
      </c>
      <c r="I3097" t="s">
        <v>59</v>
      </c>
    </row>
    <row r="3098" spans="1:9" x14ac:dyDescent="0.3">
      <c r="A3098" t="str">
        <f>"26656949"</f>
        <v>26656949</v>
      </c>
      <c r="B3098" t="s">
        <v>6227</v>
      </c>
      <c r="C3098" t="str">
        <f t="shared" si="226"/>
        <v>706</v>
      </c>
      <c r="D3098" t="s">
        <v>28</v>
      </c>
      <c r="E3098" t="s">
        <v>52</v>
      </c>
      <c r="F3098" t="s">
        <v>113</v>
      </c>
      <c r="G3098" t="s">
        <v>1104</v>
      </c>
      <c r="H3098" t="str">
        <f>"94999"</f>
        <v>94999</v>
      </c>
      <c r="I3098" t="s">
        <v>202</v>
      </c>
    </row>
    <row r="3099" spans="1:9" x14ac:dyDescent="0.3">
      <c r="A3099" t="str">
        <f>"27054683"</f>
        <v>27054683</v>
      </c>
      <c r="B3099" t="s">
        <v>6228</v>
      </c>
      <c r="C3099" t="str">
        <f t="shared" si="226"/>
        <v>706</v>
      </c>
      <c r="D3099" t="s">
        <v>28</v>
      </c>
      <c r="E3099" t="s">
        <v>23</v>
      </c>
      <c r="F3099" t="s">
        <v>4802</v>
      </c>
      <c r="G3099" t="s">
        <v>6229</v>
      </c>
      <c r="H3099" t="str">
        <f>"9499"</f>
        <v>9499</v>
      </c>
      <c r="I3099" t="s">
        <v>31</v>
      </c>
    </row>
    <row r="3100" spans="1:9" x14ac:dyDescent="0.3">
      <c r="A3100" t="str">
        <f>"02107686"</f>
        <v>02107686</v>
      </c>
      <c r="B3100" t="s">
        <v>6230</v>
      </c>
      <c r="C3100" t="str">
        <f t="shared" si="226"/>
        <v>706</v>
      </c>
      <c r="D3100" t="s">
        <v>28</v>
      </c>
      <c r="E3100" t="s">
        <v>23</v>
      </c>
      <c r="F3100" t="s">
        <v>23</v>
      </c>
      <c r="G3100" t="s">
        <v>6231</v>
      </c>
      <c r="H3100" t="str">
        <f>"9499"</f>
        <v>9499</v>
      </c>
      <c r="I3100" t="s">
        <v>31</v>
      </c>
    </row>
    <row r="3101" spans="1:9" x14ac:dyDescent="0.3">
      <c r="A3101" t="str">
        <f>"22674811"</f>
        <v>22674811</v>
      </c>
      <c r="B3101" t="s">
        <v>6232</v>
      </c>
      <c r="C3101" t="str">
        <f t="shared" si="226"/>
        <v>706</v>
      </c>
      <c r="D3101" t="s">
        <v>28</v>
      </c>
      <c r="E3101" t="s">
        <v>83</v>
      </c>
      <c r="F3101" t="s">
        <v>83</v>
      </c>
      <c r="G3101" t="s">
        <v>346</v>
      </c>
      <c r="H3101" t="str">
        <f>"9499"</f>
        <v>9499</v>
      </c>
      <c r="I3101" t="s">
        <v>31</v>
      </c>
    </row>
    <row r="3102" spans="1:9" x14ac:dyDescent="0.3">
      <c r="A3102" t="str">
        <f>"69211477"</f>
        <v>69211477</v>
      </c>
      <c r="B3102" t="s">
        <v>6233</v>
      </c>
      <c r="C3102" t="str">
        <f t="shared" si="226"/>
        <v>706</v>
      </c>
      <c r="D3102" t="s">
        <v>28</v>
      </c>
      <c r="E3102" t="s">
        <v>29</v>
      </c>
      <c r="F3102" t="s">
        <v>195</v>
      </c>
      <c r="G3102" t="s">
        <v>6234</v>
      </c>
      <c r="H3102" t="str">
        <f>"94991"</f>
        <v>94991</v>
      </c>
      <c r="I3102" t="s">
        <v>433</v>
      </c>
    </row>
    <row r="3103" spans="1:9" x14ac:dyDescent="0.3">
      <c r="A3103" t="str">
        <f>"67728367"</f>
        <v>67728367</v>
      </c>
      <c r="B3103" t="s">
        <v>6235</v>
      </c>
      <c r="C3103" t="str">
        <f t="shared" si="226"/>
        <v>706</v>
      </c>
      <c r="D3103" t="s">
        <v>28</v>
      </c>
      <c r="E3103" t="s">
        <v>29</v>
      </c>
      <c r="F3103" t="s">
        <v>195</v>
      </c>
      <c r="G3103" t="s">
        <v>6236</v>
      </c>
      <c r="H3103" t="str">
        <f>"94991"</f>
        <v>94991</v>
      </c>
      <c r="I3103" t="s">
        <v>433</v>
      </c>
    </row>
    <row r="3104" spans="1:9" x14ac:dyDescent="0.3">
      <c r="A3104" t="str">
        <f>"66610613"</f>
        <v>66610613</v>
      </c>
      <c r="B3104" t="s">
        <v>6237</v>
      </c>
      <c r="C3104" t="str">
        <f t="shared" si="226"/>
        <v>706</v>
      </c>
      <c r="D3104" t="s">
        <v>28</v>
      </c>
      <c r="E3104" t="s">
        <v>52</v>
      </c>
      <c r="F3104" t="s">
        <v>52</v>
      </c>
      <c r="G3104" t="s">
        <v>6238</v>
      </c>
      <c r="H3104" t="str">
        <f>"9499"</f>
        <v>9499</v>
      </c>
      <c r="I3104" t="s">
        <v>31</v>
      </c>
    </row>
    <row r="3105" spans="1:9" x14ac:dyDescent="0.3">
      <c r="A3105" t="str">
        <f>"26997754"</f>
        <v>26997754</v>
      </c>
      <c r="B3105" t="s">
        <v>6239</v>
      </c>
      <c r="C3105" t="str">
        <f t="shared" si="226"/>
        <v>706</v>
      </c>
      <c r="D3105" t="s">
        <v>28</v>
      </c>
      <c r="E3105" t="s">
        <v>52</v>
      </c>
      <c r="F3105" t="s">
        <v>52</v>
      </c>
      <c r="G3105" t="s">
        <v>6240</v>
      </c>
      <c r="H3105" t="str">
        <f>"9499"</f>
        <v>9499</v>
      </c>
      <c r="I3105" t="s">
        <v>31</v>
      </c>
    </row>
    <row r="3106" spans="1:9" x14ac:dyDescent="0.3">
      <c r="A3106" t="str">
        <f>"27038009"</f>
        <v>27038009</v>
      </c>
      <c r="B3106" t="s">
        <v>6241</v>
      </c>
      <c r="C3106" t="str">
        <f t="shared" si="226"/>
        <v>706</v>
      </c>
      <c r="D3106" t="s">
        <v>28</v>
      </c>
      <c r="E3106" t="s">
        <v>83</v>
      </c>
      <c r="F3106" t="s">
        <v>895</v>
      </c>
      <c r="G3106" t="s">
        <v>6242</v>
      </c>
      <c r="H3106" t="str">
        <f>"9499"</f>
        <v>9499</v>
      </c>
      <c r="I3106" t="s">
        <v>31</v>
      </c>
    </row>
    <row r="3107" spans="1:9" x14ac:dyDescent="0.3">
      <c r="A3107" t="str">
        <f>"26564114"</f>
        <v>26564114</v>
      </c>
      <c r="B3107" t="s">
        <v>6243</v>
      </c>
      <c r="C3107" t="str">
        <f t="shared" si="226"/>
        <v>706</v>
      </c>
      <c r="D3107" t="s">
        <v>28</v>
      </c>
      <c r="E3107" t="s">
        <v>83</v>
      </c>
      <c r="F3107" t="s">
        <v>1846</v>
      </c>
      <c r="G3107" t="s">
        <v>6244</v>
      </c>
      <c r="H3107" t="str">
        <f>"94999"</f>
        <v>94999</v>
      </c>
      <c r="I3107" t="s">
        <v>202</v>
      </c>
    </row>
    <row r="3108" spans="1:9" x14ac:dyDescent="0.3">
      <c r="A3108" t="str">
        <f>"22852239"</f>
        <v>22852239</v>
      </c>
      <c r="B3108" t="s">
        <v>6245</v>
      </c>
      <c r="C3108" t="str">
        <f t="shared" si="226"/>
        <v>706</v>
      </c>
      <c r="D3108" t="s">
        <v>28</v>
      </c>
      <c r="E3108" t="s">
        <v>23</v>
      </c>
      <c r="F3108" t="s">
        <v>1880</v>
      </c>
      <c r="G3108" t="s">
        <v>6246</v>
      </c>
      <c r="H3108" t="str">
        <f>"94991"</f>
        <v>94991</v>
      </c>
      <c r="I3108" t="s">
        <v>433</v>
      </c>
    </row>
    <row r="3109" spans="1:9" x14ac:dyDescent="0.3">
      <c r="A3109" t="str">
        <f>"28555066"</f>
        <v>28555066</v>
      </c>
      <c r="B3109" t="s">
        <v>6247</v>
      </c>
      <c r="C3109" t="str">
        <f t="shared" si="226"/>
        <v>706</v>
      </c>
      <c r="D3109" t="s">
        <v>28</v>
      </c>
      <c r="E3109" t="s">
        <v>29</v>
      </c>
      <c r="F3109" t="s">
        <v>29</v>
      </c>
      <c r="G3109" t="s">
        <v>6248</v>
      </c>
      <c r="H3109" t="str">
        <f>"94"</f>
        <v>94</v>
      </c>
      <c r="I3109" t="s">
        <v>1016</v>
      </c>
    </row>
    <row r="3110" spans="1:9" x14ac:dyDescent="0.3">
      <c r="A3110" t="str">
        <f>"22768301"</f>
        <v>22768301</v>
      </c>
      <c r="B3110" t="s">
        <v>6249</v>
      </c>
      <c r="C3110" t="str">
        <f t="shared" si="226"/>
        <v>706</v>
      </c>
      <c r="D3110" t="s">
        <v>28</v>
      </c>
      <c r="E3110" t="s">
        <v>29</v>
      </c>
      <c r="F3110" t="s">
        <v>195</v>
      </c>
      <c r="G3110" t="s">
        <v>6250</v>
      </c>
      <c r="H3110" t="str">
        <f>"94999"</f>
        <v>94999</v>
      </c>
      <c r="I3110" t="s">
        <v>202</v>
      </c>
    </row>
    <row r="3111" spans="1:9" x14ac:dyDescent="0.3">
      <c r="A3111" t="str">
        <f>"26528363"</f>
        <v>26528363</v>
      </c>
      <c r="B3111" t="s">
        <v>6251</v>
      </c>
      <c r="C3111" t="str">
        <f t="shared" si="226"/>
        <v>706</v>
      </c>
      <c r="D3111" t="s">
        <v>28</v>
      </c>
      <c r="E3111" t="s">
        <v>52</v>
      </c>
      <c r="F3111" t="s">
        <v>1894</v>
      </c>
      <c r="G3111" t="s">
        <v>6252</v>
      </c>
      <c r="H3111" t="str">
        <f t="shared" ref="H3111:H3116" si="227">"9499"</f>
        <v>9499</v>
      </c>
      <c r="I3111" t="s">
        <v>31</v>
      </c>
    </row>
    <row r="3112" spans="1:9" x14ac:dyDescent="0.3">
      <c r="A3112" t="str">
        <f>"22673318"</f>
        <v>22673318</v>
      </c>
      <c r="B3112" t="s">
        <v>6253</v>
      </c>
      <c r="C3112" t="str">
        <f t="shared" si="226"/>
        <v>706</v>
      </c>
      <c r="D3112" t="s">
        <v>28</v>
      </c>
      <c r="E3112" t="s">
        <v>83</v>
      </c>
      <c r="F3112" t="s">
        <v>83</v>
      </c>
      <c r="G3112" t="s">
        <v>6254</v>
      </c>
      <c r="H3112" t="str">
        <f t="shared" si="227"/>
        <v>9499</v>
      </c>
      <c r="I3112" t="s">
        <v>31</v>
      </c>
    </row>
    <row r="3113" spans="1:9" x14ac:dyDescent="0.3">
      <c r="A3113" t="str">
        <f>"68687982"</f>
        <v>68687982</v>
      </c>
      <c r="B3113" t="s">
        <v>6255</v>
      </c>
      <c r="C3113" t="str">
        <f t="shared" si="226"/>
        <v>706</v>
      </c>
      <c r="D3113" t="s">
        <v>28</v>
      </c>
      <c r="E3113" t="s">
        <v>52</v>
      </c>
      <c r="F3113" t="s">
        <v>4748</v>
      </c>
      <c r="G3113" t="s">
        <v>6256</v>
      </c>
      <c r="H3113" t="str">
        <f t="shared" si="227"/>
        <v>9499</v>
      </c>
      <c r="I3113" t="s">
        <v>31</v>
      </c>
    </row>
    <row r="3114" spans="1:9" x14ac:dyDescent="0.3">
      <c r="A3114" t="str">
        <f>"01453157"</f>
        <v>01453157</v>
      </c>
      <c r="B3114" t="s">
        <v>6257</v>
      </c>
      <c r="C3114" t="str">
        <f t="shared" si="226"/>
        <v>706</v>
      </c>
      <c r="D3114" t="s">
        <v>28</v>
      </c>
      <c r="E3114" t="s">
        <v>23</v>
      </c>
      <c r="F3114" t="s">
        <v>99</v>
      </c>
      <c r="G3114" t="s">
        <v>6258</v>
      </c>
      <c r="H3114" t="str">
        <f t="shared" si="227"/>
        <v>9499</v>
      </c>
      <c r="I3114" t="s">
        <v>31</v>
      </c>
    </row>
    <row r="3115" spans="1:9" x14ac:dyDescent="0.3">
      <c r="A3115" t="str">
        <f>"22813276"</f>
        <v>22813276</v>
      </c>
      <c r="B3115" t="s">
        <v>6259</v>
      </c>
      <c r="C3115" t="str">
        <f t="shared" si="226"/>
        <v>706</v>
      </c>
      <c r="D3115" t="s">
        <v>28</v>
      </c>
      <c r="E3115" t="s">
        <v>29</v>
      </c>
      <c r="F3115" t="s">
        <v>1783</v>
      </c>
      <c r="G3115" t="s">
        <v>6260</v>
      </c>
      <c r="H3115" t="str">
        <f t="shared" si="227"/>
        <v>9499</v>
      </c>
      <c r="I3115" t="s">
        <v>31</v>
      </c>
    </row>
    <row r="3116" spans="1:9" x14ac:dyDescent="0.3">
      <c r="A3116" t="str">
        <f>"62831909"</f>
        <v>62831909</v>
      </c>
      <c r="B3116" t="s">
        <v>6261</v>
      </c>
      <c r="C3116" t="str">
        <f t="shared" si="226"/>
        <v>706</v>
      </c>
      <c r="D3116" t="s">
        <v>28</v>
      </c>
      <c r="E3116" t="s">
        <v>52</v>
      </c>
      <c r="F3116" t="s">
        <v>52</v>
      </c>
      <c r="G3116" t="s">
        <v>52</v>
      </c>
      <c r="H3116" t="str">
        <f t="shared" si="227"/>
        <v>9499</v>
      </c>
      <c r="I3116" t="s">
        <v>31</v>
      </c>
    </row>
    <row r="3117" spans="1:9" x14ac:dyDescent="0.3">
      <c r="A3117" t="str">
        <f>"22829741"</f>
        <v>22829741</v>
      </c>
      <c r="B3117" t="s">
        <v>6262</v>
      </c>
      <c r="C3117" t="str">
        <f t="shared" si="226"/>
        <v>706</v>
      </c>
      <c r="D3117" t="s">
        <v>28</v>
      </c>
      <c r="E3117" t="s">
        <v>23</v>
      </c>
      <c r="F3117" t="s">
        <v>23</v>
      </c>
      <c r="G3117" t="s">
        <v>6263</v>
      </c>
      <c r="H3117" t="str">
        <f>"93190"</f>
        <v>93190</v>
      </c>
      <c r="I3117" t="s">
        <v>59</v>
      </c>
    </row>
    <row r="3118" spans="1:9" x14ac:dyDescent="0.3">
      <c r="A3118" t="str">
        <f>"26563240"</f>
        <v>26563240</v>
      </c>
      <c r="B3118" t="s">
        <v>6264</v>
      </c>
      <c r="C3118" t="str">
        <f t="shared" si="226"/>
        <v>706</v>
      </c>
      <c r="D3118" t="s">
        <v>28</v>
      </c>
      <c r="E3118" t="s">
        <v>52</v>
      </c>
      <c r="F3118" t="s">
        <v>234</v>
      </c>
      <c r="G3118" t="s">
        <v>3697</v>
      </c>
      <c r="H3118" t="str">
        <f>"9499"</f>
        <v>9499</v>
      </c>
      <c r="I3118" t="s">
        <v>31</v>
      </c>
    </row>
    <row r="3119" spans="1:9" x14ac:dyDescent="0.3">
      <c r="A3119" t="str">
        <f>"22879722"</f>
        <v>22879722</v>
      </c>
      <c r="B3119" t="s">
        <v>6265</v>
      </c>
      <c r="C3119" t="str">
        <f t="shared" si="226"/>
        <v>706</v>
      </c>
      <c r="D3119" t="s">
        <v>28</v>
      </c>
      <c r="E3119" t="s">
        <v>23</v>
      </c>
      <c r="F3119" t="s">
        <v>24</v>
      </c>
      <c r="G3119" t="s">
        <v>6266</v>
      </c>
      <c r="H3119" t="str">
        <f>"9499"</f>
        <v>9499</v>
      </c>
      <c r="I3119" t="s">
        <v>31</v>
      </c>
    </row>
    <row r="3120" spans="1:9" x14ac:dyDescent="0.3">
      <c r="A3120" t="str">
        <f>"27052435"</f>
        <v>27052435</v>
      </c>
      <c r="B3120" t="s">
        <v>6267</v>
      </c>
      <c r="C3120" t="str">
        <f t="shared" si="226"/>
        <v>706</v>
      </c>
      <c r="D3120" t="s">
        <v>28</v>
      </c>
      <c r="E3120" t="s">
        <v>83</v>
      </c>
      <c r="F3120" t="s">
        <v>83</v>
      </c>
      <c r="G3120" t="s">
        <v>6268</v>
      </c>
      <c r="H3120" t="str">
        <f>"900"</f>
        <v>900</v>
      </c>
      <c r="I3120" t="s">
        <v>500</v>
      </c>
    </row>
    <row r="3121" spans="1:9" x14ac:dyDescent="0.3">
      <c r="A3121" t="str">
        <f>"28556071"</f>
        <v>28556071</v>
      </c>
      <c r="B3121" t="s">
        <v>6269</v>
      </c>
      <c r="C3121" t="str">
        <f t="shared" si="226"/>
        <v>706</v>
      </c>
      <c r="D3121" t="s">
        <v>28</v>
      </c>
      <c r="E3121" t="s">
        <v>23</v>
      </c>
      <c r="F3121" t="s">
        <v>23</v>
      </c>
      <c r="G3121" t="s">
        <v>6270</v>
      </c>
      <c r="H3121" t="str">
        <f>"94"</f>
        <v>94</v>
      </c>
      <c r="I3121" t="s">
        <v>1016</v>
      </c>
    </row>
    <row r="3122" spans="1:9" x14ac:dyDescent="0.3">
      <c r="A3122" t="str">
        <f>"01555090"</f>
        <v>01555090</v>
      </c>
      <c r="B3122" t="s">
        <v>6271</v>
      </c>
      <c r="C3122" t="str">
        <f t="shared" si="226"/>
        <v>706</v>
      </c>
      <c r="D3122" t="s">
        <v>28</v>
      </c>
      <c r="E3122" t="s">
        <v>23</v>
      </c>
      <c r="F3122" t="s">
        <v>1492</v>
      </c>
      <c r="G3122" t="s">
        <v>6272</v>
      </c>
      <c r="H3122" t="str">
        <f>"9499"</f>
        <v>9499</v>
      </c>
      <c r="I3122" t="s">
        <v>31</v>
      </c>
    </row>
    <row r="3123" spans="1:9" x14ac:dyDescent="0.3">
      <c r="A3123" t="str">
        <f>"70238774"</f>
        <v>70238774</v>
      </c>
      <c r="B3123" t="s">
        <v>6273</v>
      </c>
      <c r="C3123" t="str">
        <f t="shared" si="226"/>
        <v>706</v>
      </c>
      <c r="D3123" t="s">
        <v>28</v>
      </c>
      <c r="E3123" t="s">
        <v>29</v>
      </c>
      <c r="F3123" t="s">
        <v>1926</v>
      </c>
      <c r="G3123" t="s">
        <v>6274</v>
      </c>
      <c r="H3123" t="str">
        <f>"9499"</f>
        <v>9499</v>
      </c>
      <c r="I3123" t="s">
        <v>31</v>
      </c>
    </row>
    <row r="3124" spans="1:9" x14ac:dyDescent="0.3">
      <c r="A3124" t="str">
        <f>"26568608"</f>
        <v>26568608</v>
      </c>
      <c r="B3124" t="s">
        <v>6275</v>
      </c>
      <c r="C3124" t="str">
        <f t="shared" si="226"/>
        <v>706</v>
      </c>
      <c r="D3124" t="s">
        <v>28</v>
      </c>
      <c r="E3124" t="s">
        <v>83</v>
      </c>
      <c r="F3124" t="s">
        <v>3456</v>
      </c>
      <c r="G3124" t="s">
        <v>6276</v>
      </c>
      <c r="H3124" t="str">
        <f>"94996"</f>
        <v>94996</v>
      </c>
      <c r="I3124" t="s">
        <v>47</v>
      </c>
    </row>
    <row r="3125" spans="1:9" x14ac:dyDescent="0.3">
      <c r="A3125" t="str">
        <f>"71208755"</f>
        <v>71208755</v>
      </c>
      <c r="B3125" t="s">
        <v>6277</v>
      </c>
      <c r="C3125" t="str">
        <f>"736"</f>
        <v>736</v>
      </c>
      <c r="D3125" t="s">
        <v>22</v>
      </c>
      <c r="E3125" t="s">
        <v>23</v>
      </c>
      <c r="F3125" t="s">
        <v>35</v>
      </c>
      <c r="G3125" t="s">
        <v>6278</v>
      </c>
      <c r="H3125" t="str">
        <f t="shared" ref="H3125:H3136" si="228">"9499"</f>
        <v>9499</v>
      </c>
      <c r="I3125" t="s">
        <v>31</v>
      </c>
    </row>
    <row r="3126" spans="1:9" x14ac:dyDescent="0.3">
      <c r="A3126" t="str">
        <f>"22892737"</f>
        <v>22892737</v>
      </c>
      <c r="B3126" t="s">
        <v>6279</v>
      </c>
      <c r="C3126" t="str">
        <f t="shared" ref="C3126:C3141" si="229">"706"</f>
        <v>706</v>
      </c>
      <c r="D3126" t="s">
        <v>28</v>
      </c>
      <c r="E3126" t="s">
        <v>29</v>
      </c>
      <c r="F3126" t="s">
        <v>195</v>
      </c>
      <c r="G3126" t="s">
        <v>6280</v>
      </c>
      <c r="H3126" t="str">
        <f t="shared" si="228"/>
        <v>9499</v>
      </c>
      <c r="I3126" t="s">
        <v>31</v>
      </c>
    </row>
    <row r="3127" spans="1:9" x14ac:dyDescent="0.3">
      <c r="A3127" t="str">
        <f>"28554957"</f>
        <v>28554957</v>
      </c>
      <c r="B3127" t="s">
        <v>6281</v>
      </c>
      <c r="C3127" t="str">
        <f t="shared" si="229"/>
        <v>706</v>
      </c>
      <c r="D3127" t="s">
        <v>28</v>
      </c>
      <c r="E3127" t="s">
        <v>23</v>
      </c>
      <c r="F3127" t="s">
        <v>1657</v>
      </c>
      <c r="G3127" t="s">
        <v>6282</v>
      </c>
      <c r="H3127" t="str">
        <f t="shared" si="228"/>
        <v>9499</v>
      </c>
      <c r="I3127" t="s">
        <v>31</v>
      </c>
    </row>
    <row r="3128" spans="1:9" x14ac:dyDescent="0.3">
      <c r="A3128" t="str">
        <f>"22896741"</f>
        <v>22896741</v>
      </c>
      <c r="B3128" t="s">
        <v>6283</v>
      </c>
      <c r="C3128" t="str">
        <f t="shared" si="229"/>
        <v>706</v>
      </c>
      <c r="D3128" t="s">
        <v>28</v>
      </c>
      <c r="E3128" t="s">
        <v>83</v>
      </c>
      <c r="F3128" t="s">
        <v>83</v>
      </c>
      <c r="G3128" t="s">
        <v>6284</v>
      </c>
      <c r="H3128" t="str">
        <f t="shared" si="228"/>
        <v>9499</v>
      </c>
      <c r="I3128" t="s">
        <v>31</v>
      </c>
    </row>
    <row r="3129" spans="1:9" x14ac:dyDescent="0.3">
      <c r="A3129" t="str">
        <f>"26635909"</f>
        <v>26635909</v>
      </c>
      <c r="B3129" t="s">
        <v>6285</v>
      </c>
      <c r="C3129" t="str">
        <f t="shared" si="229"/>
        <v>706</v>
      </c>
      <c r="D3129" t="s">
        <v>28</v>
      </c>
      <c r="E3129" t="s">
        <v>29</v>
      </c>
      <c r="F3129" t="s">
        <v>29</v>
      </c>
      <c r="G3129" t="s">
        <v>6286</v>
      </c>
      <c r="H3129" t="str">
        <f t="shared" si="228"/>
        <v>9499</v>
      </c>
      <c r="I3129" t="s">
        <v>31</v>
      </c>
    </row>
    <row r="3130" spans="1:9" x14ac:dyDescent="0.3">
      <c r="A3130" t="str">
        <f>"22814647"</f>
        <v>22814647</v>
      </c>
      <c r="B3130" t="s">
        <v>6287</v>
      </c>
      <c r="C3130" t="str">
        <f t="shared" si="229"/>
        <v>706</v>
      </c>
      <c r="D3130" t="s">
        <v>28</v>
      </c>
      <c r="E3130" t="s">
        <v>23</v>
      </c>
      <c r="F3130" t="s">
        <v>23</v>
      </c>
      <c r="G3130" t="s">
        <v>6288</v>
      </c>
      <c r="H3130" t="str">
        <f t="shared" si="228"/>
        <v>9499</v>
      </c>
      <c r="I3130" t="s">
        <v>31</v>
      </c>
    </row>
    <row r="3131" spans="1:9" x14ac:dyDescent="0.3">
      <c r="A3131" t="str">
        <f>"22742760"</f>
        <v>22742760</v>
      </c>
      <c r="B3131" t="s">
        <v>6289</v>
      </c>
      <c r="C3131" t="str">
        <f t="shared" si="229"/>
        <v>706</v>
      </c>
      <c r="D3131" t="s">
        <v>28</v>
      </c>
      <c r="E3131" t="s">
        <v>52</v>
      </c>
      <c r="F3131" t="s">
        <v>362</v>
      </c>
      <c r="G3131" t="s">
        <v>363</v>
      </c>
      <c r="H3131" t="str">
        <f t="shared" si="228"/>
        <v>9499</v>
      </c>
      <c r="I3131" t="s">
        <v>31</v>
      </c>
    </row>
    <row r="3132" spans="1:9" x14ac:dyDescent="0.3">
      <c r="A3132" t="str">
        <f>"26998416"</f>
        <v>26998416</v>
      </c>
      <c r="B3132" t="s">
        <v>6290</v>
      </c>
      <c r="C3132" t="str">
        <f t="shared" si="229"/>
        <v>706</v>
      </c>
      <c r="D3132" t="s">
        <v>28</v>
      </c>
      <c r="E3132" t="s">
        <v>83</v>
      </c>
      <c r="F3132" t="s">
        <v>1627</v>
      </c>
      <c r="G3132" t="s">
        <v>6291</v>
      </c>
      <c r="H3132" t="str">
        <f t="shared" si="228"/>
        <v>9499</v>
      </c>
      <c r="I3132" t="s">
        <v>31</v>
      </c>
    </row>
    <row r="3133" spans="1:9" x14ac:dyDescent="0.3">
      <c r="A3133" t="str">
        <f>"22901701"</f>
        <v>22901701</v>
      </c>
      <c r="B3133" t="s">
        <v>6292</v>
      </c>
      <c r="C3133" t="str">
        <f t="shared" si="229"/>
        <v>706</v>
      </c>
      <c r="D3133" t="s">
        <v>28</v>
      </c>
      <c r="E3133" t="s">
        <v>29</v>
      </c>
      <c r="F3133" t="s">
        <v>29</v>
      </c>
      <c r="G3133" t="s">
        <v>6222</v>
      </c>
      <c r="H3133" t="str">
        <f t="shared" si="228"/>
        <v>9499</v>
      </c>
      <c r="I3133" t="s">
        <v>31</v>
      </c>
    </row>
    <row r="3134" spans="1:9" x14ac:dyDescent="0.3">
      <c r="A3134" t="str">
        <f>"26670739"</f>
        <v>26670739</v>
      </c>
      <c r="B3134" t="s">
        <v>6293</v>
      </c>
      <c r="C3134" t="str">
        <f t="shared" si="229"/>
        <v>706</v>
      </c>
      <c r="D3134" t="s">
        <v>28</v>
      </c>
      <c r="E3134" t="s">
        <v>83</v>
      </c>
      <c r="F3134" t="s">
        <v>3361</v>
      </c>
      <c r="G3134" t="s">
        <v>6294</v>
      </c>
      <c r="H3134" t="str">
        <f t="shared" si="228"/>
        <v>9499</v>
      </c>
      <c r="I3134" t="s">
        <v>31</v>
      </c>
    </row>
    <row r="3135" spans="1:9" x14ac:dyDescent="0.3">
      <c r="A3135" t="str">
        <f>"26603705"</f>
        <v>26603705</v>
      </c>
      <c r="B3135" t="s">
        <v>6295</v>
      </c>
      <c r="C3135" t="str">
        <f t="shared" si="229"/>
        <v>706</v>
      </c>
      <c r="D3135" t="s">
        <v>28</v>
      </c>
      <c r="E3135" t="s">
        <v>23</v>
      </c>
      <c r="F3135" t="s">
        <v>23</v>
      </c>
      <c r="G3135" t="s">
        <v>3851</v>
      </c>
      <c r="H3135" t="str">
        <f t="shared" si="228"/>
        <v>9499</v>
      </c>
      <c r="I3135" t="s">
        <v>31</v>
      </c>
    </row>
    <row r="3136" spans="1:9" x14ac:dyDescent="0.3">
      <c r="A3136" t="str">
        <f>"27045668"</f>
        <v>27045668</v>
      </c>
      <c r="B3136" t="s">
        <v>6296</v>
      </c>
      <c r="C3136" t="str">
        <f t="shared" si="229"/>
        <v>706</v>
      </c>
      <c r="D3136" t="s">
        <v>28</v>
      </c>
      <c r="E3136" t="s">
        <v>23</v>
      </c>
      <c r="F3136" t="s">
        <v>24</v>
      </c>
      <c r="G3136" t="s">
        <v>6297</v>
      </c>
      <c r="H3136" t="str">
        <f t="shared" si="228"/>
        <v>9499</v>
      </c>
      <c r="I3136" t="s">
        <v>31</v>
      </c>
    </row>
    <row r="3137" spans="1:13" x14ac:dyDescent="0.3">
      <c r="A3137" t="str">
        <f>"26663210"</f>
        <v>26663210</v>
      </c>
      <c r="B3137" t="s">
        <v>6298</v>
      </c>
      <c r="C3137" t="str">
        <f t="shared" si="229"/>
        <v>706</v>
      </c>
      <c r="D3137" t="s">
        <v>28</v>
      </c>
      <c r="E3137" t="s">
        <v>23</v>
      </c>
      <c r="F3137" t="s">
        <v>1492</v>
      </c>
      <c r="G3137" t="s">
        <v>6299</v>
      </c>
      <c r="H3137" t="str">
        <f>"94995"</f>
        <v>94995</v>
      </c>
      <c r="I3137" t="s">
        <v>232</v>
      </c>
    </row>
    <row r="3138" spans="1:13" x14ac:dyDescent="0.3">
      <c r="A3138" t="str">
        <f>"68689756"</f>
        <v>68689756</v>
      </c>
      <c r="B3138" t="s">
        <v>6300</v>
      </c>
      <c r="C3138" t="str">
        <f t="shared" si="229"/>
        <v>706</v>
      </c>
      <c r="D3138" t="s">
        <v>28</v>
      </c>
      <c r="E3138" t="s">
        <v>23</v>
      </c>
      <c r="F3138" t="s">
        <v>23</v>
      </c>
      <c r="G3138" t="s">
        <v>6301</v>
      </c>
      <c r="H3138" t="str">
        <f t="shared" ref="H3138:H3148" si="230">"9499"</f>
        <v>9499</v>
      </c>
      <c r="I3138" t="s">
        <v>31</v>
      </c>
    </row>
    <row r="3139" spans="1:13" x14ac:dyDescent="0.3">
      <c r="A3139" t="str">
        <f>"27016625"</f>
        <v>27016625</v>
      </c>
      <c r="B3139" t="s">
        <v>6302</v>
      </c>
      <c r="C3139" t="str">
        <f t="shared" si="229"/>
        <v>706</v>
      </c>
      <c r="D3139" t="s">
        <v>28</v>
      </c>
      <c r="E3139" t="s">
        <v>52</v>
      </c>
      <c r="F3139" t="s">
        <v>52</v>
      </c>
      <c r="G3139" t="s">
        <v>6303</v>
      </c>
      <c r="H3139" t="str">
        <f t="shared" si="230"/>
        <v>9499</v>
      </c>
      <c r="I3139" t="s">
        <v>31</v>
      </c>
    </row>
    <row r="3140" spans="1:13" x14ac:dyDescent="0.3">
      <c r="A3140" t="str">
        <f>"22666923"</f>
        <v>22666923</v>
      </c>
      <c r="B3140" t="s">
        <v>6304</v>
      </c>
      <c r="C3140" t="str">
        <f t="shared" si="229"/>
        <v>706</v>
      </c>
      <c r="D3140" t="s">
        <v>28</v>
      </c>
      <c r="E3140" t="s">
        <v>29</v>
      </c>
      <c r="F3140" t="s">
        <v>676</v>
      </c>
      <c r="G3140" t="s">
        <v>6305</v>
      </c>
      <c r="H3140" t="str">
        <f t="shared" si="230"/>
        <v>9499</v>
      </c>
      <c r="I3140" t="s">
        <v>31</v>
      </c>
    </row>
    <row r="3141" spans="1:13" x14ac:dyDescent="0.3">
      <c r="A3141" t="str">
        <f>"22680705"</f>
        <v>22680705</v>
      </c>
      <c r="B3141" t="s">
        <v>6306</v>
      </c>
      <c r="C3141" t="str">
        <f t="shared" si="229"/>
        <v>706</v>
      </c>
      <c r="D3141" t="s">
        <v>28</v>
      </c>
      <c r="E3141" t="s">
        <v>52</v>
      </c>
      <c r="F3141" t="s">
        <v>857</v>
      </c>
      <c r="G3141" t="s">
        <v>6307</v>
      </c>
      <c r="H3141" t="str">
        <f t="shared" si="230"/>
        <v>9499</v>
      </c>
      <c r="I3141" t="s">
        <v>31</v>
      </c>
    </row>
    <row r="3142" spans="1:13" x14ac:dyDescent="0.3">
      <c r="A3142" t="str">
        <f>"26283808"</f>
        <v>26283808</v>
      </c>
      <c r="B3142" t="s">
        <v>6308</v>
      </c>
      <c r="C3142" t="str">
        <f>"141"</f>
        <v>141</v>
      </c>
      <c r="D3142" t="s">
        <v>112</v>
      </c>
      <c r="E3142" t="s">
        <v>52</v>
      </c>
      <c r="F3142" t="s">
        <v>52</v>
      </c>
      <c r="G3142" t="s">
        <v>6309</v>
      </c>
      <c r="H3142" t="str">
        <f t="shared" si="230"/>
        <v>9499</v>
      </c>
      <c r="I3142" t="s">
        <v>31</v>
      </c>
      <c r="J3142" t="s">
        <v>154</v>
      </c>
      <c r="K3142" t="s">
        <v>433</v>
      </c>
    </row>
    <row r="3143" spans="1:13" x14ac:dyDescent="0.3">
      <c r="A3143" t="str">
        <f>"25562371"</f>
        <v>25562371</v>
      </c>
      <c r="B3143" t="s">
        <v>6310</v>
      </c>
      <c r="C3143" t="str">
        <f>"141"</f>
        <v>141</v>
      </c>
      <c r="D3143" t="s">
        <v>112</v>
      </c>
      <c r="E3143" t="s">
        <v>52</v>
      </c>
      <c r="F3143" t="s">
        <v>52</v>
      </c>
      <c r="G3143" t="s">
        <v>6311</v>
      </c>
      <c r="H3143" t="str">
        <f t="shared" si="230"/>
        <v>9499</v>
      </c>
      <c r="I3143" t="s">
        <v>31</v>
      </c>
    </row>
    <row r="3144" spans="1:13" x14ac:dyDescent="0.3">
      <c r="A3144" t="str">
        <f>"25550071"</f>
        <v>25550071</v>
      </c>
      <c r="B3144" t="s">
        <v>6312</v>
      </c>
      <c r="C3144" t="str">
        <f>"141"</f>
        <v>141</v>
      </c>
      <c r="D3144" t="s">
        <v>112</v>
      </c>
      <c r="E3144" t="s">
        <v>52</v>
      </c>
      <c r="F3144" t="s">
        <v>113</v>
      </c>
      <c r="G3144" t="s">
        <v>6313</v>
      </c>
      <c r="H3144" t="str">
        <f t="shared" si="230"/>
        <v>9499</v>
      </c>
      <c r="I3144" t="s">
        <v>31</v>
      </c>
    </row>
    <row r="3145" spans="1:13" x14ac:dyDescent="0.3">
      <c r="A3145" t="str">
        <f>"09158138"</f>
        <v>09158138</v>
      </c>
      <c r="B3145" t="s">
        <v>6314</v>
      </c>
      <c r="C3145" t="str">
        <f>"706"</f>
        <v>706</v>
      </c>
      <c r="D3145" t="s">
        <v>28</v>
      </c>
      <c r="E3145" t="s">
        <v>83</v>
      </c>
      <c r="F3145" t="s">
        <v>6225</v>
      </c>
      <c r="G3145" t="s">
        <v>6315</v>
      </c>
      <c r="H3145" t="str">
        <f t="shared" si="230"/>
        <v>9499</v>
      </c>
      <c r="I3145" t="s">
        <v>31</v>
      </c>
      <c r="J3145" t="s">
        <v>155</v>
      </c>
      <c r="K3145" t="s">
        <v>209</v>
      </c>
      <c r="L3145" t="s">
        <v>161</v>
      </c>
      <c r="M3145" t="s">
        <v>163</v>
      </c>
    </row>
    <row r="3146" spans="1:13" x14ac:dyDescent="0.3">
      <c r="A3146" t="str">
        <f>"01827146"</f>
        <v>01827146</v>
      </c>
      <c r="B3146" t="s">
        <v>6316</v>
      </c>
      <c r="C3146" t="str">
        <f>"706"</f>
        <v>706</v>
      </c>
      <c r="D3146" t="s">
        <v>28</v>
      </c>
      <c r="E3146" t="s">
        <v>52</v>
      </c>
      <c r="F3146" t="s">
        <v>4748</v>
      </c>
      <c r="G3146" t="s">
        <v>4749</v>
      </c>
      <c r="H3146" t="str">
        <f t="shared" si="230"/>
        <v>9499</v>
      </c>
      <c r="I3146" t="s">
        <v>31</v>
      </c>
    </row>
    <row r="3147" spans="1:13" x14ac:dyDescent="0.3">
      <c r="A3147" t="str">
        <f>"23271272"</f>
        <v>23271272</v>
      </c>
      <c r="B3147" t="s">
        <v>6317</v>
      </c>
      <c r="C3147" t="str">
        <f>"706"</f>
        <v>706</v>
      </c>
      <c r="D3147" t="s">
        <v>28</v>
      </c>
      <c r="E3147" t="s">
        <v>29</v>
      </c>
      <c r="F3147" t="s">
        <v>195</v>
      </c>
      <c r="G3147" t="s">
        <v>6318</v>
      </c>
      <c r="H3147" t="str">
        <f t="shared" si="230"/>
        <v>9499</v>
      </c>
      <c r="I3147" t="s">
        <v>31</v>
      </c>
    </row>
    <row r="3148" spans="1:13" x14ac:dyDescent="0.3">
      <c r="A3148" t="str">
        <f>"21694125"</f>
        <v>21694125</v>
      </c>
      <c r="B3148" t="s">
        <v>6319</v>
      </c>
      <c r="C3148" t="str">
        <f>"706"</f>
        <v>706</v>
      </c>
      <c r="D3148" t="s">
        <v>28</v>
      </c>
      <c r="E3148" t="s">
        <v>52</v>
      </c>
      <c r="F3148" t="s">
        <v>1740</v>
      </c>
      <c r="G3148" t="s">
        <v>6320</v>
      </c>
      <c r="H3148" t="str">
        <f t="shared" si="230"/>
        <v>9499</v>
      </c>
      <c r="I3148" t="s">
        <v>31</v>
      </c>
    </row>
    <row r="3149" spans="1:13" x14ac:dyDescent="0.3">
      <c r="A3149" t="str">
        <f>"00426351"</f>
        <v>00426351</v>
      </c>
      <c r="B3149" t="s">
        <v>6321</v>
      </c>
      <c r="C3149" t="str">
        <f>"736"</f>
        <v>736</v>
      </c>
      <c r="D3149" t="s">
        <v>22</v>
      </c>
      <c r="E3149" t="s">
        <v>83</v>
      </c>
      <c r="F3149" t="s">
        <v>83</v>
      </c>
      <c r="G3149" t="s">
        <v>6322</v>
      </c>
      <c r="H3149" t="str">
        <f>"94993"</f>
        <v>94993</v>
      </c>
      <c r="I3149" t="s">
        <v>50</v>
      </c>
      <c r="J3149" t="s">
        <v>498</v>
      </c>
      <c r="K3149" t="s">
        <v>59</v>
      </c>
    </row>
    <row r="3150" spans="1:13" x14ac:dyDescent="0.3">
      <c r="A3150" t="str">
        <f>"00426385"</f>
        <v>00426385</v>
      </c>
      <c r="B3150" t="s">
        <v>6323</v>
      </c>
      <c r="C3150" t="str">
        <f>"736"</f>
        <v>736</v>
      </c>
      <c r="D3150" t="s">
        <v>22</v>
      </c>
      <c r="E3150" t="s">
        <v>52</v>
      </c>
      <c r="F3150" t="s">
        <v>52</v>
      </c>
      <c r="G3150" t="s">
        <v>6324</v>
      </c>
      <c r="H3150" t="str">
        <f>"94993"</f>
        <v>94993</v>
      </c>
      <c r="I3150" t="s">
        <v>50</v>
      </c>
    </row>
    <row r="3151" spans="1:13" x14ac:dyDescent="0.3">
      <c r="A3151" t="str">
        <f>"48773883"</f>
        <v>48773883</v>
      </c>
      <c r="B3151" t="s">
        <v>6325</v>
      </c>
      <c r="C3151" t="str">
        <f>"736"</f>
        <v>736</v>
      </c>
      <c r="D3151" t="s">
        <v>22</v>
      </c>
      <c r="E3151" t="s">
        <v>29</v>
      </c>
      <c r="F3151" t="s">
        <v>29</v>
      </c>
      <c r="G3151" t="s">
        <v>6326</v>
      </c>
      <c r="H3151" t="str">
        <f>"94993"</f>
        <v>94993</v>
      </c>
      <c r="I3151" t="s">
        <v>50</v>
      </c>
    </row>
    <row r="3152" spans="1:13" x14ac:dyDescent="0.3">
      <c r="A3152" t="str">
        <f>"00426326"</f>
        <v>00426326</v>
      </c>
      <c r="B3152" t="s">
        <v>6327</v>
      </c>
      <c r="C3152" t="str">
        <f>"736"</f>
        <v>736</v>
      </c>
      <c r="D3152" t="s">
        <v>22</v>
      </c>
      <c r="E3152" t="s">
        <v>23</v>
      </c>
      <c r="F3152" t="s">
        <v>23</v>
      </c>
      <c r="G3152" t="s">
        <v>6328</v>
      </c>
      <c r="H3152" t="str">
        <f>"9499"</f>
        <v>9499</v>
      </c>
      <c r="I3152" t="s">
        <v>31</v>
      </c>
    </row>
    <row r="3153" spans="1:9" x14ac:dyDescent="0.3">
      <c r="A3153" t="str">
        <f>"03898342"</f>
        <v>03898342</v>
      </c>
      <c r="B3153" t="s">
        <v>6329</v>
      </c>
      <c r="C3153" t="str">
        <f t="shared" ref="C3153:C3162" si="231">"706"</f>
        <v>706</v>
      </c>
      <c r="D3153" t="s">
        <v>28</v>
      </c>
      <c r="E3153" t="s">
        <v>23</v>
      </c>
      <c r="F3153" t="s">
        <v>1581</v>
      </c>
      <c r="G3153" t="s">
        <v>4430</v>
      </c>
      <c r="H3153" t="str">
        <f>"90010"</f>
        <v>90010</v>
      </c>
      <c r="I3153" t="s">
        <v>2014</v>
      </c>
    </row>
    <row r="3154" spans="1:9" x14ac:dyDescent="0.3">
      <c r="A3154" t="str">
        <f>"22768009"</f>
        <v>22768009</v>
      </c>
      <c r="B3154" t="s">
        <v>6330</v>
      </c>
      <c r="C3154" t="str">
        <f t="shared" si="231"/>
        <v>706</v>
      </c>
      <c r="D3154" t="s">
        <v>28</v>
      </c>
      <c r="E3154" t="s">
        <v>23</v>
      </c>
      <c r="F3154" t="s">
        <v>4156</v>
      </c>
      <c r="G3154" t="s">
        <v>6331</v>
      </c>
      <c r="H3154" t="str">
        <f>"9499"</f>
        <v>9499</v>
      </c>
      <c r="I3154" t="s">
        <v>31</v>
      </c>
    </row>
    <row r="3155" spans="1:9" x14ac:dyDescent="0.3">
      <c r="A3155" t="str">
        <f>"22710809"</f>
        <v>22710809</v>
      </c>
      <c r="B3155" t="s">
        <v>6332</v>
      </c>
      <c r="C3155" t="str">
        <f t="shared" si="231"/>
        <v>706</v>
      </c>
      <c r="D3155" t="s">
        <v>28</v>
      </c>
      <c r="E3155" t="s">
        <v>83</v>
      </c>
      <c r="F3155" t="s">
        <v>1425</v>
      </c>
      <c r="G3155" t="s">
        <v>6333</v>
      </c>
      <c r="H3155" t="str">
        <f>"90010"</f>
        <v>90010</v>
      </c>
      <c r="I3155" t="s">
        <v>2014</v>
      </c>
    </row>
    <row r="3156" spans="1:9" x14ac:dyDescent="0.3">
      <c r="A3156" t="str">
        <f>"05582245"</f>
        <v>05582245</v>
      </c>
      <c r="B3156" t="s">
        <v>6334</v>
      </c>
      <c r="C3156" t="str">
        <f t="shared" si="231"/>
        <v>706</v>
      </c>
      <c r="D3156" t="s">
        <v>28</v>
      </c>
      <c r="E3156" t="s">
        <v>83</v>
      </c>
      <c r="F3156" t="s">
        <v>83</v>
      </c>
      <c r="G3156" t="s">
        <v>6335</v>
      </c>
      <c r="H3156" t="str">
        <f>"9499"</f>
        <v>9499</v>
      </c>
      <c r="I3156" t="s">
        <v>31</v>
      </c>
    </row>
    <row r="3157" spans="1:9" x14ac:dyDescent="0.3">
      <c r="A3157" t="str">
        <f>"08654581"</f>
        <v>08654581</v>
      </c>
      <c r="B3157" t="s">
        <v>6336</v>
      </c>
      <c r="C3157" t="str">
        <f t="shared" si="231"/>
        <v>706</v>
      </c>
      <c r="D3157" t="s">
        <v>28</v>
      </c>
      <c r="E3157" t="s">
        <v>29</v>
      </c>
      <c r="F3157" t="s">
        <v>1926</v>
      </c>
      <c r="G3157" t="s">
        <v>6337</v>
      </c>
      <c r="H3157" t="str">
        <f>"94995"</f>
        <v>94995</v>
      </c>
      <c r="I3157" t="s">
        <v>232</v>
      </c>
    </row>
    <row r="3158" spans="1:9" x14ac:dyDescent="0.3">
      <c r="A3158" t="str">
        <f>"26633361"</f>
        <v>26633361</v>
      </c>
      <c r="B3158" t="s">
        <v>6338</v>
      </c>
      <c r="C3158" t="str">
        <f t="shared" si="231"/>
        <v>706</v>
      </c>
      <c r="D3158" t="s">
        <v>28</v>
      </c>
      <c r="E3158" t="s">
        <v>52</v>
      </c>
      <c r="F3158" t="s">
        <v>52</v>
      </c>
      <c r="G3158" t="s">
        <v>6339</v>
      </c>
      <c r="H3158" t="str">
        <f>"9499"</f>
        <v>9499</v>
      </c>
      <c r="I3158" t="s">
        <v>31</v>
      </c>
    </row>
    <row r="3159" spans="1:9" x14ac:dyDescent="0.3">
      <c r="A3159" t="str">
        <f>"23226978"</f>
        <v>23226978</v>
      </c>
      <c r="B3159" t="s">
        <v>6340</v>
      </c>
      <c r="C3159" t="str">
        <f t="shared" si="231"/>
        <v>706</v>
      </c>
      <c r="D3159" t="s">
        <v>28</v>
      </c>
      <c r="E3159" t="s">
        <v>23</v>
      </c>
      <c r="F3159" t="s">
        <v>23</v>
      </c>
      <c r="G3159" t="s">
        <v>6341</v>
      </c>
      <c r="H3159" t="str">
        <f>"93190"</f>
        <v>93190</v>
      </c>
      <c r="I3159" t="s">
        <v>59</v>
      </c>
    </row>
    <row r="3160" spans="1:9" x14ac:dyDescent="0.3">
      <c r="A3160" t="str">
        <f>"22689869"</f>
        <v>22689869</v>
      </c>
      <c r="B3160" t="s">
        <v>6342</v>
      </c>
      <c r="C3160" t="str">
        <f t="shared" si="231"/>
        <v>706</v>
      </c>
      <c r="D3160" t="s">
        <v>28</v>
      </c>
      <c r="E3160" t="s">
        <v>23</v>
      </c>
      <c r="F3160" t="s">
        <v>24</v>
      </c>
      <c r="G3160" t="s">
        <v>6343</v>
      </c>
      <c r="H3160" t="str">
        <f>"9499"</f>
        <v>9499</v>
      </c>
      <c r="I3160" t="s">
        <v>31</v>
      </c>
    </row>
    <row r="3161" spans="1:9" x14ac:dyDescent="0.3">
      <c r="A3161" t="str">
        <f>"09476687"</f>
        <v>09476687</v>
      </c>
      <c r="B3161" t="s">
        <v>6344</v>
      </c>
      <c r="C3161" t="str">
        <f t="shared" si="231"/>
        <v>706</v>
      </c>
      <c r="D3161" t="s">
        <v>28</v>
      </c>
      <c r="E3161" t="s">
        <v>29</v>
      </c>
      <c r="F3161" t="s">
        <v>29</v>
      </c>
      <c r="G3161" t="s">
        <v>6345</v>
      </c>
      <c r="H3161" t="str">
        <f>"93190"</f>
        <v>93190</v>
      </c>
      <c r="I3161" t="s">
        <v>59</v>
      </c>
    </row>
    <row r="3162" spans="1:9" x14ac:dyDescent="0.3">
      <c r="A3162" t="str">
        <f>"68898517"</f>
        <v>68898517</v>
      </c>
      <c r="B3162" t="s">
        <v>6346</v>
      </c>
      <c r="C3162" t="str">
        <f t="shared" si="231"/>
        <v>706</v>
      </c>
      <c r="D3162" t="s">
        <v>28</v>
      </c>
      <c r="E3162" t="s">
        <v>29</v>
      </c>
      <c r="F3162" t="s">
        <v>234</v>
      </c>
      <c r="G3162" t="s">
        <v>6347</v>
      </c>
      <c r="H3162" t="str">
        <f>"931"</f>
        <v>931</v>
      </c>
      <c r="I3162" t="s">
        <v>26</v>
      </c>
    </row>
    <row r="3163" spans="1:9" x14ac:dyDescent="0.3">
      <c r="A3163" t="str">
        <f>"01463641"</f>
        <v>01463641</v>
      </c>
      <c r="B3163" t="s">
        <v>6348</v>
      </c>
      <c r="C3163" t="str">
        <f>"141"</f>
        <v>141</v>
      </c>
      <c r="D3163" t="s">
        <v>112</v>
      </c>
      <c r="E3163" t="s">
        <v>29</v>
      </c>
      <c r="F3163" t="s">
        <v>1888</v>
      </c>
      <c r="G3163" t="s">
        <v>6349</v>
      </c>
      <c r="H3163" t="str">
        <f>"471"</f>
        <v>471</v>
      </c>
      <c r="I3163" t="s">
        <v>498</v>
      </c>
    </row>
    <row r="3164" spans="1:9" x14ac:dyDescent="0.3">
      <c r="A3164" t="str">
        <f>"19196369"</f>
        <v>19196369</v>
      </c>
      <c r="B3164" t="s">
        <v>6350</v>
      </c>
      <c r="C3164" t="str">
        <f t="shared" ref="C3164:C3177" si="232">"706"</f>
        <v>706</v>
      </c>
      <c r="D3164" t="s">
        <v>28</v>
      </c>
      <c r="E3164" t="s">
        <v>29</v>
      </c>
      <c r="F3164" t="s">
        <v>685</v>
      </c>
      <c r="G3164" t="s">
        <v>6351</v>
      </c>
      <c r="H3164" t="str">
        <f>"9499"</f>
        <v>9499</v>
      </c>
      <c r="I3164" t="s">
        <v>31</v>
      </c>
    </row>
    <row r="3165" spans="1:9" x14ac:dyDescent="0.3">
      <c r="A3165" t="str">
        <f>"70831840"</f>
        <v>70831840</v>
      </c>
      <c r="B3165" t="s">
        <v>6352</v>
      </c>
      <c r="C3165" t="str">
        <f t="shared" si="232"/>
        <v>706</v>
      </c>
      <c r="D3165" t="s">
        <v>28</v>
      </c>
      <c r="E3165" t="s">
        <v>52</v>
      </c>
      <c r="F3165" t="s">
        <v>52</v>
      </c>
      <c r="G3165" t="s">
        <v>6353</v>
      </c>
      <c r="H3165" t="str">
        <f>"93120"</f>
        <v>93120</v>
      </c>
      <c r="I3165" t="s">
        <v>54</v>
      </c>
    </row>
    <row r="3166" spans="1:9" x14ac:dyDescent="0.3">
      <c r="A3166" t="str">
        <f>"68898789"</f>
        <v>68898789</v>
      </c>
      <c r="B3166" t="s">
        <v>6354</v>
      </c>
      <c r="C3166" t="str">
        <f t="shared" si="232"/>
        <v>706</v>
      </c>
      <c r="D3166" t="s">
        <v>28</v>
      </c>
      <c r="E3166" t="s">
        <v>29</v>
      </c>
      <c r="F3166" t="s">
        <v>195</v>
      </c>
      <c r="G3166" t="s">
        <v>6355</v>
      </c>
      <c r="H3166" t="str">
        <f>"931"</f>
        <v>931</v>
      </c>
      <c r="I3166" t="s">
        <v>26</v>
      </c>
    </row>
    <row r="3167" spans="1:9" x14ac:dyDescent="0.3">
      <c r="A3167" t="str">
        <f>"68726961"</f>
        <v>68726961</v>
      </c>
      <c r="B3167" t="s">
        <v>6356</v>
      </c>
      <c r="C3167" t="str">
        <f t="shared" si="232"/>
        <v>706</v>
      </c>
      <c r="D3167" t="s">
        <v>28</v>
      </c>
      <c r="E3167" t="s">
        <v>23</v>
      </c>
      <c r="F3167" t="s">
        <v>23</v>
      </c>
      <c r="G3167" t="s">
        <v>6357</v>
      </c>
      <c r="H3167" t="str">
        <f>"931"</f>
        <v>931</v>
      </c>
      <c r="I3167" t="s">
        <v>26</v>
      </c>
    </row>
    <row r="3168" spans="1:9" x14ac:dyDescent="0.3">
      <c r="A3168" t="str">
        <f>"26548976"</f>
        <v>26548976</v>
      </c>
      <c r="B3168" t="s">
        <v>6358</v>
      </c>
      <c r="C3168" t="str">
        <f t="shared" si="232"/>
        <v>706</v>
      </c>
      <c r="D3168" t="s">
        <v>28</v>
      </c>
      <c r="E3168" t="s">
        <v>29</v>
      </c>
      <c r="F3168" t="s">
        <v>29</v>
      </c>
      <c r="G3168" t="s">
        <v>6359</v>
      </c>
      <c r="H3168" t="str">
        <f>"9499"</f>
        <v>9499</v>
      </c>
      <c r="I3168" t="s">
        <v>31</v>
      </c>
    </row>
    <row r="3169" spans="1:9" x14ac:dyDescent="0.3">
      <c r="A3169" t="str">
        <f>"22771441"</f>
        <v>22771441</v>
      </c>
      <c r="B3169" t="s">
        <v>6360</v>
      </c>
      <c r="C3169" t="str">
        <f t="shared" si="232"/>
        <v>706</v>
      </c>
      <c r="D3169" t="s">
        <v>28</v>
      </c>
      <c r="E3169" t="s">
        <v>23</v>
      </c>
      <c r="F3169" t="s">
        <v>245</v>
      </c>
      <c r="G3169" t="s">
        <v>6361</v>
      </c>
      <c r="H3169" t="str">
        <f>"94993"</f>
        <v>94993</v>
      </c>
      <c r="I3169" t="s">
        <v>50</v>
      </c>
    </row>
    <row r="3170" spans="1:9" x14ac:dyDescent="0.3">
      <c r="A3170" t="str">
        <f>"06285350"</f>
        <v>06285350</v>
      </c>
      <c r="B3170" t="s">
        <v>6362</v>
      </c>
      <c r="C3170" t="str">
        <f t="shared" si="232"/>
        <v>706</v>
      </c>
      <c r="D3170" t="s">
        <v>28</v>
      </c>
      <c r="E3170" t="s">
        <v>29</v>
      </c>
      <c r="F3170" t="s">
        <v>1266</v>
      </c>
      <c r="G3170" t="s">
        <v>6363</v>
      </c>
      <c r="H3170" t="str">
        <f>"94993"</f>
        <v>94993</v>
      </c>
      <c r="I3170" t="s">
        <v>50</v>
      </c>
    </row>
    <row r="3171" spans="1:9" x14ac:dyDescent="0.3">
      <c r="A3171" t="str">
        <f>"26560909"</f>
        <v>26560909</v>
      </c>
      <c r="B3171" t="s">
        <v>6364</v>
      </c>
      <c r="C3171" t="str">
        <f t="shared" si="232"/>
        <v>706</v>
      </c>
      <c r="D3171" t="s">
        <v>28</v>
      </c>
      <c r="E3171" t="s">
        <v>83</v>
      </c>
      <c r="F3171" t="s">
        <v>1778</v>
      </c>
      <c r="G3171" t="s">
        <v>6365</v>
      </c>
      <c r="H3171" t="str">
        <f>"94995"</f>
        <v>94995</v>
      </c>
      <c r="I3171" t="s">
        <v>232</v>
      </c>
    </row>
    <row r="3172" spans="1:9" x14ac:dyDescent="0.3">
      <c r="A3172" t="str">
        <f>"27003884"</f>
        <v>27003884</v>
      </c>
      <c r="B3172" t="s">
        <v>6366</v>
      </c>
      <c r="C3172" t="str">
        <f t="shared" si="232"/>
        <v>706</v>
      </c>
      <c r="D3172" t="s">
        <v>28</v>
      </c>
      <c r="E3172" t="s">
        <v>29</v>
      </c>
      <c r="F3172" t="s">
        <v>29</v>
      </c>
      <c r="G3172" t="s">
        <v>822</v>
      </c>
      <c r="H3172" t="str">
        <f>"9499"</f>
        <v>9499</v>
      </c>
      <c r="I3172" t="s">
        <v>31</v>
      </c>
    </row>
    <row r="3173" spans="1:9" x14ac:dyDescent="0.3">
      <c r="A3173" t="str">
        <f>"04873921"</f>
        <v>04873921</v>
      </c>
      <c r="B3173" t="s">
        <v>6367</v>
      </c>
      <c r="C3173" t="str">
        <f t="shared" si="232"/>
        <v>706</v>
      </c>
      <c r="D3173" t="s">
        <v>28</v>
      </c>
      <c r="E3173" t="s">
        <v>52</v>
      </c>
      <c r="F3173" t="s">
        <v>52</v>
      </c>
      <c r="G3173" t="s">
        <v>6368</v>
      </c>
      <c r="H3173" t="str">
        <f>"9499"</f>
        <v>9499</v>
      </c>
      <c r="I3173" t="s">
        <v>31</v>
      </c>
    </row>
    <row r="3174" spans="1:9" x14ac:dyDescent="0.3">
      <c r="A3174" t="str">
        <f>"14263564"</f>
        <v>14263564</v>
      </c>
      <c r="B3174" t="s">
        <v>6369</v>
      </c>
      <c r="C3174" t="str">
        <f t="shared" si="232"/>
        <v>706</v>
      </c>
      <c r="D3174" t="s">
        <v>28</v>
      </c>
      <c r="E3174" t="s">
        <v>29</v>
      </c>
      <c r="F3174" t="s">
        <v>653</v>
      </c>
      <c r="G3174" t="s">
        <v>6370</v>
      </c>
      <c r="H3174" t="str">
        <f>"93190"</f>
        <v>93190</v>
      </c>
      <c r="I3174" t="s">
        <v>59</v>
      </c>
    </row>
    <row r="3175" spans="1:9" x14ac:dyDescent="0.3">
      <c r="A3175" t="str">
        <f>"22737367"</f>
        <v>22737367</v>
      </c>
      <c r="B3175" t="s">
        <v>6371</v>
      </c>
      <c r="C3175" t="str">
        <f t="shared" si="232"/>
        <v>706</v>
      </c>
      <c r="D3175" t="s">
        <v>28</v>
      </c>
      <c r="E3175" t="s">
        <v>83</v>
      </c>
      <c r="F3175" t="s">
        <v>175</v>
      </c>
      <c r="G3175" t="s">
        <v>6372</v>
      </c>
      <c r="H3175" t="str">
        <f>"9499"</f>
        <v>9499</v>
      </c>
      <c r="I3175" t="s">
        <v>31</v>
      </c>
    </row>
    <row r="3176" spans="1:9" x14ac:dyDescent="0.3">
      <c r="A3176" t="str">
        <f>"11694050"</f>
        <v>11694050</v>
      </c>
      <c r="B3176" t="s">
        <v>6373</v>
      </c>
      <c r="C3176" t="str">
        <f t="shared" si="232"/>
        <v>706</v>
      </c>
      <c r="D3176" t="s">
        <v>28</v>
      </c>
      <c r="E3176" t="s">
        <v>83</v>
      </c>
      <c r="F3176" t="s">
        <v>4832</v>
      </c>
      <c r="G3176" t="s">
        <v>6374</v>
      </c>
      <c r="H3176" t="str">
        <f>"9499"</f>
        <v>9499</v>
      </c>
      <c r="I3176" t="s">
        <v>31</v>
      </c>
    </row>
    <row r="3177" spans="1:9" x14ac:dyDescent="0.3">
      <c r="A3177" t="str">
        <f>"27003205"</f>
        <v>27003205</v>
      </c>
      <c r="B3177" t="s">
        <v>6375</v>
      </c>
      <c r="C3177" t="str">
        <f t="shared" si="232"/>
        <v>706</v>
      </c>
      <c r="D3177" t="s">
        <v>28</v>
      </c>
      <c r="E3177" t="s">
        <v>23</v>
      </c>
      <c r="F3177" t="s">
        <v>68</v>
      </c>
      <c r="G3177" t="s">
        <v>6376</v>
      </c>
      <c r="H3177" t="str">
        <f>"9499"</f>
        <v>9499</v>
      </c>
      <c r="I3177" t="s">
        <v>31</v>
      </c>
    </row>
    <row r="3178" spans="1:9" x14ac:dyDescent="0.3">
      <c r="A3178" t="str">
        <f>"22882472"</f>
        <v>22882472</v>
      </c>
      <c r="B3178" t="s">
        <v>6377</v>
      </c>
      <c r="C3178" t="str">
        <f t="shared" ref="C3178:C3186" si="233">"736"</f>
        <v>736</v>
      </c>
      <c r="D3178" t="s">
        <v>22</v>
      </c>
      <c r="E3178" t="s">
        <v>83</v>
      </c>
      <c r="F3178" t="s">
        <v>83</v>
      </c>
      <c r="G3178" t="s">
        <v>557</v>
      </c>
      <c r="H3178" t="str">
        <f>"93110"</f>
        <v>93110</v>
      </c>
      <c r="I3178" t="s">
        <v>92</v>
      </c>
    </row>
    <row r="3179" spans="1:9" x14ac:dyDescent="0.3">
      <c r="A3179" t="str">
        <f>"22880283"</f>
        <v>22880283</v>
      </c>
      <c r="B3179" t="s">
        <v>6378</v>
      </c>
      <c r="C3179" t="str">
        <f t="shared" si="233"/>
        <v>736</v>
      </c>
      <c r="D3179" t="s">
        <v>22</v>
      </c>
      <c r="E3179" t="s">
        <v>52</v>
      </c>
      <c r="F3179" t="s">
        <v>52</v>
      </c>
      <c r="G3179" t="s">
        <v>6379</v>
      </c>
      <c r="H3179" t="str">
        <f>"93110"</f>
        <v>93110</v>
      </c>
      <c r="I3179" t="s">
        <v>92</v>
      </c>
    </row>
    <row r="3180" spans="1:9" x14ac:dyDescent="0.3">
      <c r="A3180" t="str">
        <f>"01555260"</f>
        <v>01555260</v>
      </c>
      <c r="B3180" t="s">
        <v>6380</v>
      </c>
      <c r="C3180" t="str">
        <f t="shared" si="233"/>
        <v>736</v>
      </c>
      <c r="D3180" t="s">
        <v>22</v>
      </c>
      <c r="E3180" t="s">
        <v>29</v>
      </c>
      <c r="F3180" t="s">
        <v>29</v>
      </c>
      <c r="G3180" t="s">
        <v>6381</v>
      </c>
      <c r="H3180" t="str">
        <f>"93110"</f>
        <v>93110</v>
      </c>
      <c r="I3180" t="s">
        <v>92</v>
      </c>
    </row>
    <row r="3181" spans="1:9" x14ac:dyDescent="0.3">
      <c r="A3181" t="str">
        <f>"22883070"</f>
        <v>22883070</v>
      </c>
      <c r="B3181" t="s">
        <v>6382</v>
      </c>
      <c r="C3181" t="str">
        <f t="shared" si="233"/>
        <v>736</v>
      </c>
      <c r="D3181" t="s">
        <v>22</v>
      </c>
      <c r="E3181" t="s">
        <v>23</v>
      </c>
      <c r="F3181" t="s">
        <v>23</v>
      </c>
      <c r="G3181" t="s">
        <v>204</v>
      </c>
      <c r="H3181" t="str">
        <f>"93110"</f>
        <v>93110</v>
      </c>
      <c r="I3181" t="s">
        <v>92</v>
      </c>
    </row>
    <row r="3182" spans="1:9" x14ac:dyDescent="0.3">
      <c r="A3182" t="str">
        <f>"00425389"</f>
        <v>00425389</v>
      </c>
      <c r="B3182" t="s">
        <v>6383</v>
      </c>
      <c r="C3182" t="str">
        <f t="shared" si="233"/>
        <v>736</v>
      </c>
      <c r="D3182" t="s">
        <v>22</v>
      </c>
      <c r="E3182" t="s">
        <v>23</v>
      </c>
      <c r="F3182" t="s">
        <v>23</v>
      </c>
      <c r="G3182" t="s">
        <v>6384</v>
      </c>
      <c r="H3182" t="str">
        <f>"9499"</f>
        <v>9499</v>
      </c>
      <c r="I3182" t="s">
        <v>31</v>
      </c>
    </row>
    <row r="3183" spans="1:9" x14ac:dyDescent="0.3">
      <c r="A3183" t="str">
        <f>"47934689"</f>
        <v>47934689</v>
      </c>
      <c r="B3183" t="s">
        <v>6385</v>
      </c>
      <c r="C3183" t="str">
        <f t="shared" si="233"/>
        <v>736</v>
      </c>
      <c r="D3183" t="s">
        <v>22</v>
      </c>
      <c r="E3183" t="s">
        <v>83</v>
      </c>
      <c r="F3183" t="s">
        <v>83</v>
      </c>
      <c r="G3183" t="s">
        <v>557</v>
      </c>
      <c r="H3183" t="str">
        <f>"93110"</f>
        <v>93110</v>
      </c>
      <c r="I3183" t="s">
        <v>92</v>
      </c>
    </row>
    <row r="3184" spans="1:9" x14ac:dyDescent="0.3">
      <c r="A3184" t="str">
        <f>"01705911"</f>
        <v>01705911</v>
      </c>
      <c r="B3184" t="s">
        <v>6386</v>
      </c>
      <c r="C3184" t="str">
        <f t="shared" si="233"/>
        <v>736</v>
      </c>
      <c r="D3184" t="s">
        <v>22</v>
      </c>
      <c r="E3184" t="s">
        <v>52</v>
      </c>
      <c r="F3184" t="s">
        <v>113</v>
      </c>
      <c r="G3184" t="s">
        <v>6387</v>
      </c>
      <c r="H3184" t="str">
        <f>"9311"</f>
        <v>9311</v>
      </c>
      <c r="I3184" t="s">
        <v>92</v>
      </c>
    </row>
    <row r="3185" spans="1:9" x14ac:dyDescent="0.3">
      <c r="A3185" t="str">
        <f>"72557567"</f>
        <v>72557567</v>
      </c>
      <c r="B3185" t="s">
        <v>6388</v>
      </c>
      <c r="C3185" t="str">
        <f t="shared" si="233"/>
        <v>736</v>
      </c>
      <c r="D3185" t="s">
        <v>22</v>
      </c>
      <c r="E3185" t="s">
        <v>29</v>
      </c>
      <c r="F3185" t="s">
        <v>195</v>
      </c>
      <c r="G3185" t="s">
        <v>6389</v>
      </c>
      <c r="H3185" t="str">
        <f>"93110"</f>
        <v>93110</v>
      </c>
      <c r="I3185" t="s">
        <v>92</v>
      </c>
    </row>
    <row r="3186" spans="1:9" x14ac:dyDescent="0.3">
      <c r="A3186" t="str">
        <f>"72072024"</f>
        <v>72072024</v>
      </c>
      <c r="B3186" t="s">
        <v>6390</v>
      </c>
      <c r="C3186" t="str">
        <f t="shared" si="233"/>
        <v>736</v>
      </c>
      <c r="D3186" t="s">
        <v>22</v>
      </c>
      <c r="E3186" t="s">
        <v>23</v>
      </c>
      <c r="F3186" t="s">
        <v>23</v>
      </c>
      <c r="G3186" t="s">
        <v>5850</v>
      </c>
      <c r="H3186" t="str">
        <f>"93110"</f>
        <v>93110</v>
      </c>
      <c r="I3186" t="s">
        <v>92</v>
      </c>
    </row>
    <row r="3187" spans="1:9" x14ac:dyDescent="0.3">
      <c r="A3187" t="str">
        <f>"00435953"</f>
        <v>00435953</v>
      </c>
      <c r="B3187" t="s">
        <v>6391</v>
      </c>
      <c r="C3187" t="str">
        <f>"706"</f>
        <v>706</v>
      </c>
      <c r="D3187" t="s">
        <v>28</v>
      </c>
      <c r="E3187" t="s">
        <v>52</v>
      </c>
      <c r="F3187" t="s">
        <v>52</v>
      </c>
      <c r="G3187" t="s">
        <v>6379</v>
      </c>
      <c r="H3187" t="str">
        <f>"93110"</f>
        <v>93110</v>
      </c>
      <c r="I3187" t="s">
        <v>92</v>
      </c>
    </row>
    <row r="3188" spans="1:9" x14ac:dyDescent="0.3">
      <c r="A3188" t="str">
        <f>"42340128"</f>
        <v>42340128</v>
      </c>
      <c r="B3188" t="s">
        <v>6392</v>
      </c>
      <c r="C3188" t="str">
        <f>"736"</f>
        <v>736</v>
      </c>
      <c r="D3188" t="s">
        <v>22</v>
      </c>
      <c r="E3188" t="s">
        <v>23</v>
      </c>
      <c r="F3188" t="s">
        <v>24</v>
      </c>
      <c r="G3188" t="s">
        <v>6393</v>
      </c>
      <c r="H3188" t="str">
        <f>"931"</f>
        <v>931</v>
      </c>
      <c r="I3188" t="s">
        <v>26</v>
      </c>
    </row>
    <row r="3189" spans="1:9" x14ac:dyDescent="0.3">
      <c r="A3189" t="str">
        <f>"70893004"</f>
        <v>70893004</v>
      </c>
      <c r="B3189" t="s">
        <v>6394</v>
      </c>
      <c r="C3189" t="str">
        <f t="shared" ref="C3189:C3200" si="234">"706"</f>
        <v>706</v>
      </c>
      <c r="D3189" t="s">
        <v>28</v>
      </c>
      <c r="E3189" t="s">
        <v>52</v>
      </c>
      <c r="F3189" t="s">
        <v>234</v>
      </c>
      <c r="G3189" t="s">
        <v>6395</v>
      </c>
      <c r="H3189" t="str">
        <f>"9499"</f>
        <v>9499</v>
      </c>
      <c r="I3189" t="s">
        <v>31</v>
      </c>
    </row>
    <row r="3190" spans="1:9" x14ac:dyDescent="0.3">
      <c r="A3190" t="str">
        <f>"21615811"</f>
        <v>21615811</v>
      </c>
      <c r="B3190" t="s">
        <v>6396</v>
      </c>
      <c r="C3190" t="str">
        <f t="shared" si="234"/>
        <v>706</v>
      </c>
      <c r="D3190" t="s">
        <v>28</v>
      </c>
      <c r="E3190" t="s">
        <v>29</v>
      </c>
      <c r="F3190" t="s">
        <v>250</v>
      </c>
      <c r="G3190" t="s">
        <v>6397</v>
      </c>
      <c r="H3190" t="str">
        <f>"93190"</f>
        <v>93190</v>
      </c>
      <c r="I3190" t="s">
        <v>59</v>
      </c>
    </row>
    <row r="3191" spans="1:9" x14ac:dyDescent="0.3">
      <c r="A3191" t="str">
        <f>"01506986"</f>
        <v>01506986</v>
      </c>
      <c r="B3191" t="s">
        <v>6398</v>
      </c>
      <c r="C3191" t="str">
        <f t="shared" si="234"/>
        <v>706</v>
      </c>
      <c r="D3191" t="s">
        <v>28</v>
      </c>
      <c r="E3191" t="s">
        <v>52</v>
      </c>
      <c r="F3191" t="s">
        <v>113</v>
      </c>
      <c r="G3191" t="s">
        <v>491</v>
      </c>
      <c r="H3191" t="str">
        <f t="shared" ref="H3191:H3198" si="235">"9499"</f>
        <v>9499</v>
      </c>
      <c r="I3191" t="s">
        <v>31</v>
      </c>
    </row>
    <row r="3192" spans="1:9" x14ac:dyDescent="0.3">
      <c r="A3192" t="str">
        <f>"26607891"</f>
        <v>26607891</v>
      </c>
      <c r="B3192" t="s">
        <v>6399</v>
      </c>
      <c r="C3192" t="str">
        <f t="shared" si="234"/>
        <v>706</v>
      </c>
      <c r="D3192" t="s">
        <v>28</v>
      </c>
      <c r="E3192" t="s">
        <v>52</v>
      </c>
      <c r="F3192" t="s">
        <v>113</v>
      </c>
      <c r="G3192" t="s">
        <v>570</v>
      </c>
      <c r="H3192" t="str">
        <f t="shared" si="235"/>
        <v>9499</v>
      </c>
      <c r="I3192" t="s">
        <v>31</v>
      </c>
    </row>
    <row r="3193" spans="1:9" x14ac:dyDescent="0.3">
      <c r="A3193" t="str">
        <f>"09053531"</f>
        <v>09053531</v>
      </c>
      <c r="B3193" t="s">
        <v>6400</v>
      </c>
      <c r="C3193" t="str">
        <f t="shared" si="234"/>
        <v>706</v>
      </c>
      <c r="D3193" t="s">
        <v>28</v>
      </c>
      <c r="E3193" t="s">
        <v>52</v>
      </c>
      <c r="F3193" t="s">
        <v>1973</v>
      </c>
      <c r="G3193" t="s">
        <v>1974</v>
      </c>
      <c r="H3193" t="str">
        <f t="shared" si="235"/>
        <v>9499</v>
      </c>
      <c r="I3193" t="s">
        <v>31</v>
      </c>
    </row>
    <row r="3194" spans="1:9" x14ac:dyDescent="0.3">
      <c r="A3194" t="str">
        <f>"71155554"</f>
        <v>71155554</v>
      </c>
      <c r="B3194" t="s">
        <v>6401</v>
      </c>
      <c r="C3194" t="str">
        <f t="shared" si="234"/>
        <v>706</v>
      </c>
      <c r="D3194" t="s">
        <v>28</v>
      </c>
      <c r="E3194" t="s">
        <v>52</v>
      </c>
      <c r="F3194" t="s">
        <v>113</v>
      </c>
      <c r="G3194" t="s">
        <v>570</v>
      </c>
      <c r="H3194" t="str">
        <f t="shared" si="235"/>
        <v>9499</v>
      </c>
      <c r="I3194" t="s">
        <v>31</v>
      </c>
    </row>
    <row r="3195" spans="1:9" x14ac:dyDescent="0.3">
      <c r="A3195" t="str">
        <f>"26627698"</f>
        <v>26627698</v>
      </c>
      <c r="B3195" t="s">
        <v>6402</v>
      </c>
      <c r="C3195" t="str">
        <f t="shared" si="234"/>
        <v>706</v>
      </c>
      <c r="D3195" t="s">
        <v>28</v>
      </c>
      <c r="E3195" t="s">
        <v>83</v>
      </c>
      <c r="F3195" t="s">
        <v>183</v>
      </c>
      <c r="G3195" t="s">
        <v>6403</v>
      </c>
      <c r="H3195" t="str">
        <f t="shared" si="235"/>
        <v>9499</v>
      </c>
      <c r="I3195" t="s">
        <v>31</v>
      </c>
    </row>
    <row r="3196" spans="1:9" x14ac:dyDescent="0.3">
      <c r="A3196" t="str">
        <f>"05134803"</f>
        <v>05134803</v>
      </c>
      <c r="B3196" t="s">
        <v>6404</v>
      </c>
      <c r="C3196" t="str">
        <f t="shared" si="234"/>
        <v>706</v>
      </c>
      <c r="D3196" t="s">
        <v>28</v>
      </c>
      <c r="E3196" t="s">
        <v>29</v>
      </c>
      <c r="F3196" t="s">
        <v>778</v>
      </c>
      <c r="G3196" t="s">
        <v>6405</v>
      </c>
      <c r="H3196" t="str">
        <f t="shared" si="235"/>
        <v>9499</v>
      </c>
      <c r="I3196" t="s">
        <v>31</v>
      </c>
    </row>
    <row r="3197" spans="1:9" x14ac:dyDescent="0.3">
      <c r="A3197" t="str">
        <f>"18013449"</f>
        <v>18013449</v>
      </c>
      <c r="B3197" t="s">
        <v>6406</v>
      </c>
      <c r="C3197" t="str">
        <f t="shared" si="234"/>
        <v>706</v>
      </c>
      <c r="D3197" t="s">
        <v>28</v>
      </c>
      <c r="E3197" t="s">
        <v>83</v>
      </c>
      <c r="F3197" t="s">
        <v>1635</v>
      </c>
      <c r="G3197" t="s">
        <v>6407</v>
      </c>
      <c r="H3197" t="str">
        <f t="shared" si="235"/>
        <v>9499</v>
      </c>
      <c r="I3197" t="s">
        <v>31</v>
      </c>
    </row>
    <row r="3198" spans="1:9" x14ac:dyDescent="0.3">
      <c r="A3198" t="str">
        <f>"06467881"</f>
        <v>06467881</v>
      </c>
      <c r="B3198" t="s">
        <v>6408</v>
      </c>
      <c r="C3198" t="str">
        <f t="shared" si="234"/>
        <v>706</v>
      </c>
      <c r="D3198" t="s">
        <v>28</v>
      </c>
      <c r="E3198" t="s">
        <v>52</v>
      </c>
      <c r="F3198" t="s">
        <v>4762</v>
      </c>
      <c r="G3198" t="s">
        <v>6409</v>
      </c>
      <c r="H3198" t="str">
        <f t="shared" si="235"/>
        <v>9499</v>
      </c>
      <c r="I3198" t="s">
        <v>31</v>
      </c>
    </row>
    <row r="3199" spans="1:9" x14ac:dyDescent="0.3">
      <c r="A3199" t="str">
        <f>"11851376"</f>
        <v>11851376</v>
      </c>
      <c r="B3199" t="s">
        <v>6410</v>
      </c>
      <c r="C3199" t="str">
        <f t="shared" si="234"/>
        <v>706</v>
      </c>
      <c r="D3199" t="s">
        <v>28</v>
      </c>
      <c r="E3199" t="s">
        <v>23</v>
      </c>
      <c r="F3199" t="s">
        <v>23</v>
      </c>
      <c r="G3199" t="s">
        <v>6411</v>
      </c>
      <c r="H3199" t="str">
        <f>"94996"</f>
        <v>94996</v>
      </c>
      <c r="I3199" t="s">
        <v>47</v>
      </c>
    </row>
    <row r="3200" spans="1:9" x14ac:dyDescent="0.3">
      <c r="A3200" t="str">
        <f>"22836519"</f>
        <v>22836519</v>
      </c>
      <c r="B3200" t="s">
        <v>6412</v>
      </c>
      <c r="C3200" t="str">
        <f t="shared" si="234"/>
        <v>706</v>
      </c>
      <c r="D3200" t="s">
        <v>28</v>
      </c>
      <c r="E3200" t="s">
        <v>83</v>
      </c>
      <c r="F3200" t="s">
        <v>83</v>
      </c>
      <c r="G3200" t="s">
        <v>6413</v>
      </c>
      <c r="H3200" t="str">
        <f>"94995"</f>
        <v>94995</v>
      </c>
      <c r="I3200" t="s">
        <v>232</v>
      </c>
    </row>
    <row r="3201" spans="1:11" x14ac:dyDescent="0.3">
      <c r="A3201" t="str">
        <f>"27741354"</f>
        <v>27741354</v>
      </c>
      <c r="B3201" t="s">
        <v>6414</v>
      </c>
      <c r="C3201" t="str">
        <f>"141"</f>
        <v>141</v>
      </c>
      <c r="D3201" t="s">
        <v>112</v>
      </c>
      <c r="E3201" t="s">
        <v>83</v>
      </c>
      <c r="F3201" t="s">
        <v>227</v>
      </c>
      <c r="G3201" t="s">
        <v>6415</v>
      </c>
      <c r="H3201" t="str">
        <f>"855"</f>
        <v>855</v>
      </c>
      <c r="I3201" t="s">
        <v>146</v>
      </c>
      <c r="J3201" t="s">
        <v>1059</v>
      </c>
      <c r="K3201" t="s">
        <v>500</v>
      </c>
    </row>
    <row r="3202" spans="1:11" x14ac:dyDescent="0.3">
      <c r="A3202" t="str">
        <f>"02492415"</f>
        <v>02492415</v>
      </c>
      <c r="B3202" t="s">
        <v>6416</v>
      </c>
      <c r="C3202" t="str">
        <f t="shared" ref="C3202:C3210" si="236">"706"</f>
        <v>706</v>
      </c>
      <c r="D3202" t="s">
        <v>28</v>
      </c>
      <c r="E3202" t="s">
        <v>23</v>
      </c>
      <c r="F3202" t="s">
        <v>23</v>
      </c>
      <c r="G3202" t="s">
        <v>6417</v>
      </c>
      <c r="H3202" t="str">
        <f>"9499"</f>
        <v>9499</v>
      </c>
      <c r="I3202" t="s">
        <v>31</v>
      </c>
    </row>
    <row r="3203" spans="1:11" x14ac:dyDescent="0.3">
      <c r="A3203" t="str">
        <f>"08677913"</f>
        <v>08677913</v>
      </c>
      <c r="B3203" t="s">
        <v>6418</v>
      </c>
      <c r="C3203" t="str">
        <f t="shared" si="236"/>
        <v>706</v>
      </c>
      <c r="D3203" t="s">
        <v>28</v>
      </c>
      <c r="E3203" t="s">
        <v>23</v>
      </c>
      <c r="F3203" t="s">
        <v>68</v>
      </c>
      <c r="G3203" t="s">
        <v>6419</v>
      </c>
      <c r="H3203" t="str">
        <f>"9499"</f>
        <v>9499</v>
      </c>
      <c r="I3203" t="s">
        <v>31</v>
      </c>
    </row>
    <row r="3204" spans="1:11" x14ac:dyDescent="0.3">
      <c r="A3204" t="str">
        <f>"22721754"</f>
        <v>22721754</v>
      </c>
      <c r="B3204" t="s">
        <v>6420</v>
      </c>
      <c r="C3204" t="str">
        <f t="shared" si="236"/>
        <v>706</v>
      </c>
      <c r="D3204" t="s">
        <v>28</v>
      </c>
      <c r="E3204" t="s">
        <v>23</v>
      </c>
      <c r="F3204" t="s">
        <v>245</v>
      </c>
      <c r="G3204" t="s">
        <v>6122</v>
      </c>
      <c r="H3204" t="str">
        <f>"9499"</f>
        <v>9499</v>
      </c>
      <c r="I3204" t="s">
        <v>31</v>
      </c>
    </row>
    <row r="3205" spans="1:11" x14ac:dyDescent="0.3">
      <c r="A3205" t="str">
        <f>"22609946"</f>
        <v>22609946</v>
      </c>
      <c r="B3205" t="s">
        <v>6421</v>
      </c>
      <c r="C3205" t="str">
        <f t="shared" si="236"/>
        <v>706</v>
      </c>
      <c r="D3205" t="s">
        <v>28</v>
      </c>
      <c r="E3205" t="s">
        <v>23</v>
      </c>
      <c r="F3205" t="s">
        <v>3332</v>
      </c>
      <c r="G3205" t="s">
        <v>6422</v>
      </c>
      <c r="H3205" t="str">
        <f>"9499"</f>
        <v>9499</v>
      </c>
      <c r="I3205" t="s">
        <v>31</v>
      </c>
    </row>
    <row r="3206" spans="1:11" x14ac:dyDescent="0.3">
      <c r="A3206" t="str">
        <f>"07911289"</f>
        <v>07911289</v>
      </c>
      <c r="B3206" t="s">
        <v>6423</v>
      </c>
      <c r="C3206" t="str">
        <f t="shared" si="236"/>
        <v>706</v>
      </c>
      <c r="D3206" t="s">
        <v>28</v>
      </c>
      <c r="E3206" t="s">
        <v>23</v>
      </c>
      <c r="F3206" t="s">
        <v>23</v>
      </c>
      <c r="G3206" t="s">
        <v>6424</v>
      </c>
      <c r="H3206" t="str">
        <f>"94999"</f>
        <v>94999</v>
      </c>
      <c r="I3206" t="s">
        <v>202</v>
      </c>
    </row>
    <row r="3207" spans="1:11" x14ac:dyDescent="0.3">
      <c r="A3207" t="str">
        <f>"02020718"</f>
        <v>02020718</v>
      </c>
      <c r="B3207" t="s">
        <v>6425</v>
      </c>
      <c r="C3207" t="str">
        <f t="shared" si="236"/>
        <v>706</v>
      </c>
      <c r="D3207" t="s">
        <v>28</v>
      </c>
      <c r="E3207" t="s">
        <v>52</v>
      </c>
      <c r="F3207" t="s">
        <v>52</v>
      </c>
      <c r="G3207" t="s">
        <v>2573</v>
      </c>
      <c r="H3207" t="str">
        <f>"9499"</f>
        <v>9499</v>
      </c>
      <c r="I3207" t="s">
        <v>31</v>
      </c>
    </row>
    <row r="3208" spans="1:11" x14ac:dyDescent="0.3">
      <c r="A3208" t="str">
        <f>"48773611"</f>
        <v>48773611</v>
      </c>
      <c r="B3208" t="s">
        <v>6426</v>
      </c>
      <c r="C3208" t="str">
        <f t="shared" si="236"/>
        <v>706</v>
      </c>
      <c r="D3208" t="s">
        <v>28</v>
      </c>
      <c r="E3208" t="s">
        <v>29</v>
      </c>
      <c r="F3208" t="s">
        <v>29</v>
      </c>
      <c r="G3208" t="s">
        <v>2798</v>
      </c>
      <c r="H3208" t="str">
        <f>"9499"</f>
        <v>9499</v>
      </c>
      <c r="I3208" t="s">
        <v>31</v>
      </c>
    </row>
    <row r="3209" spans="1:11" x14ac:dyDescent="0.3">
      <c r="A3209" t="str">
        <f>"70286337"</f>
        <v>70286337</v>
      </c>
      <c r="B3209" t="s">
        <v>6427</v>
      </c>
      <c r="C3209" t="str">
        <f t="shared" si="236"/>
        <v>706</v>
      </c>
      <c r="D3209" t="s">
        <v>28</v>
      </c>
      <c r="E3209" t="s">
        <v>23</v>
      </c>
      <c r="F3209" t="s">
        <v>23</v>
      </c>
      <c r="G3209" t="s">
        <v>6428</v>
      </c>
      <c r="H3209" t="str">
        <f>"9499"</f>
        <v>9499</v>
      </c>
      <c r="I3209" t="s">
        <v>31</v>
      </c>
    </row>
    <row r="3210" spans="1:11" x14ac:dyDescent="0.3">
      <c r="A3210" t="str">
        <f>"26643766"</f>
        <v>26643766</v>
      </c>
      <c r="B3210" t="s">
        <v>6429</v>
      </c>
      <c r="C3210" t="str">
        <f t="shared" si="236"/>
        <v>706</v>
      </c>
      <c r="D3210" t="s">
        <v>28</v>
      </c>
      <c r="E3210" t="s">
        <v>52</v>
      </c>
      <c r="F3210" t="s">
        <v>631</v>
      </c>
      <c r="G3210" t="s">
        <v>6430</v>
      </c>
      <c r="H3210" t="str">
        <f>"94995"</f>
        <v>94995</v>
      </c>
      <c r="I3210" t="s">
        <v>232</v>
      </c>
    </row>
    <row r="3211" spans="1:11" x14ac:dyDescent="0.3">
      <c r="A3211" t="str">
        <f>"06120041"</f>
        <v>06120041</v>
      </c>
      <c r="B3211" t="s">
        <v>6431</v>
      </c>
      <c r="C3211" t="str">
        <f t="shared" ref="C3211:C3246" si="237">"736"</f>
        <v>736</v>
      </c>
      <c r="D3211" t="s">
        <v>22</v>
      </c>
      <c r="E3211" t="s">
        <v>23</v>
      </c>
      <c r="F3211" t="s">
        <v>3449</v>
      </c>
      <c r="G3211" t="s">
        <v>6432</v>
      </c>
      <c r="H3211" t="str">
        <f>"9319"</f>
        <v>9319</v>
      </c>
      <c r="I3211" t="s">
        <v>59</v>
      </c>
      <c r="J3211" t="s">
        <v>31</v>
      </c>
    </row>
    <row r="3212" spans="1:11" x14ac:dyDescent="0.3">
      <c r="A3212" t="str">
        <f>"65274423"</f>
        <v>65274423</v>
      </c>
      <c r="B3212" t="s">
        <v>6433</v>
      </c>
      <c r="C3212" t="str">
        <f t="shared" si="237"/>
        <v>736</v>
      </c>
      <c r="D3212" t="s">
        <v>22</v>
      </c>
      <c r="E3212" t="s">
        <v>83</v>
      </c>
      <c r="F3212" t="s">
        <v>175</v>
      </c>
      <c r="G3212" t="s">
        <v>6434</v>
      </c>
      <c r="H3212" t="str">
        <f>"93110"</f>
        <v>93110</v>
      </c>
      <c r="I3212" t="s">
        <v>92</v>
      </c>
    </row>
    <row r="3213" spans="1:11" x14ac:dyDescent="0.3">
      <c r="A3213" t="str">
        <f>"86771116"</f>
        <v>86771116</v>
      </c>
      <c r="B3213" t="s">
        <v>6435</v>
      </c>
      <c r="C3213" t="str">
        <f t="shared" si="237"/>
        <v>736</v>
      </c>
      <c r="D3213" t="s">
        <v>22</v>
      </c>
      <c r="E3213" t="s">
        <v>23</v>
      </c>
      <c r="F3213" t="s">
        <v>5336</v>
      </c>
      <c r="G3213" t="s">
        <v>6436</v>
      </c>
      <c r="H3213" t="str">
        <f>"931"</f>
        <v>931</v>
      </c>
      <c r="I3213" t="s">
        <v>26</v>
      </c>
    </row>
    <row r="3214" spans="1:11" x14ac:dyDescent="0.3">
      <c r="A3214" t="str">
        <f>"65888235"</f>
        <v>65888235</v>
      </c>
      <c r="B3214" t="s">
        <v>6437</v>
      </c>
      <c r="C3214" t="str">
        <f t="shared" si="237"/>
        <v>736</v>
      </c>
      <c r="D3214" t="s">
        <v>22</v>
      </c>
      <c r="E3214" t="s">
        <v>29</v>
      </c>
      <c r="F3214" t="s">
        <v>685</v>
      </c>
      <c r="G3214" t="s">
        <v>6438</v>
      </c>
      <c r="H3214" t="str">
        <f>"93110"</f>
        <v>93110</v>
      </c>
      <c r="I3214" t="s">
        <v>92</v>
      </c>
    </row>
    <row r="3215" spans="1:11" x14ac:dyDescent="0.3">
      <c r="A3215" t="str">
        <f>"70936455"</f>
        <v>70936455</v>
      </c>
      <c r="B3215" t="s">
        <v>6439</v>
      </c>
      <c r="C3215" t="str">
        <f t="shared" si="237"/>
        <v>736</v>
      </c>
      <c r="D3215" t="s">
        <v>22</v>
      </c>
      <c r="E3215" t="s">
        <v>83</v>
      </c>
      <c r="F3215" t="s">
        <v>183</v>
      </c>
      <c r="G3215" t="s">
        <v>6440</v>
      </c>
      <c r="H3215" t="str">
        <f>"931"</f>
        <v>931</v>
      </c>
      <c r="I3215" t="s">
        <v>26</v>
      </c>
    </row>
    <row r="3216" spans="1:11" x14ac:dyDescent="0.3">
      <c r="A3216" t="str">
        <f>"65891104"</f>
        <v>65891104</v>
      </c>
      <c r="B3216" t="s">
        <v>6441</v>
      </c>
      <c r="C3216" t="str">
        <f t="shared" si="237"/>
        <v>736</v>
      </c>
      <c r="D3216" t="s">
        <v>22</v>
      </c>
      <c r="E3216" t="s">
        <v>29</v>
      </c>
      <c r="F3216" t="s">
        <v>1810</v>
      </c>
      <c r="G3216" t="s">
        <v>6442</v>
      </c>
      <c r="H3216" t="str">
        <f>"93110"</f>
        <v>93110</v>
      </c>
      <c r="I3216" t="s">
        <v>92</v>
      </c>
    </row>
    <row r="3217" spans="1:10" x14ac:dyDescent="0.3">
      <c r="A3217" t="str">
        <f>"06920837"</f>
        <v>06920837</v>
      </c>
      <c r="B3217" t="s">
        <v>6443</v>
      </c>
      <c r="C3217" t="str">
        <f t="shared" si="237"/>
        <v>736</v>
      </c>
      <c r="D3217" t="s">
        <v>22</v>
      </c>
      <c r="E3217" t="s">
        <v>83</v>
      </c>
      <c r="F3217" t="s">
        <v>83</v>
      </c>
      <c r="G3217" t="s">
        <v>6444</v>
      </c>
      <c r="H3217" t="str">
        <f>"94993"</f>
        <v>94993</v>
      </c>
      <c r="I3217" t="s">
        <v>50</v>
      </c>
    </row>
    <row r="3218" spans="1:10" x14ac:dyDescent="0.3">
      <c r="A3218" t="str">
        <f>"71244514"</f>
        <v>71244514</v>
      </c>
      <c r="B3218" t="s">
        <v>6445</v>
      </c>
      <c r="C3218" t="str">
        <f t="shared" si="237"/>
        <v>736</v>
      </c>
      <c r="D3218" t="s">
        <v>22</v>
      </c>
      <c r="E3218" t="s">
        <v>83</v>
      </c>
      <c r="F3218" t="s">
        <v>537</v>
      </c>
      <c r="G3218" t="s">
        <v>6446</v>
      </c>
      <c r="H3218" t="str">
        <f>"931"</f>
        <v>931</v>
      </c>
      <c r="I3218" t="s">
        <v>26</v>
      </c>
    </row>
    <row r="3219" spans="1:10" x14ac:dyDescent="0.3">
      <c r="A3219" t="str">
        <f>"75150751"</f>
        <v>75150751</v>
      </c>
      <c r="B3219" t="s">
        <v>6447</v>
      </c>
      <c r="C3219" t="str">
        <f t="shared" si="237"/>
        <v>736</v>
      </c>
      <c r="D3219" t="s">
        <v>22</v>
      </c>
      <c r="E3219" t="s">
        <v>23</v>
      </c>
      <c r="F3219" t="s">
        <v>4156</v>
      </c>
      <c r="G3219" t="s">
        <v>6448</v>
      </c>
      <c r="H3219" t="str">
        <f>"93110"</f>
        <v>93110</v>
      </c>
      <c r="I3219" t="s">
        <v>92</v>
      </c>
    </row>
    <row r="3220" spans="1:10" x14ac:dyDescent="0.3">
      <c r="A3220" t="str">
        <f>"75081661"</f>
        <v>75081661</v>
      </c>
      <c r="B3220" t="s">
        <v>6449</v>
      </c>
      <c r="C3220" t="str">
        <f t="shared" si="237"/>
        <v>736</v>
      </c>
      <c r="D3220" t="s">
        <v>22</v>
      </c>
      <c r="E3220" t="s">
        <v>29</v>
      </c>
      <c r="F3220" t="s">
        <v>271</v>
      </c>
      <c r="G3220" t="s">
        <v>6450</v>
      </c>
      <c r="H3220" t="str">
        <f>"93110"</f>
        <v>93110</v>
      </c>
      <c r="I3220" t="s">
        <v>92</v>
      </c>
    </row>
    <row r="3221" spans="1:10" x14ac:dyDescent="0.3">
      <c r="A3221" t="str">
        <f>"64422593"</f>
        <v>64422593</v>
      </c>
      <c r="B3221" t="s">
        <v>6451</v>
      </c>
      <c r="C3221" t="str">
        <f t="shared" si="237"/>
        <v>736</v>
      </c>
      <c r="D3221" t="s">
        <v>22</v>
      </c>
      <c r="E3221" t="s">
        <v>83</v>
      </c>
      <c r="F3221" t="s">
        <v>1425</v>
      </c>
      <c r="G3221" t="s">
        <v>6452</v>
      </c>
      <c r="H3221" t="str">
        <f>"93110"</f>
        <v>93110</v>
      </c>
      <c r="I3221" t="s">
        <v>92</v>
      </c>
    </row>
    <row r="3222" spans="1:10" x14ac:dyDescent="0.3">
      <c r="A3222" t="str">
        <f>"72072857"</f>
        <v>72072857</v>
      </c>
      <c r="B3222" t="s">
        <v>6453</v>
      </c>
      <c r="C3222" t="str">
        <f t="shared" si="237"/>
        <v>736</v>
      </c>
      <c r="D3222" t="s">
        <v>22</v>
      </c>
      <c r="E3222" t="s">
        <v>52</v>
      </c>
      <c r="F3222" t="s">
        <v>1829</v>
      </c>
      <c r="G3222" t="s">
        <v>6454</v>
      </c>
      <c r="H3222" t="str">
        <f>"93190"</f>
        <v>93190</v>
      </c>
      <c r="I3222" t="s">
        <v>59</v>
      </c>
    </row>
    <row r="3223" spans="1:10" x14ac:dyDescent="0.3">
      <c r="A3223" t="str">
        <f>"65270240"</f>
        <v>65270240</v>
      </c>
      <c r="B3223" t="s">
        <v>6455</v>
      </c>
      <c r="C3223" t="str">
        <f t="shared" si="237"/>
        <v>736</v>
      </c>
      <c r="D3223" t="s">
        <v>22</v>
      </c>
      <c r="E3223" t="s">
        <v>83</v>
      </c>
      <c r="F3223" t="s">
        <v>83</v>
      </c>
      <c r="G3223" t="s">
        <v>346</v>
      </c>
      <c r="H3223" t="str">
        <f>"93110"</f>
        <v>93110</v>
      </c>
      <c r="I3223" t="s">
        <v>92</v>
      </c>
    </row>
    <row r="3224" spans="1:10" x14ac:dyDescent="0.3">
      <c r="A3224" t="str">
        <f>"67027270"</f>
        <v>67027270</v>
      </c>
      <c r="B3224" t="s">
        <v>6456</v>
      </c>
      <c r="C3224" t="str">
        <f t="shared" si="237"/>
        <v>736</v>
      </c>
      <c r="D3224" t="s">
        <v>22</v>
      </c>
      <c r="E3224" t="s">
        <v>52</v>
      </c>
      <c r="F3224" t="s">
        <v>234</v>
      </c>
      <c r="G3224" t="s">
        <v>6457</v>
      </c>
      <c r="H3224" t="str">
        <f>"9499"</f>
        <v>9499</v>
      </c>
      <c r="I3224" t="s">
        <v>31</v>
      </c>
    </row>
    <row r="3225" spans="1:10" x14ac:dyDescent="0.3">
      <c r="A3225" t="str">
        <f>"75156091"</f>
        <v>75156091</v>
      </c>
      <c r="B3225" t="s">
        <v>6458</v>
      </c>
      <c r="C3225" t="str">
        <f t="shared" si="237"/>
        <v>736</v>
      </c>
      <c r="D3225" t="s">
        <v>22</v>
      </c>
      <c r="E3225" t="s">
        <v>29</v>
      </c>
      <c r="F3225" t="s">
        <v>234</v>
      </c>
      <c r="G3225" t="s">
        <v>6459</v>
      </c>
      <c r="H3225" t="str">
        <f>"93190"</f>
        <v>93190</v>
      </c>
      <c r="I3225" t="s">
        <v>59</v>
      </c>
    </row>
    <row r="3226" spans="1:10" x14ac:dyDescent="0.3">
      <c r="A3226" t="str">
        <f>"05965276"</f>
        <v>05965276</v>
      </c>
      <c r="B3226" t="s">
        <v>6460</v>
      </c>
      <c r="C3226" t="str">
        <f t="shared" si="237"/>
        <v>736</v>
      </c>
      <c r="D3226" t="s">
        <v>22</v>
      </c>
      <c r="E3226" t="s">
        <v>83</v>
      </c>
      <c r="F3226" t="s">
        <v>130</v>
      </c>
      <c r="G3226" t="s">
        <v>2228</v>
      </c>
      <c r="H3226" t="str">
        <f>"9499"</f>
        <v>9499</v>
      </c>
      <c r="I3226" t="s">
        <v>31</v>
      </c>
    </row>
    <row r="3227" spans="1:10" x14ac:dyDescent="0.3">
      <c r="A3227" t="str">
        <f>"65326431"</f>
        <v>65326431</v>
      </c>
      <c r="B3227" t="s">
        <v>6461</v>
      </c>
      <c r="C3227" t="str">
        <f t="shared" si="237"/>
        <v>736</v>
      </c>
      <c r="D3227" t="s">
        <v>22</v>
      </c>
      <c r="E3227" t="s">
        <v>52</v>
      </c>
      <c r="F3227" t="s">
        <v>514</v>
      </c>
      <c r="G3227" t="s">
        <v>6462</v>
      </c>
      <c r="H3227" t="str">
        <f>"93110"</f>
        <v>93110</v>
      </c>
      <c r="I3227" t="s">
        <v>92</v>
      </c>
    </row>
    <row r="3228" spans="1:10" x14ac:dyDescent="0.3">
      <c r="A3228" t="str">
        <f>"65891392"</f>
        <v>65891392</v>
      </c>
      <c r="B3228" t="s">
        <v>6463</v>
      </c>
      <c r="C3228" t="str">
        <f t="shared" si="237"/>
        <v>736</v>
      </c>
      <c r="D3228" t="s">
        <v>22</v>
      </c>
      <c r="E3228" t="s">
        <v>29</v>
      </c>
      <c r="F3228" t="s">
        <v>117</v>
      </c>
      <c r="G3228" t="s">
        <v>4054</v>
      </c>
      <c r="H3228" t="str">
        <f>"9499"</f>
        <v>9499</v>
      </c>
      <c r="I3228" t="s">
        <v>31</v>
      </c>
    </row>
    <row r="3229" spans="1:10" x14ac:dyDescent="0.3">
      <c r="A3229" t="str">
        <f>"62832123"</f>
        <v>62832123</v>
      </c>
      <c r="B3229" t="s">
        <v>6464</v>
      </c>
      <c r="C3229" t="str">
        <f t="shared" si="237"/>
        <v>736</v>
      </c>
      <c r="D3229" t="s">
        <v>22</v>
      </c>
      <c r="E3229" t="s">
        <v>52</v>
      </c>
      <c r="F3229" t="s">
        <v>334</v>
      </c>
      <c r="G3229" t="s">
        <v>6465</v>
      </c>
      <c r="H3229" t="str">
        <f>"93110"</f>
        <v>93110</v>
      </c>
      <c r="I3229" t="s">
        <v>92</v>
      </c>
      <c r="J3229" t="s">
        <v>161</v>
      </c>
    </row>
    <row r="3230" spans="1:10" x14ac:dyDescent="0.3">
      <c r="A3230" t="str">
        <f>"62832484"</f>
        <v>62832484</v>
      </c>
      <c r="B3230" t="s">
        <v>6466</v>
      </c>
      <c r="C3230" t="str">
        <f t="shared" si="237"/>
        <v>736</v>
      </c>
      <c r="D3230" t="s">
        <v>22</v>
      </c>
      <c r="E3230" t="s">
        <v>52</v>
      </c>
      <c r="F3230" t="s">
        <v>1765</v>
      </c>
      <c r="G3230" t="s">
        <v>6467</v>
      </c>
      <c r="H3230" t="str">
        <f>"93110"</f>
        <v>93110</v>
      </c>
      <c r="I3230" t="s">
        <v>92</v>
      </c>
    </row>
    <row r="3231" spans="1:10" x14ac:dyDescent="0.3">
      <c r="A3231" t="str">
        <f>"75020262"</f>
        <v>75020262</v>
      </c>
      <c r="B3231" t="s">
        <v>6468</v>
      </c>
      <c r="C3231" t="str">
        <f t="shared" si="237"/>
        <v>736</v>
      </c>
      <c r="D3231" t="s">
        <v>22</v>
      </c>
      <c r="E3231" t="s">
        <v>52</v>
      </c>
      <c r="F3231" t="s">
        <v>1679</v>
      </c>
      <c r="G3231" t="s">
        <v>6469</v>
      </c>
      <c r="H3231" t="str">
        <f>"9499"</f>
        <v>9499</v>
      </c>
      <c r="I3231" t="s">
        <v>31</v>
      </c>
    </row>
    <row r="3232" spans="1:10" x14ac:dyDescent="0.3">
      <c r="A3232" t="str">
        <f>"62182170"</f>
        <v>62182170</v>
      </c>
      <c r="B3232" t="s">
        <v>6470</v>
      </c>
      <c r="C3232" t="str">
        <f t="shared" si="237"/>
        <v>736</v>
      </c>
      <c r="D3232" t="s">
        <v>22</v>
      </c>
      <c r="E3232" t="s">
        <v>23</v>
      </c>
      <c r="F3232" t="s">
        <v>350</v>
      </c>
      <c r="G3232" t="s">
        <v>6471</v>
      </c>
      <c r="H3232" t="str">
        <f>"93110"</f>
        <v>93110</v>
      </c>
      <c r="I3232" t="s">
        <v>92</v>
      </c>
    </row>
    <row r="3233" spans="1:9" x14ac:dyDescent="0.3">
      <c r="A3233" t="str">
        <f>"62832646"</f>
        <v>62832646</v>
      </c>
      <c r="B3233" t="s">
        <v>6472</v>
      </c>
      <c r="C3233" t="str">
        <f t="shared" si="237"/>
        <v>736</v>
      </c>
      <c r="D3233" t="s">
        <v>22</v>
      </c>
      <c r="E3233" t="s">
        <v>52</v>
      </c>
      <c r="F3233" t="s">
        <v>379</v>
      </c>
      <c r="G3233" t="s">
        <v>6473</v>
      </c>
      <c r="H3233" t="str">
        <f>"93110"</f>
        <v>93110</v>
      </c>
      <c r="I3233" t="s">
        <v>92</v>
      </c>
    </row>
    <row r="3234" spans="1:9" x14ac:dyDescent="0.3">
      <c r="A3234" t="str">
        <f>"72048034"</f>
        <v>72048034</v>
      </c>
      <c r="B3234" t="s">
        <v>6474</v>
      </c>
      <c r="C3234" t="str">
        <f t="shared" si="237"/>
        <v>736</v>
      </c>
      <c r="D3234" t="s">
        <v>22</v>
      </c>
      <c r="E3234" t="s">
        <v>52</v>
      </c>
      <c r="F3234" t="s">
        <v>1902</v>
      </c>
      <c r="G3234" t="s">
        <v>2412</v>
      </c>
      <c r="H3234" t="str">
        <f>"93190"</f>
        <v>93190</v>
      </c>
      <c r="I3234" t="s">
        <v>59</v>
      </c>
    </row>
    <row r="3235" spans="1:9" x14ac:dyDescent="0.3">
      <c r="A3235" t="str">
        <f>"62832778"</f>
        <v>62832778</v>
      </c>
      <c r="B3235" t="s">
        <v>6475</v>
      </c>
      <c r="C3235" t="str">
        <f t="shared" si="237"/>
        <v>736</v>
      </c>
      <c r="D3235" t="s">
        <v>22</v>
      </c>
      <c r="E3235" t="s">
        <v>52</v>
      </c>
      <c r="F3235" t="s">
        <v>52</v>
      </c>
      <c r="G3235" t="s">
        <v>5829</v>
      </c>
      <c r="H3235" t="str">
        <f>"93110"</f>
        <v>93110</v>
      </c>
      <c r="I3235" t="s">
        <v>92</v>
      </c>
    </row>
    <row r="3236" spans="1:9" x14ac:dyDescent="0.3">
      <c r="A3236" t="str">
        <f>"62832638"</f>
        <v>62832638</v>
      </c>
      <c r="B3236" t="s">
        <v>6476</v>
      </c>
      <c r="C3236" t="str">
        <f t="shared" si="237"/>
        <v>736</v>
      </c>
      <c r="D3236" t="s">
        <v>22</v>
      </c>
      <c r="E3236" t="s">
        <v>52</v>
      </c>
      <c r="F3236" t="s">
        <v>113</v>
      </c>
      <c r="G3236" t="s">
        <v>6477</v>
      </c>
      <c r="H3236" t="str">
        <f>"93110"</f>
        <v>93110</v>
      </c>
      <c r="I3236" t="s">
        <v>92</v>
      </c>
    </row>
    <row r="3237" spans="1:9" x14ac:dyDescent="0.3">
      <c r="A3237" t="str">
        <f>"64467104"</f>
        <v>64467104</v>
      </c>
      <c r="B3237" t="s">
        <v>6478</v>
      </c>
      <c r="C3237" t="str">
        <f t="shared" si="237"/>
        <v>736</v>
      </c>
      <c r="D3237" t="s">
        <v>22</v>
      </c>
      <c r="E3237" t="s">
        <v>23</v>
      </c>
      <c r="F3237" t="s">
        <v>107</v>
      </c>
      <c r="G3237" t="s">
        <v>6479</v>
      </c>
      <c r="H3237" t="str">
        <f>"9499"</f>
        <v>9499</v>
      </c>
      <c r="I3237" t="s">
        <v>31</v>
      </c>
    </row>
    <row r="3238" spans="1:9" x14ac:dyDescent="0.3">
      <c r="A3238" t="str">
        <f>"75081652"</f>
        <v>75081652</v>
      </c>
      <c r="B3238" t="s">
        <v>6480</v>
      </c>
      <c r="C3238" t="str">
        <f t="shared" si="237"/>
        <v>736</v>
      </c>
      <c r="D3238" t="s">
        <v>22</v>
      </c>
      <c r="E3238" t="s">
        <v>29</v>
      </c>
      <c r="F3238" t="s">
        <v>195</v>
      </c>
      <c r="G3238" t="s">
        <v>6481</v>
      </c>
      <c r="H3238" t="str">
        <f>"93110"</f>
        <v>93110</v>
      </c>
      <c r="I3238" t="s">
        <v>92</v>
      </c>
    </row>
    <row r="3239" spans="1:9" x14ac:dyDescent="0.3">
      <c r="A3239" t="str">
        <f>"70238812"</f>
        <v>70238812</v>
      </c>
      <c r="B3239" t="s">
        <v>6482</v>
      </c>
      <c r="C3239" t="str">
        <f t="shared" si="237"/>
        <v>736</v>
      </c>
      <c r="D3239" t="s">
        <v>22</v>
      </c>
      <c r="E3239" t="s">
        <v>29</v>
      </c>
      <c r="F3239" t="s">
        <v>1266</v>
      </c>
      <c r="G3239" t="s">
        <v>6483</v>
      </c>
      <c r="H3239" t="str">
        <f>"93110"</f>
        <v>93110</v>
      </c>
      <c r="I3239" t="s">
        <v>92</v>
      </c>
    </row>
    <row r="3240" spans="1:9" x14ac:dyDescent="0.3">
      <c r="A3240" t="str">
        <f>"67027911"</f>
        <v>67027911</v>
      </c>
      <c r="B3240" t="s">
        <v>6484</v>
      </c>
      <c r="C3240" t="str">
        <f t="shared" si="237"/>
        <v>736</v>
      </c>
      <c r="D3240" t="s">
        <v>22</v>
      </c>
      <c r="E3240" t="s">
        <v>23</v>
      </c>
      <c r="F3240" t="s">
        <v>68</v>
      </c>
      <c r="G3240" t="s">
        <v>6485</v>
      </c>
      <c r="H3240" t="str">
        <f>"931"</f>
        <v>931</v>
      </c>
      <c r="I3240" t="s">
        <v>26</v>
      </c>
    </row>
    <row r="3241" spans="1:9" x14ac:dyDescent="0.3">
      <c r="A3241" t="str">
        <f>"65891449"</f>
        <v>65891449</v>
      </c>
      <c r="B3241" t="s">
        <v>6486</v>
      </c>
      <c r="C3241" t="str">
        <f t="shared" si="237"/>
        <v>736</v>
      </c>
      <c r="D3241" t="s">
        <v>22</v>
      </c>
      <c r="E3241" t="s">
        <v>29</v>
      </c>
      <c r="F3241" t="s">
        <v>852</v>
      </c>
      <c r="G3241" t="s">
        <v>6487</v>
      </c>
      <c r="H3241" t="str">
        <f>"93110"</f>
        <v>93110</v>
      </c>
      <c r="I3241" t="s">
        <v>92</v>
      </c>
    </row>
    <row r="3242" spans="1:9" x14ac:dyDescent="0.3">
      <c r="A3242" t="str">
        <f>"64467317"</f>
        <v>64467317</v>
      </c>
      <c r="B3242" t="s">
        <v>6488</v>
      </c>
      <c r="C3242" t="str">
        <f t="shared" si="237"/>
        <v>736</v>
      </c>
      <c r="D3242" t="s">
        <v>22</v>
      </c>
      <c r="E3242" t="s">
        <v>23</v>
      </c>
      <c r="F3242" t="s">
        <v>23</v>
      </c>
      <c r="G3242" t="s">
        <v>1354</v>
      </c>
      <c r="H3242" t="str">
        <f>"93110"</f>
        <v>93110</v>
      </c>
      <c r="I3242" t="s">
        <v>92</v>
      </c>
    </row>
    <row r="3243" spans="1:9" x14ac:dyDescent="0.3">
      <c r="A3243" t="str">
        <f>"65792084"</f>
        <v>65792084</v>
      </c>
      <c r="B3243" t="s">
        <v>6489</v>
      </c>
      <c r="C3243" t="str">
        <f t="shared" si="237"/>
        <v>736</v>
      </c>
      <c r="D3243" t="s">
        <v>22</v>
      </c>
      <c r="E3243" t="s">
        <v>23</v>
      </c>
      <c r="F3243" t="s">
        <v>23</v>
      </c>
      <c r="G3243" t="s">
        <v>6490</v>
      </c>
      <c r="H3243" t="str">
        <f>"93110"</f>
        <v>93110</v>
      </c>
      <c r="I3243" t="s">
        <v>92</v>
      </c>
    </row>
    <row r="3244" spans="1:9" x14ac:dyDescent="0.3">
      <c r="A3244" t="str">
        <f>"64989224"</f>
        <v>64989224</v>
      </c>
      <c r="B3244" t="s">
        <v>6491</v>
      </c>
      <c r="C3244" t="str">
        <f t="shared" si="237"/>
        <v>736</v>
      </c>
      <c r="D3244" t="s">
        <v>22</v>
      </c>
      <c r="E3244" t="s">
        <v>29</v>
      </c>
      <c r="F3244" t="s">
        <v>852</v>
      </c>
      <c r="G3244" t="s">
        <v>6487</v>
      </c>
      <c r="H3244" t="str">
        <f>"93110"</f>
        <v>93110</v>
      </c>
      <c r="I3244" t="s">
        <v>92</v>
      </c>
    </row>
    <row r="3245" spans="1:9" x14ac:dyDescent="0.3">
      <c r="A3245" t="str">
        <f>"63459582"</f>
        <v>63459582</v>
      </c>
      <c r="B3245" t="s">
        <v>6492</v>
      </c>
      <c r="C3245" t="str">
        <f t="shared" si="237"/>
        <v>736</v>
      </c>
      <c r="D3245" t="s">
        <v>22</v>
      </c>
      <c r="E3245" t="s">
        <v>83</v>
      </c>
      <c r="F3245" t="s">
        <v>83</v>
      </c>
      <c r="G3245" t="s">
        <v>346</v>
      </c>
      <c r="H3245" t="str">
        <f>"9499"</f>
        <v>9499</v>
      </c>
      <c r="I3245" t="s">
        <v>31</v>
      </c>
    </row>
    <row r="3246" spans="1:9" x14ac:dyDescent="0.3">
      <c r="A3246" t="str">
        <f>"62831933"</f>
        <v>62831933</v>
      </c>
      <c r="B3246" t="s">
        <v>6493</v>
      </c>
      <c r="C3246" t="str">
        <f t="shared" si="237"/>
        <v>736</v>
      </c>
      <c r="D3246" t="s">
        <v>22</v>
      </c>
      <c r="E3246" t="s">
        <v>52</v>
      </c>
      <c r="F3246" t="s">
        <v>52</v>
      </c>
      <c r="G3246" t="s">
        <v>5829</v>
      </c>
      <c r="H3246" t="str">
        <f>"93110"</f>
        <v>93110</v>
      </c>
      <c r="I3246" t="s">
        <v>92</v>
      </c>
    </row>
    <row r="3247" spans="1:9" x14ac:dyDescent="0.3">
      <c r="A3247" t="str">
        <f>"26519364"</f>
        <v>26519364</v>
      </c>
      <c r="B3247" t="s">
        <v>6494</v>
      </c>
      <c r="C3247" t="str">
        <f t="shared" ref="C3247:C3268" si="238">"706"</f>
        <v>706</v>
      </c>
      <c r="D3247" t="s">
        <v>28</v>
      </c>
      <c r="E3247" t="s">
        <v>23</v>
      </c>
      <c r="F3247" t="s">
        <v>5383</v>
      </c>
      <c r="G3247" t="s">
        <v>6495</v>
      </c>
      <c r="H3247" t="str">
        <f>"9499"</f>
        <v>9499</v>
      </c>
      <c r="I3247" t="s">
        <v>31</v>
      </c>
    </row>
    <row r="3248" spans="1:9" x14ac:dyDescent="0.3">
      <c r="A3248" t="str">
        <f>"22822593"</f>
        <v>22822593</v>
      </c>
      <c r="B3248" t="s">
        <v>6496</v>
      </c>
      <c r="C3248" t="str">
        <f t="shared" si="238"/>
        <v>706</v>
      </c>
      <c r="D3248" t="s">
        <v>28</v>
      </c>
      <c r="E3248" t="s">
        <v>52</v>
      </c>
      <c r="F3248" t="s">
        <v>1788</v>
      </c>
      <c r="G3248" t="s">
        <v>6497</v>
      </c>
      <c r="H3248" t="str">
        <f>"94993"</f>
        <v>94993</v>
      </c>
      <c r="I3248" t="s">
        <v>50</v>
      </c>
    </row>
    <row r="3249" spans="1:9" x14ac:dyDescent="0.3">
      <c r="A3249" t="str">
        <f>"22690379"</f>
        <v>22690379</v>
      </c>
      <c r="B3249" t="s">
        <v>6498</v>
      </c>
      <c r="C3249" t="str">
        <f t="shared" si="238"/>
        <v>706</v>
      </c>
      <c r="D3249" t="s">
        <v>28</v>
      </c>
      <c r="E3249" t="s">
        <v>52</v>
      </c>
      <c r="F3249" t="s">
        <v>234</v>
      </c>
      <c r="G3249" t="s">
        <v>6499</v>
      </c>
      <c r="H3249" t="str">
        <f>"93110"</f>
        <v>93110</v>
      </c>
      <c r="I3249" t="s">
        <v>92</v>
      </c>
    </row>
    <row r="3250" spans="1:9" x14ac:dyDescent="0.3">
      <c r="A3250" t="str">
        <f>"64123111"</f>
        <v>64123111</v>
      </c>
      <c r="B3250" t="s">
        <v>6500</v>
      </c>
      <c r="C3250" t="str">
        <f t="shared" si="238"/>
        <v>706</v>
      </c>
      <c r="D3250" t="s">
        <v>28</v>
      </c>
      <c r="E3250" t="s">
        <v>29</v>
      </c>
      <c r="F3250" t="s">
        <v>29</v>
      </c>
      <c r="G3250" t="s">
        <v>6501</v>
      </c>
      <c r="H3250" t="str">
        <f>"9499"</f>
        <v>9499</v>
      </c>
      <c r="I3250" t="s">
        <v>31</v>
      </c>
    </row>
    <row r="3251" spans="1:9" x14ac:dyDescent="0.3">
      <c r="A3251" t="str">
        <f>"00435929"</f>
        <v>00435929</v>
      </c>
      <c r="B3251" t="s">
        <v>6502</v>
      </c>
      <c r="C3251" t="str">
        <f t="shared" si="238"/>
        <v>706</v>
      </c>
      <c r="D3251" t="s">
        <v>28</v>
      </c>
      <c r="E3251" t="s">
        <v>83</v>
      </c>
      <c r="F3251" t="s">
        <v>83</v>
      </c>
      <c r="G3251" t="s">
        <v>557</v>
      </c>
      <c r="H3251" t="str">
        <f>"93110"</f>
        <v>93110</v>
      </c>
      <c r="I3251" t="s">
        <v>92</v>
      </c>
    </row>
    <row r="3252" spans="1:9" x14ac:dyDescent="0.3">
      <c r="A3252" t="str">
        <f>"00436101"</f>
        <v>00436101</v>
      </c>
      <c r="B3252" t="s">
        <v>6503</v>
      </c>
      <c r="C3252" t="str">
        <f t="shared" si="238"/>
        <v>706</v>
      </c>
      <c r="D3252" t="s">
        <v>28</v>
      </c>
      <c r="E3252" t="s">
        <v>29</v>
      </c>
      <c r="F3252" t="s">
        <v>29</v>
      </c>
      <c r="G3252" t="s">
        <v>6381</v>
      </c>
      <c r="H3252" t="str">
        <f>"931"</f>
        <v>931</v>
      </c>
      <c r="I3252" t="s">
        <v>26</v>
      </c>
    </row>
    <row r="3253" spans="1:9" x14ac:dyDescent="0.3">
      <c r="A3253" t="str">
        <f>"00435899"</f>
        <v>00435899</v>
      </c>
      <c r="B3253" t="s">
        <v>6504</v>
      </c>
      <c r="C3253" t="str">
        <f t="shared" si="238"/>
        <v>706</v>
      </c>
      <c r="D3253" t="s">
        <v>28</v>
      </c>
      <c r="E3253" t="s">
        <v>23</v>
      </c>
      <c r="F3253" t="s">
        <v>23</v>
      </c>
      <c r="G3253" t="s">
        <v>204</v>
      </c>
      <c r="H3253" t="str">
        <f>"931"</f>
        <v>931</v>
      </c>
      <c r="I3253" t="s">
        <v>26</v>
      </c>
    </row>
    <row r="3254" spans="1:9" x14ac:dyDescent="0.3">
      <c r="A3254" t="str">
        <f>"22847103"</f>
        <v>22847103</v>
      </c>
      <c r="B3254" t="s">
        <v>6505</v>
      </c>
      <c r="C3254" t="str">
        <f t="shared" si="238"/>
        <v>706</v>
      </c>
      <c r="D3254" t="s">
        <v>28</v>
      </c>
      <c r="E3254" t="s">
        <v>23</v>
      </c>
      <c r="F3254" t="s">
        <v>23</v>
      </c>
      <c r="G3254" t="s">
        <v>6506</v>
      </c>
      <c r="H3254" t="str">
        <f>"94995"</f>
        <v>94995</v>
      </c>
      <c r="I3254" t="s">
        <v>232</v>
      </c>
    </row>
    <row r="3255" spans="1:9" x14ac:dyDescent="0.3">
      <c r="A3255" t="str">
        <f>"22674926"</f>
        <v>22674926</v>
      </c>
      <c r="B3255" t="s">
        <v>6507</v>
      </c>
      <c r="C3255" t="str">
        <f t="shared" si="238"/>
        <v>706</v>
      </c>
      <c r="D3255" t="s">
        <v>28</v>
      </c>
      <c r="E3255" t="s">
        <v>52</v>
      </c>
      <c r="F3255" t="s">
        <v>52</v>
      </c>
      <c r="G3255" t="s">
        <v>6508</v>
      </c>
      <c r="H3255" t="str">
        <f>"93110"</f>
        <v>93110</v>
      </c>
      <c r="I3255" t="s">
        <v>92</v>
      </c>
    </row>
    <row r="3256" spans="1:9" x14ac:dyDescent="0.3">
      <c r="A3256" t="str">
        <f>"22672362"</f>
        <v>22672362</v>
      </c>
      <c r="B3256" t="s">
        <v>6509</v>
      </c>
      <c r="C3256" t="str">
        <f t="shared" si="238"/>
        <v>706</v>
      </c>
      <c r="D3256" t="s">
        <v>28</v>
      </c>
      <c r="E3256" t="s">
        <v>29</v>
      </c>
      <c r="F3256" t="s">
        <v>852</v>
      </c>
      <c r="G3256" t="s">
        <v>6510</v>
      </c>
      <c r="H3256" t="str">
        <f>"9499"</f>
        <v>9499</v>
      </c>
      <c r="I3256" t="s">
        <v>31</v>
      </c>
    </row>
    <row r="3257" spans="1:9" x14ac:dyDescent="0.3">
      <c r="A3257" t="str">
        <f>"01350234"</f>
        <v>01350234</v>
      </c>
      <c r="B3257" t="s">
        <v>6511</v>
      </c>
      <c r="C3257" t="str">
        <f t="shared" si="238"/>
        <v>706</v>
      </c>
      <c r="D3257" t="s">
        <v>28</v>
      </c>
      <c r="E3257" t="s">
        <v>52</v>
      </c>
      <c r="F3257" t="s">
        <v>864</v>
      </c>
      <c r="G3257" t="s">
        <v>6512</v>
      </c>
      <c r="H3257" t="str">
        <f>"9499"</f>
        <v>9499</v>
      </c>
      <c r="I3257" t="s">
        <v>31</v>
      </c>
    </row>
    <row r="3258" spans="1:9" x14ac:dyDescent="0.3">
      <c r="A3258" t="str">
        <f>"26608235"</f>
        <v>26608235</v>
      </c>
      <c r="B3258" t="s">
        <v>6513</v>
      </c>
      <c r="C3258" t="str">
        <f t="shared" si="238"/>
        <v>706</v>
      </c>
      <c r="D3258" t="s">
        <v>28</v>
      </c>
      <c r="E3258" t="s">
        <v>83</v>
      </c>
      <c r="F3258" t="s">
        <v>83</v>
      </c>
      <c r="G3258" t="s">
        <v>6514</v>
      </c>
      <c r="H3258" t="str">
        <f>"93120"</f>
        <v>93120</v>
      </c>
      <c r="I3258" t="s">
        <v>54</v>
      </c>
    </row>
    <row r="3259" spans="1:9" x14ac:dyDescent="0.3">
      <c r="A3259" t="str">
        <f>"22667741"</f>
        <v>22667741</v>
      </c>
      <c r="B3259" t="s">
        <v>6515</v>
      </c>
      <c r="C3259" t="str">
        <f t="shared" si="238"/>
        <v>706</v>
      </c>
      <c r="D3259" t="s">
        <v>28</v>
      </c>
      <c r="E3259" t="s">
        <v>29</v>
      </c>
      <c r="F3259" t="s">
        <v>2532</v>
      </c>
      <c r="G3259" t="s">
        <v>6516</v>
      </c>
      <c r="H3259" t="str">
        <f>"93110"</f>
        <v>93110</v>
      </c>
      <c r="I3259" t="s">
        <v>92</v>
      </c>
    </row>
    <row r="3260" spans="1:9" x14ac:dyDescent="0.3">
      <c r="A3260" t="str">
        <f>"27043185"</f>
        <v>27043185</v>
      </c>
      <c r="B3260" t="s">
        <v>6517</v>
      </c>
      <c r="C3260" t="str">
        <f t="shared" si="238"/>
        <v>706</v>
      </c>
      <c r="D3260" t="s">
        <v>28</v>
      </c>
      <c r="E3260" t="s">
        <v>52</v>
      </c>
      <c r="F3260" t="s">
        <v>52</v>
      </c>
      <c r="G3260" t="s">
        <v>6518</v>
      </c>
      <c r="H3260" t="str">
        <f>"94991"</f>
        <v>94991</v>
      </c>
      <c r="I3260" t="s">
        <v>433</v>
      </c>
    </row>
    <row r="3261" spans="1:9" x14ac:dyDescent="0.3">
      <c r="A3261" t="str">
        <f>"22679464"</f>
        <v>22679464</v>
      </c>
      <c r="B3261" t="s">
        <v>6519</v>
      </c>
      <c r="C3261" t="str">
        <f t="shared" si="238"/>
        <v>706</v>
      </c>
      <c r="D3261" t="s">
        <v>28</v>
      </c>
      <c r="E3261" t="s">
        <v>23</v>
      </c>
      <c r="F3261" t="s">
        <v>1418</v>
      </c>
      <c r="G3261" t="s">
        <v>6520</v>
      </c>
      <c r="H3261" t="str">
        <f>"9499"</f>
        <v>9499</v>
      </c>
      <c r="I3261" t="s">
        <v>31</v>
      </c>
    </row>
    <row r="3262" spans="1:9" x14ac:dyDescent="0.3">
      <c r="A3262" t="str">
        <f>"05561957"</f>
        <v>05561957</v>
      </c>
      <c r="B3262" t="s">
        <v>6521</v>
      </c>
      <c r="C3262" t="str">
        <f t="shared" si="238"/>
        <v>706</v>
      </c>
      <c r="D3262" t="s">
        <v>28</v>
      </c>
      <c r="E3262" t="s">
        <v>52</v>
      </c>
      <c r="F3262" t="s">
        <v>864</v>
      </c>
      <c r="G3262" t="s">
        <v>6522</v>
      </c>
      <c r="H3262" t="str">
        <f>"93190"</f>
        <v>93190</v>
      </c>
      <c r="I3262" t="s">
        <v>59</v>
      </c>
    </row>
    <row r="3263" spans="1:9" x14ac:dyDescent="0.3">
      <c r="A3263" t="str">
        <f>"27038165"</f>
        <v>27038165</v>
      </c>
      <c r="B3263" t="s">
        <v>6523</v>
      </c>
      <c r="C3263" t="str">
        <f t="shared" si="238"/>
        <v>706</v>
      </c>
      <c r="D3263" t="s">
        <v>28</v>
      </c>
      <c r="E3263" t="s">
        <v>52</v>
      </c>
      <c r="F3263" t="s">
        <v>52</v>
      </c>
      <c r="G3263" t="s">
        <v>439</v>
      </c>
      <c r="H3263" t="str">
        <f>"9499"</f>
        <v>9499</v>
      </c>
      <c r="I3263" t="s">
        <v>31</v>
      </c>
    </row>
    <row r="3264" spans="1:9" x14ac:dyDescent="0.3">
      <c r="A3264" t="str">
        <f>"07974647"</f>
        <v>07974647</v>
      </c>
      <c r="B3264" t="s">
        <v>6524</v>
      </c>
      <c r="C3264" t="str">
        <f t="shared" si="238"/>
        <v>706</v>
      </c>
      <c r="D3264" t="s">
        <v>28</v>
      </c>
      <c r="E3264" t="s">
        <v>83</v>
      </c>
      <c r="F3264" t="s">
        <v>183</v>
      </c>
      <c r="G3264" t="s">
        <v>6525</v>
      </c>
      <c r="H3264" t="str">
        <f>"94993"</f>
        <v>94993</v>
      </c>
      <c r="I3264" t="s">
        <v>50</v>
      </c>
    </row>
    <row r="3265" spans="1:12" x14ac:dyDescent="0.3">
      <c r="A3265" t="str">
        <f>"07039042"</f>
        <v>07039042</v>
      </c>
      <c r="B3265" t="s">
        <v>6526</v>
      </c>
      <c r="C3265" t="str">
        <f t="shared" si="238"/>
        <v>706</v>
      </c>
      <c r="D3265" t="s">
        <v>28</v>
      </c>
      <c r="E3265" t="s">
        <v>23</v>
      </c>
      <c r="F3265" t="s">
        <v>23</v>
      </c>
      <c r="G3265" t="s">
        <v>6527</v>
      </c>
      <c r="H3265" t="str">
        <f>"94999"</f>
        <v>94999</v>
      </c>
      <c r="I3265" t="s">
        <v>202</v>
      </c>
    </row>
    <row r="3266" spans="1:12" x14ac:dyDescent="0.3">
      <c r="A3266" t="str">
        <f>"22733515"</f>
        <v>22733515</v>
      </c>
      <c r="B3266" t="s">
        <v>6528</v>
      </c>
      <c r="C3266" t="str">
        <f t="shared" si="238"/>
        <v>706</v>
      </c>
      <c r="D3266" t="s">
        <v>28</v>
      </c>
      <c r="E3266" t="s">
        <v>23</v>
      </c>
      <c r="F3266" t="s">
        <v>599</v>
      </c>
      <c r="G3266" t="s">
        <v>6529</v>
      </c>
      <c r="H3266" t="str">
        <f>"94995"</f>
        <v>94995</v>
      </c>
      <c r="I3266" t="s">
        <v>232</v>
      </c>
    </row>
    <row r="3267" spans="1:12" x14ac:dyDescent="0.3">
      <c r="A3267" t="str">
        <f>"22684492"</f>
        <v>22684492</v>
      </c>
      <c r="B3267" t="s">
        <v>6530</v>
      </c>
      <c r="C3267" t="str">
        <f t="shared" si="238"/>
        <v>706</v>
      </c>
      <c r="D3267" t="s">
        <v>28</v>
      </c>
      <c r="E3267" t="s">
        <v>23</v>
      </c>
      <c r="F3267" t="s">
        <v>23</v>
      </c>
      <c r="G3267" t="s">
        <v>6531</v>
      </c>
      <c r="H3267" t="str">
        <f>"9499"</f>
        <v>9499</v>
      </c>
      <c r="I3267" t="s">
        <v>31</v>
      </c>
    </row>
    <row r="3268" spans="1:12" x14ac:dyDescent="0.3">
      <c r="A3268" t="str">
        <f>"07705506"</f>
        <v>07705506</v>
      </c>
      <c r="B3268" t="s">
        <v>6532</v>
      </c>
      <c r="C3268" t="str">
        <f t="shared" si="238"/>
        <v>706</v>
      </c>
      <c r="D3268" t="s">
        <v>28</v>
      </c>
      <c r="E3268" t="s">
        <v>23</v>
      </c>
      <c r="F3268" t="s">
        <v>23</v>
      </c>
      <c r="G3268" t="s">
        <v>204</v>
      </c>
      <c r="H3268" t="str">
        <f>"9499"</f>
        <v>9499</v>
      </c>
      <c r="I3268" t="s">
        <v>31</v>
      </c>
    </row>
    <row r="3269" spans="1:12" x14ac:dyDescent="0.3">
      <c r="A3269" t="str">
        <f>"27743624"</f>
        <v>27743624</v>
      </c>
      <c r="B3269" t="s">
        <v>6533</v>
      </c>
      <c r="C3269" t="str">
        <f>"141"</f>
        <v>141</v>
      </c>
      <c r="D3269" t="s">
        <v>112</v>
      </c>
      <c r="E3269" t="s">
        <v>23</v>
      </c>
      <c r="F3269" t="s">
        <v>23</v>
      </c>
      <c r="G3269" t="s">
        <v>6534</v>
      </c>
      <c r="H3269" t="str">
        <f>"855"</f>
        <v>855</v>
      </c>
      <c r="I3269" t="s">
        <v>146</v>
      </c>
      <c r="J3269" t="s">
        <v>258</v>
      </c>
      <c r="K3269" t="s">
        <v>1496</v>
      </c>
      <c r="L3269" t="s">
        <v>4847</v>
      </c>
    </row>
    <row r="3270" spans="1:12" x14ac:dyDescent="0.3">
      <c r="A3270" t="str">
        <f>"02492334"</f>
        <v>02492334</v>
      </c>
      <c r="B3270" t="s">
        <v>6535</v>
      </c>
      <c r="C3270" t="str">
        <f t="shared" ref="C3270:C3277" si="239">"706"</f>
        <v>706</v>
      </c>
      <c r="D3270" t="s">
        <v>28</v>
      </c>
      <c r="E3270" t="s">
        <v>29</v>
      </c>
      <c r="F3270" t="s">
        <v>117</v>
      </c>
      <c r="G3270" t="s">
        <v>6536</v>
      </c>
      <c r="H3270" t="str">
        <f>"9499"</f>
        <v>9499</v>
      </c>
      <c r="I3270" t="s">
        <v>31</v>
      </c>
    </row>
    <row r="3271" spans="1:12" x14ac:dyDescent="0.3">
      <c r="A3271" t="str">
        <f>"22749829"</f>
        <v>22749829</v>
      </c>
      <c r="B3271" t="s">
        <v>6537</v>
      </c>
      <c r="C3271" t="str">
        <f t="shared" si="239"/>
        <v>706</v>
      </c>
      <c r="D3271" t="s">
        <v>28</v>
      </c>
      <c r="E3271" t="s">
        <v>52</v>
      </c>
      <c r="F3271" t="s">
        <v>94</v>
      </c>
      <c r="G3271" t="s">
        <v>1915</v>
      </c>
      <c r="H3271" t="str">
        <f>"9499"</f>
        <v>9499</v>
      </c>
      <c r="I3271" t="s">
        <v>31</v>
      </c>
    </row>
    <row r="3272" spans="1:12" x14ac:dyDescent="0.3">
      <c r="A3272" t="str">
        <f>"26576155"</f>
        <v>26576155</v>
      </c>
      <c r="B3272" t="s">
        <v>6538</v>
      </c>
      <c r="C3272" t="str">
        <f t="shared" si="239"/>
        <v>706</v>
      </c>
      <c r="D3272" t="s">
        <v>28</v>
      </c>
      <c r="E3272" t="s">
        <v>52</v>
      </c>
      <c r="F3272" t="s">
        <v>52</v>
      </c>
      <c r="G3272" t="s">
        <v>6539</v>
      </c>
      <c r="H3272" t="str">
        <f>"94995"</f>
        <v>94995</v>
      </c>
      <c r="I3272" t="s">
        <v>232</v>
      </c>
    </row>
    <row r="3273" spans="1:12" x14ac:dyDescent="0.3">
      <c r="A3273" t="str">
        <f>"26668432"</f>
        <v>26668432</v>
      </c>
      <c r="B3273" t="s">
        <v>6540</v>
      </c>
      <c r="C3273" t="str">
        <f t="shared" si="239"/>
        <v>706</v>
      </c>
      <c r="D3273" t="s">
        <v>28</v>
      </c>
      <c r="E3273" t="s">
        <v>52</v>
      </c>
      <c r="F3273" t="s">
        <v>94</v>
      </c>
      <c r="G3273" t="s">
        <v>6541</v>
      </c>
      <c r="H3273" t="str">
        <f>"9499"</f>
        <v>9499</v>
      </c>
      <c r="I3273" t="s">
        <v>31</v>
      </c>
    </row>
    <row r="3274" spans="1:12" x14ac:dyDescent="0.3">
      <c r="A3274" t="str">
        <f>"21869774"</f>
        <v>21869774</v>
      </c>
      <c r="B3274" t="s">
        <v>6542</v>
      </c>
      <c r="C3274" t="str">
        <f t="shared" si="239"/>
        <v>706</v>
      </c>
      <c r="D3274" t="s">
        <v>28</v>
      </c>
      <c r="E3274" t="s">
        <v>52</v>
      </c>
      <c r="F3274" t="s">
        <v>94</v>
      </c>
      <c r="G3274" t="s">
        <v>6543</v>
      </c>
      <c r="H3274" t="str">
        <f>"9499"</f>
        <v>9499</v>
      </c>
      <c r="I3274" t="s">
        <v>31</v>
      </c>
    </row>
    <row r="3275" spans="1:12" x14ac:dyDescent="0.3">
      <c r="A3275" t="str">
        <f>"16627768"</f>
        <v>16627768</v>
      </c>
      <c r="B3275" t="s">
        <v>6544</v>
      </c>
      <c r="C3275" t="str">
        <f t="shared" si="239"/>
        <v>706</v>
      </c>
      <c r="D3275" t="s">
        <v>28</v>
      </c>
      <c r="E3275" t="s">
        <v>29</v>
      </c>
      <c r="F3275" t="s">
        <v>29</v>
      </c>
      <c r="G3275" t="s">
        <v>6545</v>
      </c>
      <c r="H3275" t="str">
        <f>"9499"</f>
        <v>9499</v>
      </c>
      <c r="I3275" t="s">
        <v>31</v>
      </c>
    </row>
    <row r="3276" spans="1:12" x14ac:dyDescent="0.3">
      <c r="A3276" t="str">
        <f>"19238142"</f>
        <v>19238142</v>
      </c>
      <c r="B3276" t="s">
        <v>6546</v>
      </c>
      <c r="C3276" t="str">
        <f t="shared" si="239"/>
        <v>706</v>
      </c>
      <c r="D3276" t="s">
        <v>28</v>
      </c>
      <c r="E3276" t="s">
        <v>29</v>
      </c>
      <c r="F3276" t="s">
        <v>38</v>
      </c>
      <c r="G3276" t="s">
        <v>6547</v>
      </c>
      <c r="H3276" t="str">
        <f>"9499"</f>
        <v>9499</v>
      </c>
      <c r="I3276" t="s">
        <v>31</v>
      </c>
    </row>
    <row r="3277" spans="1:12" x14ac:dyDescent="0.3">
      <c r="A3277" t="str">
        <f>"05259100"</f>
        <v>05259100</v>
      </c>
      <c r="B3277" t="s">
        <v>6548</v>
      </c>
      <c r="C3277" t="str">
        <f t="shared" si="239"/>
        <v>706</v>
      </c>
      <c r="D3277" t="s">
        <v>28</v>
      </c>
      <c r="E3277" t="s">
        <v>83</v>
      </c>
      <c r="F3277" t="s">
        <v>409</v>
      </c>
      <c r="G3277" t="s">
        <v>6549</v>
      </c>
      <c r="H3277" t="str">
        <f>"9499"</f>
        <v>9499</v>
      </c>
      <c r="I3277" t="s">
        <v>31</v>
      </c>
    </row>
    <row r="3278" spans="1:12" x14ac:dyDescent="0.3">
      <c r="A3278" t="str">
        <f>"00117641"</f>
        <v>00117641</v>
      </c>
      <c r="B3278" t="s">
        <v>6550</v>
      </c>
      <c r="C3278" t="str">
        <f>"736"</f>
        <v>736</v>
      </c>
      <c r="D3278" t="s">
        <v>22</v>
      </c>
      <c r="E3278" t="s">
        <v>29</v>
      </c>
      <c r="F3278" t="s">
        <v>195</v>
      </c>
      <c r="G3278" t="s">
        <v>6196</v>
      </c>
      <c r="H3278" t="str">
        <f>"94995"</f>
        <v>94995</v>
      </c>
      <c r="I3278" t="s">
        <v>232</v>
      </c>
    </row>
    <row r="3279" spans="1:12" x14ac:dyDescent="0.3">
      <c r="A3279" t="str">
        <f>"22888578"</f>
        <v>22888578</v>
      </c>
      <c r="B3279" t="s">
        <v>6551</v>
      </c>
      <c r="C3279" t="str">
        <f>"706"</f>
        <v>706</v>
      </c>
      <c r="D3279" t="s">
        <v>28</v>
      </c>
      <c r="E3279" t="s">
        <v>29</v>
      </c>
      <c r="F3279" t="s">
        <v>29</v>
      </c>
      <c r="G3279" t="s">
        <v>6552</v>
      </c>
      <c r="H3279" t="str">
        <f>"94996"</f>
        <v>94996</v>
      </c>
      <c r="I3279" t="s">
        <v>47</v>
      </c>
    </row>
    <row r="3280" spans="1:12" x14ac:dyDescent="0.3">
      <c r="A3280" t="str">
        <f>"22906681"</f>
        <v>22906681</v>
      </c>
      <c r="B3280" t="s">
        <v>6553</v>
      </c>
      <c r="C3280" t="str">
        <f>"706"</f>
        <v>706</v>
      </c>
      <c r="D3280" t="s">
        <v>28</v>
      </c>
      <c r="E3280" t="s">
        <v>23</v>
      </c>
      <c r="F3280" t="s">
        <v>35</v>
      </c>
      <c r="G3280" t="s">
        <v>6554</v>
      </c>
      <c r="H3280" t="str">
        <f>"9499"</f>
        <v>9499</v>
      </c>
      <c r="I3280" t="s">
        <v>31</v>
      </c>
    </row>
    <row r="3281" spans="1:15" x14ac:dyDescent="0.3">
      <c r="A3281" t="str">
        <f>"22894781"</f>
        <v>22894781</v>
      </c>
      <c r="B3281" t="s">
        <v>6555</v>
      </c>
      <c r="C3281" t="str">
        <f>"706"</f>
        <v>706</v>
      </c>
      <c r="D3281" t="s">
        <v>28</v>
      </c>
      <c r="E3281" t="s">
        <v>29</v>
      </c>
      <c r="F3281" t="s">
        <v>676</v>
      </c>
      <c r="G3281" t="s">
        <v>6556</v>
      </c>
      <c r="H3281" t="str">
        <f>"9499"</f>
        <v>9499</v>
      </c>
      <c r="I3281" t="s">
        <v>31</v>
      </c>
    </row>
    <row r="3282" spans="1:15" x14ac:dyDescent="0.3">
      <c r="A3282" t="str">
        <f>"04977408"</f>
        <v>04977408</v>
      </c>
      <c r="B3282" t="s">
        <v>6557</v>
      </c>
      <c r="C3282" t="str">
        <f>"161"</f>
        <v>161</v>
      </c>
      <c r="D3282" t="s">
        <v>152</v>
      </c>
      <c r="E3282" t="s">
        <v>52</v>
      </c>
      <c r="F3282" t="s">
        <v>52</v>
      </c>
      <c r="G3282" t="s">
        <v>439</v>
      </c>
      <c r="H3282" t="str">
        <f>"8810"</f>
        <v>8810</v>
      </c>
      <c r="I3282" t="s">
        <v>1134</v>
      </c>
      <c r="J3282" t="s">
        <v>159</v>
      </c>
      <c r="K3282" t="s">
        <v>498</v>
      </c>
      <c r="L3282" t="s">
        <v>1120</v>
      </c>
      <c r="M3282" t="s">
        <v>31</v>
      </c>
      <c r="N3282" t="s">
        <v>262</v>
      </c>
      <c r="O3282" t="s">
        <v>433</v>
      </c>
    </row>
    <row r="3283" spans="1:15" x14ac:dyDescent="0.3">
      <c r="A3283" t="str">
        <f>"27024831"</f>
        <v>27024831</v>
      </c>
      <c r="B3283" t="s">
        <v>6558</v>
      </c>
      <c r="C3283" t="str">
        <f t="shared" ref="C3283:C3288" si="240">"706"</f>
        <v>706</v>
      </c>
      <c r="D3283" t="s">
        <v>28</v>
      </c>
      <c r="E3283" t="s">
        <v>23</v>
      </c>
      <c r="F3283" t="s">
        <v>107</v>
      </c>
      <c r="G3283" t="s">
        <v>6559</v>
      </c>
      <c r="H3283" t="str">
        <f>"9499"</f>
        <v>9499</v>
      </c>
      <c r="I3283" t="s">
        <v>31</v>
      </c>
    </row>
    <row r="3284" spans="1:15" x14ac:dyDescent="0.3">
      <c r="A3284" t="str">
        <f>"62076175"</f>
        <v>62076175</v>
      </c>
      <c r="B3284" t="s">
        <v>6560</v>
      </c>
      <c r="C3284" t="str">
        <f t="shared" si="240"/>
        <v>706</v>
      </c>
      <c r="D3284" t="s">
        <v>28</v>
      </c>
      <c r="E3284" t="s">
        <v>83</v>
      </c>
      <c r="F3284" t="s">
        <v>815</v>
      </c>
      <c r="G3284" t="s">
        <v>6561</v>
      </c>
      <c r="H3284" t="str">
        <f>"9499"</f>
        <v>9499</v>
      </c>
      <c r="I3284" t="s">
        <v>31</v>
      </c>
    </row>
    <row r="3285" spans="1:15" x14ac:dyDescent="0.3">
      <c r="A3285" t="str">
        <f>"06597912"</f>
        <v>06597912</v>
      </c>
      <c r="B3285" t="s">
        <v>6562</v>
      </c>
      <c r="C3285" t="str">
        <f t="shared" si="240"/>
        <v>706</v>
      </c>
      <c r="D3285" t="s">
        <v>28</v>
      </c>
      <c r="E3285" t="s">
        <v>29</v>
      </c>
      <c r="F3285" t="s">
        <v>38</v>
      </c>
      <c r="G3285" t="s">
        <v>6563</v>
      </c>
      <c r="H3285" t="str">
        <f>"93190"</f>
        <v>93190</v>
      </c>
      <c r="I3285" t="s">
        <v>59</v>
      </c>
    </row>
    <row r="3286" spans="1:15" x14ac:dyDescent="0.3">
      <c r="A3286" t="str">
        <f>"67028551"</f>
        <v>67028551</v>
      </c>
      <c r="B3286" t="s">
        <v>6564</v>
      </c>
      <c r="C3286" t="str">
        <f t="shared" si="240"/>
        <v>706</v>
      </c>
      <c r="D3286" t="s">
        <v>28</v>
      </c>
      <c r="E3286" t="s">
        <v>52</v>
      </c>
      <c r="F3286" t="s">
        <v>379</v>
      </c>
      <c r="G3286" t="s">
        <v>52</v>
      </c>
      <c r="H3286" t="str">
        <f>"931"</f>
        <v>931</v>
      </c>
      <c r="I3286" t="s">
        <v>26</v>
      </c>
    </row>
    <row r="3287" spans="1:15" x14ac:dyDescent="0.3">
      <c r="A3287" t="str">
        <f>"26643201"</f>
        <v>26643201</v>
      </c>
      <c r="B3287" t="s">
        <v>6565</v>
      </c>
      <c r="C3287" t="str">
        <f t="shared" si="240"/>
        <v>706</v>
      </c>
      <c r="D3287" t="s">
        <v>28</v>
      </c>
      <c r="E3287" t="s">
        <v>83</v>
      </c>
      <c r="F3287" t="s">
        <v>183</v>
      </c>
      <c r="G3287" t="s">
        <v>6566</v>
      </c>
      <c r="H3287" t="str">
        <f>"93110"</f>
        <v>93110</v>
      </c>
      <c r="I3287" t="s">
        <v>92</v>
      </c>
    </row>
    <row r="3288" spans="1:15" x14ac:dyDescent="0.3">
      <c r="A3288" t="str">
        <f>"08795240"</f>
        <v>08795240</v>
      </c>
      <c r="B3288" t="s">
        <v>6567</v>
      </c>
      <c r="C3288" t="str">
        <f t="shared" si="240"/>
        <v>706</v>
      </c>
      <c r="D3288" t="s">
        <v>28</v>
      </c>
      <c r="E3288" t="s">
        <v>29</v>
      </c>
      <c r="F3288" t="s">
        <v>38</v>
      </c>
      <c r="G3288" t="s">
        <v>6568</v>
      </c>
      <c r="H3288" t="str">
        <f>"94993"</f>
        <v>94993</v>
      </c>
      <c r="I3288" t="s">
        <v>50</v>
      </c>
    </row>
    <row r="3289" spans="1:15" x14ac:dyDescent="0.3">
      <c r="A3289" t="str">
        <f>"06358322"</f>
        <v>06358322</v>
      </c>
      <c r="B3289" t="s">
        <v>6569</v>
      </c>
      <c r="C3289" t="str">
        <f>"161"</f>
        <v>161</v>
      </c>
      <c r="D3289" t="s">
        <v>152</v>
      </c>
      <c r="E3289" t="s">
        <v>83</v>
      </c>
      <c r="F3289" t="s">
        <v>84</v>
      </c>
      <c r="G3289" t="s">
        <v>5193</v>
      </c>
      <c r="H3289" t="str">
        <f>"8690"</f>
        <v>8690</v>
      </c>
      <c r="I3289" t="s">
        <v>1120</v>
      </c>
    </row>
    <row r="3290" spans="1:15" x14ac:dyDescent="0.3">
      <c r="A3290" t="str">
        <f>"26991446"</f>
        <v>26991446</v>
      </c>
      <c r="B3290" t="s">
        <v>6570</v>
      </c>
      <c r="C3290" t="str">
        <f t="shared" ref="C3290:C3300" si="241">"706"</f>
        <v>706</v>
      </c>
      <c r="D3290" t="s">
        <v>28</v>
      </c>
      <c r="E3290" t="s">
        <v>29</v>
      </c>
      <c r="F3290" t="s">
        <v>3480</v>
      </c>
      <c r="G3290" t="s">
        <v>6571</v>
      </c>
      <c r="H3290" t="str">
        <f>"94996"</f>
        <v>94996</v>
      </c>
      <c r="I3290" t="s">
        <v>47</v>
      </c>
    </row>
    <row r="3291" spans="1:15" x14ac:dyDescent="0.3">
      <c r="A3291" t="str">
        <f>"22384863"</f>
        <v>22384863</v>
      </c>
      <c r="B3291" t="s">
        <v>6572</v>
      </c>
      <c r="C3291" t="str">
        <f t="shared" si="241"/>
        <v>706</v>
      </c>
      <c r="D3291" t="s">
        <v>28</v>
      </c>
      <c r="E3291" t="s">
        <v>83</v>
      </c>
      <c r="F3291" t="s">
        <v>83</v>
      </c>
      <c r="G3291" t="s">
        <v>6573</v>
      </c>
      <c r="H3291" t="str">
        <f>"9499"</f>
        <v>9499</v>
      </c>
      <c r="I3291" t="s">
        <v>31</v>
      </c>
    </row>
    <row r="3292" spans="1:15" x14ac:dyDescent="0.3">
      <c r="A3292" t="str">
        <f>"04879457"</f>
        <v>04879457</v>
      </c>
      <c r="B3292" t="s">
        <v>6574</v>
      </c>
      <c r="C3292" t="str">
        <f t="shared" si="241"/>
        <v>706</v>
      </c>
      <c r="D3292" t="s">
        <v>28</v>
      </c>
      <c r="E3292" t="s">
        <v>23</v>
      </c>
      <c r="F3292" t="s">
        <v>35</v>
      </c>
      <c r="G3292" t="s">
        <v>6575</v>
      </c>
      <c r="H3292" t="str">
        <f>"9499"</f>
        <v>9499</v>
      </c>
      <c r="I3292" t="s">
        <v>31</v>
      </c>
    </row>
    <row r="3293" spans="1:15" x14ac:dyDescent="0.3">
      <c r="A3293" t="str">
        <f>"17583853"</f>
        <v>17583853</v>
      </c>
      <c r="B3293" t="s">
        <v>6576</v>
      </c>
      <c r="C3293" t="str">
        <f t="shared" si="241"/>
        <v>706</v>
      </c>
      <c r="D3293" t="s">
        <v>28</v>
      </c>
      <c r="E3293" t="s">
        <v>52</v>
      </c>
      <c r="F3293" t="s">
        <v>52</v>
      </c>
      <c r="G3293" t="s">
        <v>1261</v>
      </c>
      <c r="H3293" t="str">
        <f>"9499"</f>
        <v>9499</v>
      </c>
      <c r="I3293" t="s">
        <v>31</v>
      </c>
    </row>
    <row r="3294" spans="1:15" x14ac:dyDescent="0.3">
      <c r="A3294" t="str">
        <f>"08977801"</f>
        <v>08977801</v>
      </c>
      <c r="B3294" t="s">
        <v>6577</v>
      </c>
      <c r="C3294" t="str">
        <f t="shared" si="241"/>
        <v>706</v>
      </c>
      <c r="D3294" t="s">
        <v>28</v>
      </c>
      <c r="E3294" t="s">
        <v>23</v>
      </c>
      <c r="F3294" t="s">
        <v>23</v>
      </c>
      <c r="G3294" t="s">
        <v>4145</v>
      </c>
      <c r="H3294" t="str">
        <f>"9499"</f>
        <v>9499</v>
      </c>
      <c r="I3294" t="s">
        <v>31</v>
      </c>
    </row>
    <row r="3295" spans="1:15" x14ac:dyDescent="0.3">
      <c r="A3295" t="str">
        <f>"07502036"</f>
        <v>07502036</v>
      </c>
      <c r="B3295" t="s">
        <v>6578</v>
      </c>
      <c r="C3295" t="str">
        <f t="shared" si="241"/>
        <v>706</v>
      </c>
      <c r="D3295" t="s">
        <v>28</v>
      </c>
      <c r="E3295" t="s">
        <v>23</v>
      </c>
      <c r="F3295" t="s">
        <v>4891</v>
      </c>
      <c r="G3295" t="s">
        <v>6579</v>
      </c>
      <c r="H3295" t="str">
        <f>"94993"</f>
        <v>94993</v>
      </c>
      <c r="I3295" t="s">
        <v>50</v>
      </c>
    </row>
    <row r="3296" spans="1:15" x14ac:dyDescent="0.3">
      <c r="A3296" t="str">
        <f>"22686037"</f>
        <v>22686037</v>
      </c>
      <c r="B3296" t="s">
        <v>6580</v>
      </c>
      <c r="C3296" t="str">
        <f t="shared" si="241"/>
        <v>706</v>
      </c>
      <c r="D3296" t="s">
        <v>28</v>
      </c>
      <c r="E3296" t="s">
        <v>83</v>
      </c>
      <c r="F3296" t="s">
        <v>83</v>
      </c>
      <c r="G3296" t="s">
        <v>6581</v>
      </c>
      <c r="H3296" t="str">
        <f>"9499"</f>
        <v>9499</v>
      </c>
      <c r="I3296" t="s">
        <v>31</v>
      </c>
      <c r="J3296" t="s">
        <v>209</v>
      </c>
      <c r="K3296" t="s">
        <v>161</v>
      </c>
      <c r="L3296" t="s">
        <v>126</v>
      </c>
    </row>
    <row r="3297" spans="1:17" x14ac:dyDescent="0.3">
      <c r="A3297" t="str">
        <f>"68688466"</f>
        <v>68688466</v>
      </c>
      <c r="B3297" t="s">
        <v>6582</v>
      </c>
      <c r="C3297" t="str">
        <f t="shared" si="241"/>
        <v>706</v>
      </c>
      <c r="D3297" t="s">
        <v>28</v>
      </c>
      <c r="E3297" t="s">
        <v>83</v>
      </c>
      <c r="F3297" t="s">
        <v>3388</v>
      </c>
      <c r="G3297" t="s">
        <v>6583</v>
      </c>
      <c r="H3297" t="str">
        <f>"93120"</f>
        <v>93120</v>
      </c>
      <c r="I3297" t="s">
        <v>54</v>
      </c>
    </row>
    <row r="3298" spans="1:17" x14ac:dyDescent="0.3">
      <c r="A3298" t="str">
        <f>"02664127"</f>
        <v>02664127</v>
      </c>
      <c r="B3298" t="s">
        <v>6584</v>
      </c>
      <c r="C3298" t="str">
        <f t="shared" si="241"/>
        <v>706</v>
      </c>
      <c r="D3298" t="s">
        <v>28</v>
      </c>
      <c r="E3298" t="s">
        <v>83</v>
      </c>
      <c r="F3298" t="s">
        <v>83</v>
      </c>
      <c r="G3298" t="s">
        <v>6585</v>
      </c>
      <c r="H3298" t="str">
        <f>"93190"</f>
        <v>93190</v>
      </c>
      <c r="I3298" t="s">
        <v>59</v>
      </c>
      <c r="J3298" t="s">
        <v>31</v>
      </c>
    </row>
    <row r="3299" spans="1:17" x14ac:dyDescent="0.3">
      <c r="A3299" t="str">
        <f>"05156408"</f>
        <v>05156408</v>
      </c>
      <c r="B3299" t="s">
        <v>6586</v>
      </c>
      <c r="C3299" t="str">
        <f t="shared" si="241"/>
        <v>706</v>
      </c>
      <c r="D3299" t="s">
        <v>28</v>
      </c>
      <c r="E3299" t="s">
        <v>23</v>
      </c>
      <c r="F3299" t="s">
        <v>459</v>
      </c>
      <c r="G3299" t="s">
        <v>6587</v>
      </c>
      <c r="H3299" t="str">
        <f>"93190"</f>
        <v>93190</v>
      </c>
      <c r="I3299" t="s">
        <v>59</v>
      </c>
      <c r="J3299" t="s">
        <v>258</v>
      </c>
      <c r="K3299" t="s">
        <v>161</v>
      </c>
      <c r="L3299" t="s">
        <v>209</v>
      </c>
    </row>
    <row r="3300" spans="1:17" x14ac:dyDescent="0.3">
      <c r="A3300" t="str">
        <f>"06604773"</f>
        <v>06604773</v>
      </c>
      <c r="B3300" t="s">
        <v>6588</v>
      </c>
      <c r="C3300" t="str">
        <f t="shared" si="241"/>
        <v>706</v>
      </c>
      <c r="D3300" t="s">
        <v>28</v>
      </c>
      <c r="E3300" t="s">
        <v>29</v>
      </c>
      <c r="F3300" t="s">
        <v>1922</v>
      </c>
      <c r="G3300" t="s">
        <v>6589</v>
      </c>
      <c r="H3300" t="str">
        <f t="shared" ref="H3300:H3312" si="242">"9499"</f>
        <v>9499</v>
      </c>
      <c r="I3300" t="s">
        <v>31</v>
      </c>
    </row>
    <row r="3301" spans="1:17" x14ac:dyDescent="0.3">
      <c r="A3301" t="str">
        <f>"29234387"</f>
        <v>29234387</v>
      </c>
      <c r="B3301" t="s">
        <v>6590</v>
      </c>
      <c r="C3301" t="str">
        <f>"141"</f>
        <v>141</v>
      </c>
      <c r="D3301" t="s">
        <v>112</v>
      </c>
      <c r="E3301" t="s">
        <v>52</v>
      </c>
      <c r="F3301" t="s">
        <v>52</v>
      </c>
      <c r="G3301" t="s">
        <v>4672</v>
      </c>
      <c r="H3301" t="str">
        <f t="shared" si="242"/>
        <v>9499</v>
      </c>
      <c r="I3301" t="s">
        <v>31</v>
      </c>
      <c r="J3301" t="s">
        <v>258</v>
      </c>
      <c r="K3301" t="s">
        <v>622</v>
      </c>
      <c r="L3301" t="s">
        <v>209</v>
      </c>
      <c r="M3301" t="s">
        <v>161</v>
      </c>
      <c r="N3301" t="s">
        <v>262</v>
      </c>
      <c r="O3301" t="s">
        <v>162</v>
      </c>
    </row>
    <row r="3302" spans="1:17" x14ac:dyDescent="0.3">
      <c r="A3302" t="str">
        <f>"22666745"</f>
        <v>22666745</v>
      </c>
      <c r="B3302" t="s">
        <v>6591</v>
      </c>
      <c r="C3302" t="str">
        <f t="shared" ref="C3302:C3312" si="243">"706"</f>
        <v>706</v>
      </c>
      <c r="D3302" t="s">
        <v>28</v>
      </c>
      <c r="E3302" t="s">
        <v>29</v>
      </c>
      <c r="F3302" t="s">
        <v>685</v>
      </c>
      <c r="G3302" t="s">
        <v>6592</v>
      </c>
      <c r="H3302" t="str">
        <f t="shared" si="242"/>
        <v>9499</v>
      </c>
      <c r="I3302" t="s">
        <v>31</v>
      </c>
    </row>
    <row r="3303" spans="1:17" x14ac:dyDescent="0.3">
      <c r="A3303" t="str">
        <f>"01467085"</f>
        <v>01467085</v>
      </c>
      <c r="B3303" t="s">
        <v>6593</v>
      </c>
      <c r="C3303" t="str">
        <f t="shared" si="243"/>
        <v>706</v>
      </c>
      <c r="D3303" t="s">
        <v>28</v>
      </c>
      <c r="E3303" t="s">
        <v>83</v>
      </c>
      <c r="F3303" t="s">
        <v>183</v>
      </c>
      <c r="G3303" t="s">
        <v>6403</v>
      </c>
      <c r="H3303" t="str">
        <f t="shared" si="242"/>
        <v>9499</v>
      </c>
      <c r="I3303" t="s">
        <v>31</v>
      </c>
    </row>
    <row r="3304" spans="1:17" x14ac:dyDescent="0.3">
      <c r="A3304" t="str">
        <f>"22182381"</f>
        <v>22182381</v>
      </c>
      <c r="B3304" t="s">
        <v>6594</v>
      </c>
      <c r="C3304" t="str">
        <f t="shared" si="243"/>
        <v>706</v>
      </c>
      <c r="D3304" t="s">
        <v>28</v>
      </c>
      <c r="E3304" t="s">
        <v>52</v>
      </c>
      <c r="F3304" t="s">
        <v>362</v>
      </c>
      <c r="G3304" t="s">
        <v>4257</v>
      </c>
      <c r="H3304" t="str">
        <f t="shared" si="242"/>
        <v>9499</v>
      </c>
      <c r="I3304" t="s">
        <v>31</v>
      </c>
      <c r="J3304" t="s">
        <v>155</v>
      </c>
      <c r="K3304" t="s">
        <v>258</v>
      </c>
      <c r="L3304" t="s">
        <v>146</v>
      </c>
      <c r="M3304" t="s">
        <v>989</v>
      </c>
      <c r="N3304" t="s">
        <v>262</v>
      </c>
      <c r="O3304" t="s">
        <v>2340</v>
      </c>
      <c r="P3304" t="s">
        <v>2300</v>
      </c>
      <c r="Q3304" t="s">
        <v>163</v>
      </c>
    </row>
    <row r="3305" spans="1:17" x14ac:dyDescent="0.3">
      <c r="A3305" t="str">
        <f>"22853758"</f>
        <v>22853758</v>
      </c>
      <c r="B3305" t="s">
        <v>6595</v>
      </c>
      <c r="C3305" t="str">
        <f t="shared" si="243"/>
        <v>706</v>
      </c>
      <c r="D3305" t="s">
        <v>28</v>
      </c>
      <c r="E3305" t="s">
        <v>83</v>
      </c>
      <c r="F3305" t="s">
        <v>520</v>
      </c>
      <c r="G3305" t="s">
        <v>6596</v>
      </c>
      <c r="H3305" t="str">
        <f t="shared" si="242"/>
        <v>9499</v>
      </c>
      <c r="I3305" t="s">
        <v>31</v>
      </c>
    </row>
    <row r="3306" spans="1:17" x14ac:dyDescent="0.3">
      <c r="A3306" t="str">
        <f>"17704812"</f>
        <v>17704812</v>
      </c>
      <c r="B3306" t="s">
        <v>6597</v>
      </c>
      <c r="C3306" t="str">
        <f t="shared" si="243"/>
        <v>706</v>
      </c>
      <c r="D3306" t="s">
        <v>28</v>
      </c>
      <c r="E3306" t="s">
        <v>52</v>
      </c>
      <c r="F3306" t="s">
        <v>951</v>
      </c>
      <c r="G3306" t="s">
        <v>6598</v>
      </c>
      <c r="H3306" t="str">
        <f t="shared" si="242"/>
        <v>9499</v>
      </c>
      <c r="I3306" t="s">
        <v>31</v>
      </c>
    </row>
    <row r="3307" spans="1:17" x14ac:dyDescent="0.3">
      <c r="A3307" t="str">
        <f>"04273061"</f>
        <v>04273061</v>
      </c>
      <c r="B3307" t="s">
        <v>6599</v>
      </c>
      <c r="C3307" t="str">
        <f t="shared" si="243"/>
        <v>706</v>
      </c>
      <c r="D3307" t="s">
        <v>28</v>
      </c>
      <c r="E3307" t="s">
        <v>23</v>
      </c>
      <c r="F3307" t="s">
        <v>141</v>
      </c>
      <c r="G3307" t="s">
        <v>6600</v>
      </c>
      <c r="H3307" t="str">
        <f t="shared" si="242"/>
        <v>9499</v>
      </c>
      <c r="I3307" t="s">
        <v>31</v>
      </c>
    </row>
    <row r="3308" spans="1:17" x14ac:dyDescent="0.3">
      <c r="A3308" t="str">
        <f>"26533481"</f>
        <v>26533481</v>
      </c>
      <c r="B3308" t="s">
        <v>6601</v>
      </c>
      <c r="C3308" t="str">
        <f t="shared" si="243"/>
        <v>706</v>
      </c>
      <c r="D3308" t="s">
        <v>28</v>
      </c>
      <c r="E3308" t="s">
        <v>52</v>
      </c>
      <c r="F3308" t="s">
        <v>864</v>
      </c>
      <c r="G3308" t="s">
        <v>864</v>
      </c>
      <c r="H3308" t="str">
        <f t="shared" si="242"/>
        <v>9499</v>
      </c>
      <c r="I3308" t="s">
        <v>31</v>
      </c>
    </row>
    <row r="3309" spans="1:17" x14ac:dyDescent="0.3">
      <c r="A3309" t="str">
        <f>"22879714"</f>
        <v>22879714</v>
      </c>
      <c r="B3309" t="s">
        <v>6602</v>
      </c>
      <c r="C3309" t="str">
        <f t="shared" si="243"/>
        <v>706</v>
      </c>
      <c r="D3309" t="s">
        <v>28</v>
      </c>
      <c r="E3309" t="s">
        <v>23</v>
      </c>
      <c r="F3309" t="s">
        <v>23</v>
      </c>
      <c r="G3309" t="s">
        <v>6603</v>
      </c>
      <c r="H3309" t="str">
        <f t="shared" si="242"/>
        <v>9499</v>
      </c>
      <c r="I3309" t="s">
        <v>31</v>
      </c>
    </row>
    <row r="3310" spans="1:17" x14ac:dyDescent="0.3">
      <c r="A3310" t="str">
        <f>"04306911"</f>
        <v>04306911</v>
      </c>
      <c r="B3310" t="s">
        <v>6604</v>
      </c>
      <c r="C3310" t="str">
        <f t="shared" si="243"/>
        <v>706</v>
      </c>
      <c r="D3310" t="s">
        <v>28</v>
      </c>
      <c r="E3310" t="s">
        <v>83</v>
      </c>
      <c r="F3310" t="s">
        <v>83</v>
      </c>
      <c r="G3310" t="s">
        <v>6605</v>
      </c>
      <c r="H3310" t="str">
        <f t="shared" si="242"/>
        <v>9499</v>
      </c>
      <c r="I3310" t="s">
        <v>31</v>
      </c>
    </row>
    <row r="3311" spans="1:17" x14ac:dyDescent="0.3">
      <c r="A3311" t="str">
        <f>"28557069"</f>
        <v>28557069</v>
      </c>
      <c r="B3311" t="s">
        <v>6606</v>
      </c>
      <c r="C3311" t="str">
        <f t="shared" si="243"/>
        <v>706</v>
      </c>
      <c r="D3311" t="s">
        <v>28</v>
      </c>
      <c r="E3311" t="s">
        <v>23</v>
      </c>
      <c r="F3311" t="s">
        <v>1697</v>
      </c>
      <c r="G3311" t="s">
        <v>5678</v>
      </c>
      <c r="H3311" t="str">
        <f t="shared" si="242"/>
        <v>9499</v>
      </c>
      <c r="I3311" t="s">
        <v>31</v>
      </c>
    </row>
    <row r="3312" spans="1:17" x14ac:dyDescent="0.3">
      <c r="A3312" t="str">
        <f>"02391899"</f>
        <v>02391899</v>
      </c>
      <c r="B3312" t="s">
        <v>6607</v>
      </c>
      <c r="C3312" t="str">
        <f t="shared" si="243"/>
        <v>706</v>
      </c>
      <c r="D3312" t="s">
        <v>28</v>
      </c>
      <c r="E3312" t="s">
        <v>52</v>
      </c>
      <c r="F3312" t="s">
        <v>52</v>
      </c>
      <c r="G3312" t="s">
        <v>6608</v>
      </c>
      <c r="H3312" t="str">
        <f t="shared" si="242"/>
        <v>9499</v>
      </c>
      <c r="I3312" t="s">
        <v>31</v>
      </c>
    </row>
    <row r="3313" spans="1:13" x14ac:dyDescent="0.3">
      <c r="A3313" t="str">
        <f>"26973472"</f>
        <v>26973472</v>
      </c>
      <c r="B3313" t="s">
        <v>6609</v>
      </c>
      <c r="C3313" t="str">
        <f>"141"</f>
        <v>141</v>
      </c>
      <c r="D3313" t="s">
        <v>112</v>
      </c>
      <c r="E3313" t="s">
        <v>23</v>
      </c>
      <c r="F3313" t="s">
        <v>23</v>
      </c>
      <c r="G3313" t="s">
        <v>6610</v>
      </c>
      <c r="H3313" t="str">
        <f>"86909"</f>
        <v>86909</v>
      </c>
      <c r="I3313" t="s">
        <v>1176</v>
      </c>
      <c r="J3313" t="s">
        <v>154</v>
      </c>
    </row>
    <row r="3314" spans="1:13" x14ac:dyDescent="0.3">
      <c r="A3314" t="str">
        <f>"05341841"</f>
        <v>05341841</v>
      </c>
      <c r="B3314" t="s">
        <v>6611</v>
      </c>
      <c r="C3314" t="str">
        <f>"706"</f>
        <v>706</v>
      </c>
      <c r="D3314" t="s">
        <v>28</v>
      </c>
      <c r="E3314" t="s">
        <v>52</v>
      </c>
      <c r="F3314" t="s">
        <v>113</v>
      </c>
      <c r="G3314" t="s">
        <v>6612</v>
      </c>
      <c r="H3314" t="str">
        <f>"94999"</f>
        <v>94999</v>
      </c>
      <c r="I3314" t="s">
        <v>202</v>
      </c>
    </row>
    <row r="3315" spans="1:13" x14ac:dyDescent="0.3">
      <c r="A3315" t="str">
        <f>"22857630"</f>
        <v>22857630</v>
      </c>
      <c r="B3315" t="s">
        <v>6613</v>
      </c>
      <c r="C3315" t="str">
        <f>"706"</f>
        <v>706</v>
      </c>
      <c r="D3315" t="s">
        <v>28</v>
      </c>
      <c r="E3315" t="s">
        <v>29</v>
      </c>
      <c r="F3315" t="s">
        <v>29</v>
      </c>
      <c r="G3315" t="s">
        <v>6614</v>
      </c>
      <c r="H3315" t="str">
        <f>"9499"</f>
        <v>9499</v>
      </c>
      <c r="I3315" t="s">
        <v>31</v>
      </c>
    </row>
    <row r="3316" spans="1:13" x14ac:dyDescent="0.3">
      <c r="A3316" t="str">
        <f>"62832751"</f>
        <v>62832751</v>
      </c>
      <c r="B3316" t="s">
        <v>6615</v>
      </c>
      <c r="C3316" t="str">
        <f>"706"</f>
        <v>706</v>
      </c>
      <c r="D3316" t="s">
        <v>28</v>
      </c>
      <c r="E3316" t="s">
        <v>52</v>
      </c>
      <c r="F3316" t="s">
        <v>379</v>
      </c>
      <c r="G3316" t="s">
        <v>2679</v>
      </c>
      <c r="H3316" t="str">
        <f>"9499"</f>
        <v>9499</v>
      </c>
      <c r="I3316" t="s">
        <v>31</v>
      </c>
    </row>
    <row r="3317" spans="1:13" x14ac:dyDescent="0.3">
      <c r="A3317" t="str">
        <f>"02457041"</f>
        <v>02457041</v>
      </c>
      <c r="B3317" t="s">
        <v>6616</v>
      </c>
      <c r="C3317" t="str">
        <f>"141"</f>
        <v>141</v>
      </c>
      <c r="D3317" t="s">
        <v>112</v>
      </c>
      <c r="E3317" t="s">
        <v>52</v>
      </c>
      <c r="F3317" t="s">
        <v>234</v>
      </c>
      <c r="G3317" t="s">
        <v>6617</v>
      </c>
      <c r="H3317" t="str">
        <f>"141"</f>
        <v>141</v>
      </c>
      <c r="I3317" t="s">
        <v>496</v>
      </c>
      <c r="J3317" t="s">
        <v>258</v>
      </c>
      <c r="K3317" t="s">
        <v>156</v>
      </c>
      <c r="L3317" t="s">
        <v>260</v>
      </c>
      <c r="M3317" t="s">
        <v>622</v>
      </c>
    </row>
    <row r="3318" spans="1:13" x14ac:dyDescent="0.3">
      <c r="A3318" t="str">
        <f>"26559803"</f>
        <v>26559803</v>
      </c>
      <c r="B3318" t="s">
        <v>6618</v>
      </c>
      <c r="C3318" t="str">
        <f>"706"</f>
        <v>706</v>
      </c>
      <c r="D3318" t="s">
        <v>28</v>
      </c>
      <c r="E3318" t="s">
        <v>29</v>
      </c>
      <c r="F3318" t="s">
        <v>2532</v>
      </c>
      <c r="G3318" t="s">
        <v>6619</v>
      </c>
      <c r="H3318" t="str">
        <f>"9499"</f>
        <v>9499</v>
      </c>
      <c r="I3318" t="s">
        <v>31</v>
      </c>
    </row>
    <row r="3319" spans="1:13" x14ac:dyDescent="0.3">
      <c r="A3319" t="str">
        <f>"14372088"</f>
        <v>14372088</v>
      </c>
      <c r="B3319" t="s">
        <v>6620</v>
      </c>
      <c r="C3319" t="str">
        <f>"706"</f>
        <v>706</v>
      </c>
      <c r="D3319" t="s">
        <v>28</v>
      </c>
      <c r="E3319" t="s">
        <v>83</v>
      </c>
      <c r="F3319" t="s">
        <v>881</v>
      </c>
      <c r="G3319" t="s">
        <v>6621</v>
      </c>
      <c r="H3319" t="str">
        <f>"9499"</f>
        <v>9499</v>
      </c>
      <c r="I3319" t="s">
        <v>31</v>
      </c>
    </row>
    <row r="3320" spans="1:13" x14ac:dyDescent="0.3">
      <c r="A3320" t="str">
        <f>"26985667"</f>
        <v>26985667</v>
      </c>
      <c r="B3320" t="s">
        <v>6622</v>
      </c>
      <c r="C3320" t="str">
        <f>"706"</f>
        <v>706</v>
      </c>
      <c r="D3320" t="s">
        <v>28</v>
      </c>
      <c r="E3320" t="s">
        <v>52</v>
      </c>
      <c r="F3320" t="s">
        <v>344</v>
      </c>
      <c r="G3320" t="s">
        <v>6623</v>
      </c>
      <c r="H3320" t="str">
        <f>"93120"</f>
        <v>93120</v>
      </c>
      <c r="I3320" t="s">
        <v>54</v>
      </c>
    </row>
    <row r="3321" spans="1:13" x14ac:dyDescent="0.3">
      <c r="A3321" t="str">
        <f>"26928060"</f>
        <v>26928060</v>
      </c>
      <c r="B3321" t="s">
        <v>6624</v>
      </c>
      <c r="C3321" t="str">
        <f>"141"</f>
        <v>141</v>
      </c>
      <c r="D3321" t="s">
        <v>112</v>
      </c>
      <c r="E3321" t="s">
        <v>52</v>
      </c>
      <c r="F3321" t="s">
        <v>52</v>
      </c>
      <c r="G3321" t="s">
        <v>6625</v>
      </c>
      <c r="H3321" t="str">
        <f>"879"</f>
        <v>879</v>
      </c>
      <c r="I3321" t="s">
        <v>1187</v>
      </c>
      <c r="J3321" t="s">
        <v>154</v>
      </c>
    </row>
    <row r="3322" spans="1:13" x14ac:dyDescent="0.3">
      <c r="A3322" t="str">
        <f>"19371985"</f>
        <v>19371985</v>
      </c>
      <c r="B3322" t="s">
        <v>6626</v>
      </c>
      <c r="C3322" t="str">
        <f t="shared" ref="C3322:C3340" si="244">"706"</f>
        <v>706</v>
      </c>
      <c r="D3322" t="s">
        <v>28</v>
      </c>
      <c r="E3322" t="s">
        <v>29</v>
      </c>
      <c r="F3322" t="s">
        <v>29</v>
      </c>
      <c r="G3322" t="s">
        <v>6627</v>
      </c>
      <c r="H3322" t="str">
        <f>"9499"</f>
        <v>9499</v>
      </c>
      <c r="I3322" t="s">
        <v>31</v>
      </c>
    </row>
    <row r="3323" spans="1:13" x14ac:dyDescent="0.3">
      <c r="A3323" t="str">
        <f>"48773841"</f>
        <v>48773841</v>
      </c>
      <c r="B3323" t="s">
        <v>6628</v>
      </c>
      <c r="C3323" t="str">
        <f t="shared" si="244"/>
        <v>706</v>
      </c>
      <c r="D3323" t="s">
        <v>28</v>
      </c>
      <c r="E3323" t="s">
        <v>29</v>
      </c>
      <c r="F3323" t="s">
        <v>29</v>
      </c>
      <c r="G3323" t="s">
        <v>4269</v>
      </c>
      <c r="H3323" t="str">
        <f>"93290"</f>
        <v>93290</v>
      </c>
      <c r="I3323" t="s">
        <v>126</v>
      </c>
    </row>
    <row r="3324" spans="1:13" x14ac:dyDescent="0.3">
      <c r="A3324" t="str">
        <f>"70835292"</f>
        <v>70835292</v>
      </c>
      <c r="B3324" t="s">
        <v>6629</v>
      </c>
      <c r="C3324" t="str">
        <f t="shared" si="244"/>
        <v>706</v>
      </c>
      <c r="D3324" t="s">
        <v>28</v>
      </c>
      <c r="E3324" t="s">
        <v>52</v>
      </c>
      <c r="F3324" t="s">
        <v>344</v>
      </c>
      <c r="G3324" t="s">
        <v>6630</v>
      </c>
      <c r="H3324" t="str">
        <f t="shared" ref="H3324:H3335" si="245">"9499"</f>
        <v>9499</v>
      </c>
      <c r="I3324" t="s">
        <v>31</v>
      </c>
    </row>
    <row r="3325" spans="1:13" x14ac:dyDescent="0.3">
      <c r="A3325" t="str">
        <f>"27057810"</f>
        <v>27057810</v>
      </c>
      <c r="B3325" t="s">
        <v>6631</v>
      </c>
      <c r="C3325" t="str">
        <f t="shared" si="244"/>
        <v>706</v>
      </c>
      <c r="D3325" t="s">
        <v>28</v>
      </c>
      <c r="E3325" t="s">
        <v>23</v>
      </c>
      <c r="F3325" t="s">
        <v>350</v>
      </c>
      <c r="G3325" t="s">
        <v>6632</v>
      </c>
      <c r="H3325" t="str">
        <f t="shared" si="245"/>
        <v>9499</v>
      </c>
      <c r="I3325" t="s">
        <v>31</v>
      </c>
    </row>
    <row r="3326" spans="1:13" x14ac:dyDescent="0.3">
      <c r="A3326" t="str">
        <f>"27019594"</f>
        <v>27019594</v>
      </c>
      <c r="B3326" t="s">
        <v>6633</v>
      </c>
      <c r="C3326" t="str">
        <f t="shared" si="244"/>
        <v>706</v>
      </c>
      <c r="D3326" t="s">
        <v>28</v>
      </c>
      <c r="E3326" t="s">
        <v>23</v>
      </c>
      <c r="F3326" t="s">
        <v>23</v>
      </c>
      <c r="G3326" t="s">
        <v>6634</v>
      </c>
      <c r="H3326" t="str">
        <f t="shared" si="245"/>
        <v>9499</v>
      </c>
      <c r="I3326" t="s">
        <v>31</v>
      </c>
    </row>
    <row r="3327" spans="1:13" x14ac:dyDescent="0.3">
      <c r="A3327" t="str">
        <f>"60575361"</f>
        <v>60575361</v>
      </c>
      <c r="B3327" t="s">
        <v>6635</v>
      </c>
      <c r="C3327" t="str">
        <f t="shared" si="244"/>
        <v>706</v>
      </c>
      <c r="D3327" t="s">
        <v>28</v>
      </c>
      <c r="E3327" t="s">
        <v>83</v>
      </c>
      <c r="F3327" t="s">
        <v>130</v>
      </c>
      <c r="G3327" t="s">
        <v>6636</v>
      </c>
      <c r="H3327" t="str">
        <f t="shared" si="245"/>
        <v>9499</v>
      </c>
      <c r="I3327" t="s">
        <v>31</v>
      </c>
      <c r="J3327" t="s">
        <v>161</v>
      </c>
      <c r="K3327" t="s">
        <v>1252</v>
      </c>
      <c r="L3327" t="s">
        <v>209</v>
      </c>
    </row>
    <row r="3328" spans="1:13" x14ac:dyDescent="0.3">
      <c r="A3328" t="str">
        <f>"17351863"</f>
        <v>17351863</v>
      </c>
      <c r="B3328" t="s">
        <v>6637</v>
      </c>
      <c r="C3328" t="str">
        <f t="shared" si="244"/>
        <v>706</v>
      </c>
      <c r="D3328" t="s">
        <v>28</v>
      </c>
      <c r="E3328" t="s">
        <v>29</v>
      </c>
      <c r="F3328" t="s">
        <v>195</v>
      </c>
      <c r="G3328" t="s">
        <v>1350</v>
      </c>
      <c r="H3328" t="str">
        <f t="shared" si="245"/>
        <v>9499</v>
      </c>
      <c r="I3328" t="s">
        <v>31</v>
      </c>
    </row>
    <row r="3329" spans="1:9" x14ac:dyDescent="0.3">
      <c r="A3329" t="str">
        <f>"48491390"</f>
        <v>48491390</v>
      </c>
      <c r="B3329" t="s">
        <v>6638</v>
      </c>
      <c r="C3329" t="str">
        <f t="shared" si="244"/>
        <v>706</v>
      </c>
      <c r="D3329" t="s">
        <v>28</v>
      </c>
      <c r="E3329" t="s">
        <v>52</v>
      </c>
      <c r="F3329" t="s">
        <v>113</v>
      </c>
      <c r="G3329" t="s">
        <v>570</v>
      </c>
      <c r="H3329" t="str">
        <f t="shared" si="245"/>
        <v>9499</v>
      </c>
      <c r="I3329" t="s">
        <v>31</v>
      </c>
    </row>
    <row r="3330" spans="1:9" x14ac:dyDescent="0.3">
      <c r="A3330" t="str">
        <f>"26984008"</f>
        <v>26984008</v>
      </c>
      <c r="B3330" t="s">
        <v>6639</v>
      </c>
      <c r="C3330" t="str">
        <f t="shared" si="244"/>
        <v>706</v>
      </c>
      <c r="D3330" t="s">
        <v>28</v>
      </c>
      <c r="E3330" t="s">
        <v>29</v>
      </c>
      <c r="F3330" t="s">
        <v>195</v>
      </c>
      <c r="G3330" t="s">
        <v>6640</v>
      </c>
      <c r="H3330" t="str">
        <f t="shared" si="245"/>
        <v>9499</v>
      </c>
      <c r="I3330" t="s">
        <v>31</v>
      </c>
    </row>
    <row r="3331" spans="1:9" x14ac:dyDescent="0.3">
      <c r="A3331" t="str">
        <f>"01278169"</f>
        <v>01278169</v>
      </c>
      <c r="B3331" t="s">
        <v>6641</v>
      </c>
      <c r="C3331" t="str">
        <f t="shared" si="244"/>
        <v>706</v>
      </c>
      <c r="D3331" t="s">
        <v>28</v>
      </c>
      <c r="E3331" t="s">
        <v>23</v>
      </c>
      <c r="F3331" t="s">
        <v>23</v>
      </c>
      <c r="G3331" t="s">
        <v>6634</v>
      </c>
      <c r="H3331" t="str">
        <f t="shared" si="245"/>
        <v>9499</v>
      </c>
      <c r="I3331" t="s">
        <v>31</v>
      </c>
    </row>
    <row r="3332" spans="1:9" x14ac:dyDescent="0.3">
      <c r="A3332" t="str">
        <f>"22908854"</f>
        <v>22908854</v>
      </c>
      <c r="B3332" t="s">
        <v>6642</v>
      </c>
      <c r="C3332" t="str">
        <f t="shared" si="244"/>
        <v>706</v>
      </c>
      <c r="D3332" t="s">
        <v>28</v>
      </c>
      <c r="E3332" t="s">
        <v>83</v>
      </c>
      <c r="F3332" t="s">
        <v>83</v>
      </c>
      <c r="G3332" t="s">
        <v>6643</v>
      </c>
      <c r="H3332" t="str">
        <f t="shared" si="245"/>
        <v>9499</v>
      </c>
      <c r="I3332" t="s">
        <v>31</v>
      </c>
    </row>
    <row r="3333" spans="1:9" x14ac:dyDescent="0.3">
      <c r="A3333" t="str">
        <f>"28551893"</f>
        <v>28551893</v>
      </c>
      <c r="B3333" t="s">
        <v>6644</v>
      </c>
      <c r="C3333" t="str">
        <f t="shared" si="244"/>
        <v>706</v>
      </c>
      <c r="D3333" t="s">
        <v>28</v>
      </c>
      <c r="E3333" t="s">
        <v>29</v>
      </c>
      <c r="F3333" t="s">
        <v>1888</v>
      </c>
      <c r="G3333" t="s">
        <v>6645</v>
      </c>
      <c r="H3333" t="str">
        <f t="shared" si="245"/>
        <v>9499</v>
      </c>
      <c r="I3333" t="s">
        <v>31</v>
      </c>
    </row>
    <row r="3334" spans="1:9" x14ac:dyDescent="0.3">
      <c r="A3334" t="str">
        <f>"70927928"</f>
        <v>70927928</v>
      </c>
      <c r="B3334" t="s">
        <v>6646</v>
      </c>
      <c r="C3334" t="str">
        <f t="shared" si="244"/>
        <v>706</v>
      </c>
      <c r="D3334" t="s">
        <v>28</v>
      </c>
      <c r="E3334" t="s">
        <v>23</v>
      </c>
      <c r="F3334" t="s">
        <v>23</v>
      </c>
      <c r="G3334" t="s">
        <v>6647</v>
      </c>
      <c r="H3334" t="str">
        <f t="shared" si="245"/>
        <v>9499</v>
      </c>
      <c r="I3334" t="s">
        <v>31</v>
      </c>
    </row>
    <row r="3335" spans="1:9" x14ac:dyDescent="0.3">
      <c r="A3335" t="str">
        <f>"70862702"</f>
        <v>70862702</v>
      </c>
      <c r="B3335" t="s">
        <v>6648</v>
      </c>
      <c r="C3335" t="str">
        <f t="shared" si="244"/>
        <v>706</v>
      </c>
      <c r="D3335" t="s">
        <v>28</v>
      </c>
      <c r="E3335" t="s">
        <v>83</v>
      </c>
      <c r="F3335" t="s">
        <v>537</v>
      </c>
      <c r="G3335" t="s">
        <v>6649</v>
      </c>
      <c r="H3335" t="str">
        <f t="shared" si="245"/>
        <v>9499</v>
      </c>
      <c r="I3335" t="s">
        <v>31</v>
      </c>
    </row>
    <row r="3336" spans="1:9" x14ac:dyDescent="0.3">
      <c r="A3336" t="str">
        <f>"47997711"</f>
        <v>47997711</v>
      </c>
      <c r="B3336" t="s">
        <v>6650</v>
      </c>
      <c r="C3336" t="str">
        <f t="shared" si="244"/>
        <v>706</v>
      </c>
      <c r="D3336" t="s">
        <v>28</v>
      </c>
      <c r="E3336" t="s">
        <v>29</v>
      </c>
      <c r="F3336" t="s">
        <v>29</v>
      </c>
      <c r="G3336" t="s">
        <v>6651</v>
      </c>
      <c r="H3336" t="str">
        <f>"90010"</f>
        <v>90010</v>
      </c>
      <c r="I3336" t="s">
        <v>2014</v>
      </c>
    </row>
    <row r="3337" spans="1:9" x14ac:dyDescent="0.3">
      <c r="A3337" t="str">
        <f>"28555490"</f>
        <v>28555490</v>
      </c>
      <c r="B3337" t="s">
        <v>6652</v>
      </c>
      <c r="C3337" t="str">
        <f t="shared" si="244"/>
        <v>706</v>
      </c>
      <c r="D3337" t="s">
        <v>28</v>
      </c>
      <c r="E3337" t="s">
        <v>83</v>
      </c>
      <c r="F3337" t="s">
        <v>175</v>
      </c>
      <c r="G3337" t="s">
        <v>6653</v>
      </c>
      <c r="H3337" t="str">
        <f>"9499"</f>
        <v>9499</v>
      </c>
      <c r="I3337" t="s">
        <v>31</v>
      </c>
    </row>
    <row r="3338" spans="1:9" x14ac:dyDescent="0.3">
      <c r="A3338" t="str">
        <f>"23217138"</f>
        <v>23217138</v>
      </c>
      <c r="B3338" t="s">
        <v>6654</v>
      </c>
      <c r="C3338" t="str">
        <f t="shared" si="244"/>
        <v>706</v>
      </c>
      <c r="D3338" t="s">
        <v>28</v>
      </c>
      <c r="E3338" t="s">
        <v>29</v>
      </c>
      <c r="F3338" t="s">
        <v>2532</v>
      </c>
      <c r="G3338" t="s">
        <v>6655</v>
      </c>
      <c r="H3338" t="str">
        <f>"9499"</f>
        <v>9499</v>
      </c>
      <c r="I3338" t="s">
        <v>31</v>
      </c>
    </row>
    <row r="3339" spans="1:9" x14ac:dyDescent="0.3">
      <c r="A3339" t="str">
        <f>"22234799"</f>
        <v>22234799</v>
      </c>
      <c r="B3339" t="s">
        <v>6656</v>
      </c>
      <c r="C3339" t="str">
        <f t="shared" si="244"/>
        <v>706</v>
      </c>
      <c r="D3339" t="s">
        <v>28</v>
      </c>
      <c r="E3339" t="s">
        <v>23</v>
      </c>
      <c r="F3339" t="s">
        <v>23</v>
      </c>
      <c r="G3339" t="s">
        <v>6657</v>
      </c>
      <c r="H3339" t="str">
        <f>"93190"</f>
        <v>93190</v>
      </c>
      <c r="I3339" t="s">
        <v>59</v>
      </c>
    </row>
    <row r="3340" spans="1:9" x14ac:dyDescent="0.3">
      <c r="A3340" t="str">
        <f>"22714642"</f>
        <v>22714642</v>
      </c>
      <c r="B3340" t="s">
        <v>6658</v>
      </c>
      <c r="C3340" t="str">
        <f t="shared" si="244"/>
        <v>706</v>
      </c>
      <c r="D3340" t="s">
        <v>28</v>
      </c>
      <c r="E3340" t="s">
        <v>52</v>
      </c>
      <c r="F3340" t="s">
        <v>52</v>
      </c>
      <c r="G3340" t="s">
        <v>6659</v>
      </c>
      <c r="H3340" t="str">
        <f t="shared" ref="H3340:H3351" si="246">"94991"</f>
        <v>94991</v>
      </c>
      <c r="I3340" t="s">
        <v>433</v>
      </c>
    </row>
    <row r="3341" spans="1:9" x14ac:dyDescent="0.3">
      <c r="A3341" t="str">
        <f>"70435545"</f>
        <v>70435545</v>
      </c>
      <c r="B3341" t="s">
        <v>6660</v>
      </c>
      <c r="C3341" t="str">
        <f t="shared" ref="C3341:C3351" si="247">"736"</f>
        <v>736</v>
      </c>
      <c r="D3341" t="s">
        <v>22</v>
      </c>
      <c r="E3341" t="s">
        <v>83</v>
      </c>
      <c r="F3341" t="s">
        <v>83</v>
      </c>
      <c r="G3341" t="s">
        <v>4045</v>
      </c>
      <c r="H3341" t="str">
        <f t="shared" si="246"/>
        <v>94991</v>
      </c>
      <c r="I3341" t="s">
        <v>433</v>
      </c>
    </row>
    <row r="3342" spans="1:9" x14ac:dyDescent="0.3">
      <c r="A3342" t="str">
        <f>"67006531"</f>
        <v>67006531</v>
      </c>
      <c r="B3342" t="s">
        <v>6661</v>
      </c>
      <c r="C3342" t="str">
        <f t="shared" si="247"/>
        <v>736</v>
      </c>
      <c r="D3342" t="s">
        <v>22</v>
      </c>
      <c r="E3342" t="s">
        <v>83</v>
      </c>
      <c r="F3342" t="s">
        <v>175</v>
      </c>
      <c r="G3342" t="s">
        <v>6662</v>
      </c>
      <c r="H3342" t="str">
        <f t="shared" si="246"/>
        <v>94991</v>
      </c>
      <c r="I3342" t="s">
        <v>433</v>
      </c>
    </row>
    <row r="3343" spans="1:9" x14ac:dyDescent="0.3">
      <c r="A3343" t="str">
        <f>"67029698"</f>
        <v>67029698</v>
      </c>
      <c r="B3343" t="s">
        <v>6663</v>
      </c>
      <c r="C3343" t="str">
        <f t="shared" si="247"/>
        <v>736</v>
      </c>
      <c r="D3343" t="s">
        <v>22</v>
      </c>
      <c r="E3343" t="s">
        <v>83</v>
      </c>
      <c r="F3343" t="s">
        <v>183</v>
      </c>
      <c r="G3343" t="s">
        <v>6664</v>
      </c>
      <c r="H3343" t="str">
        <f t="shared" si="246"/>
        <v>94991</v>
      </c>
      <c r="I3343" t="s">
        <v>433</v>
      </c>
    </row>
    <row r="3344" spans="1:9" x14ac:dyDescent="0.3">
      <c r="A3344" t="str">
        <f>"65792858"</f>
        <v>65792858</v>
      </c>
      <c r="B3344" t="s">
        <v>6665</v>
      </c>
      <c r="C3344" t="str">
        <f t="shared" si="247"/>
        <v>736</v>
      </c>
      <c r="D3344" t="s">
        <v>22</v>
      </c>
      <c r="E3344" t="s">
        <v>23</v>
      </c>
      <c r="F3344" t="s">
        <v>23</v>
      </c>
      <c r="G3344" t="s">
        <v>6666</v>
      </c>
      <c r="H3344" t="str">
        <f t="shared" si="246"/>
        <v>94991</v>
      </c>
      <c r="I3344" t="s">
        <v>433</v>
      </c>
    </row>
    <row r="3345" spans="1:26" x14ac:dyDescent="0.3">
      <c r="A3345" t="str">
        <f>"67006566"</f>
        <v>67006566</v>
      </c>
      <c r="B3345" t="s">
        <v>6667</v>
      </c>
      <c r="C3345" t="str">
        <f t="shared" si="247"/>
        <v>736</v>
      </c>
      <c r="D3345" t="s">
        <v>22</v>
      </c>
      <c r="E3345" t="s">
        <v>83</v>
      </c>
      <c r="F3345" t="s">
        <v>480</v>
      </c>
      <c r="G3345" t="s">
        <v>6668</v>
      </c>
      <c r="H3345" t="str">
        <f t="shared" si="246"/>
        <v>94991</v>
      </c>
      <c r="I3345" t="s">
        <v>433</v>
      </c>
    </row>
    <row r="3346" spans="1:26" x14ac:dyDescent="0.3">
      <c r="A3346" t="str">
        <f>"68898738"</f>
        <v>68898738</v>
      </c>
      <c r="B3346" t="s">
        <v>6669</v>
      </c>
      <c r="C3346" t="str">
        <f t="shared" si="247"/>
        <v>736</v>
      </c>
      <c r="D3346" t="s">
        <v>22</v>
      </c>
      <c r="E3346" t="s">
        <v>29</v>
      </c>
      <c r="F3346" t="s">
        <v>390</v>
      </c>
      <c r="G3346" t="s">
        <v>6670</v>
      </c>
      <c r="H3346" t="str">
        <f t="shared" si="246"/>
        <v>94991</v>
      </c>
      <c r="I3346" t="s">
        <v>433</v>
      </c>
    </row>
    <row r="3347" spans="1:26" x14ac:dyDescent="0.3">
      <c r="A3347" t="str">
        <f>"67006540"</f>
        <v>67006540</v>
      </c>
      <c r="B3347" t="s">
        <v>6671</v>
      </c>
      <c r="C3347" t="str">
        <f t="shared" si="247"/>
        <v>736</v>
      </c>
      <c r="D3347" t="s">
        <v>22</v>
      </c>
      <c r="E3347" t="s">
        <v>83</v>
      </c>
      <c r="F3347" t="s">
        <v>1635</v>
      </c>
      <c r="G3347" t="s">
        <v>6672</v>
      </c>
      <c r="H3347" t="str">
        <f t="shared" si="246"/>
        <v>94991</v>
      </c>
      <c r="I3347" t="s">
        <v>433</v>
      </c>
    </row>
    <row r="3348" spans="1:26" x14ac:dyDescent="0.3">
      <c r="A3348" t="str">
        <f>"09828656"</f>
        <v>09828656</v>
      </c>
      <c r="B3348" t="s">
        <v>6673</v>
      </c>
      <c r="C3348" t="str">
        <f t="shared" si="247"/>
        <v>736</v>
      </c>
      <c r="D3348" t="s">
        <v>22</v>
      </c>
      <c r="E3348" t="s">
        <v>83</v>
      </c>
      <c r="F3348" t="s">
        <v>3361</v>
      </c>
      <c r="G3348" t="s">
        <v>6674</v>
      </c>
      <c r="H3348" t="str">
        <f t="shared" si="246"/>
        <v>94991</v>
      </c>
      <c r="I3348" t="s">
        <v>433</v>
      </c>
    </row>
    <row r="3349" spans="1:26" x14ac:dyDescent="0.3">
      <c r="A3349" t="str">
        <f>"00530930"</f>
        <v>00530930</v>
      </c>
      <c r="B3349" t="s">
        <v>6675</v>
      </c>
      <c r="C3349" t="str">
        <f t="shared" si="247"/>
        <v>736</v>
      </c>
      <c r="D3349" t="s">
        <v>22</v>
      </c>
      <c r="E3349" t="s">
        <v>83</v>
      </c>
      <c r="F3349" t="s">
        <v>83</v>
      </c>
      <c r="G3349" t="s">
        <v>4045</v>
      </c>
      <c r="H3349" t="str">
        <f t="shared" si="246"/>
        <v>94991</v>
      </c>
      <c r="I3349" t="s">
        <v>433</v>
      </c>
    </row>
    <row r="3350" spans="1:26" x14ac:dyDescent="0.3">
      <c r="A3350" t="str">
        <f>"68687583"</f>
        <v>68687583</v>
      </c>
      <c r="B3350" t="s">
        <v>6676</v>
      </c>
      <c r="C3350" t="str">
        <f t="shared" si="247"/>
        <v>736</v>
      </c>
      <c r="D3350" t="s">
        <v>22</v>
      </c>
      <c r="E3350" t="s">
        <v>52</v>
      </c>
      <c r="F3350" t="s">
        <v>234</v>
      </c>
      <c r="G3350" t="s">
        <v>6677</v>
      </c>
      <c r="H3350" t="str">
        <f t="shared" si="246"/>
        <v>94991</v>
      </c>
      <c r="I3350" t="s">
        <v>433</v>
      </c>
    </row>
    <row r="3351" spans="1:26" x14ac:dyDescent="0.3">
      <c r="A3351" t="str">
        <f>"67006523"</f>
        <v>67006523</v>
      </c>
      <c r="B3351" t="s">
        <v>6678</v>
      </c>
      <c r="C3351" t="str">
        <f t="shared" si="247"/>
        <v>736</v>
      </c>
      <c r="D3351" t="s">
        <v>22</v>
      </c>
      <c r="E3351" t="s">
        <v>83</v>
      </c>
      <c r="F3351" t="s">
        <v>83</v>
      </c>
      <c r="G3351" t="s">
        <v>4045</v>
      </c>
      <c r="H3351" t="str">
        <f t="shared" si="246"/>
        <v>94991</v>
      </c>
      <c r="I3351" t="s">
        <v>433</v>
      </c>
    </row>
    <row r="3352" spans="1:26" x14ac:dyDescent="0.3">
      <c r="A3352" t="str">
        <f>"09132333"</f>
        <v>09132333</v>
      </c>
      <c r="B3352" t="s">
        <v>6679</v>
      </c>
      <c r="C3352" t="str">
        <f t="shared" ref="C3352:C3366" si="248">"706"</f>
        <v>706</v>
      </c>
      <c r="D3352" t="s">
        <v>28</v>
      </c>
      <c r="E3352" t="s">
        <v>52</v>
      </c>
      <c r="F3352" t="s">
        <v>1229</v>
      </c>
      <c r="G3352" t="s">
        <v>6680</v>
      </c>
      <c r="H3352" t="str">
        <f>"9499"</f>
        <v>9499</v>
      </c>
      <c r="I3352" t="s">
        <v>31</v>
      </c>
    </row>
    <row r="3353" spans="1:26" x14ac:dyDescent="0.3">
      <c r="A3353" t="str">
        <f>"65268024"</f>
        <v>65268024</v>
      </c>
      <c r="B3353" t="s">
        <v>6681</v>
      </c>
      <c r="C3353" t="str">
        <f t="shared" si="248"/>
        <v>706</v>
      </c>
      <c r="D3353" t="s">
        <v>28</v>
      </c>
      <c r="E3353" t="s">
        <v>23</v>
      </c>
      <c r="F3353" t="s">
        <v>23</v>
      </c>
      <c r="G3353" t="s">
        <v>6682</v>
      </c>
      <c r="H3353" t="str">
        <f>"9499"</f>
        <v>9499</v>
      </c>
      <c r="I3353" t="s">
        <v>31</v>
      </c>
    </row>
    <row r="3354" spans="1:26" x14ac:dyDescent="0.3">
      <c r="A3354" t="str">
        <f>"04102703"</f>
        <v>04102703</v>
      </c>
      <c r="B3354" t="s">
        <v>6683</v>
      </c>
      <c r="C3354" t="str">
        <f t="shared" si="248"/>
        <v>706</v>
      </c>
      <c r="D3354" t="s">
        <v>28</v>
      </c>
      <c r="E3354" t="s">
        <v>52</v>
      </c>
      <c r="F3354" t="s">
        <v>1765</v>
      </c>
      <c r="G3354" t="s">
        <v>6684</v>
      </c>
      <c r="H3354" t="str">
        <f>"9499"</f>
        <v>9499</v>
      </c>
      <c r="I3354" t="s">
        <v>31</v>
      </c>
    </row>
    <row r="3355" spans="1:26" x14ac:dyDescent="0.3">
      <c r="A3355" t="str">
        <f>"05452589"</f>
        <v>05452589</v>
      </c>
      <c r="B3355" t="s">
        <v>6685</v>
      </c>
      <c r="C3355" t="str">
        <f t="shared" si="248"/>
        <v>706</v>
      </c>
      <c r="D3355" t="s">
        <v>28</v>
      </c>
      <c r="E3355" t="s">
        <v>29</v>
      </c>
      <c r="F3355" t="s">
        <v>2177</v>
      </c>
      <c r="G3355" t="s">
        <v>6686</v>
      </c>
      <c r="H3355" t="str">
        <f>"9499"</f>
        <v>9499</v>
      </c>
      <c r="I3355" t="s">
        <v>31</v>
      </c>
    </row>
    <row r="3356" spans="1:26" x14ac:dyDescent="0.3">
      <c r="A3356" t="str">
        <f>"08695571"</f>
        <v>08695571</v>
      </c>
      <c r="B3356" t="s">
        <v>6687</v>
      </c>
      <c r="C3356" t="str">
        <f t="shared" si="248"/>
        <v>706</v>
      </c>
      <c r="D3356" t="s">
        <v>28</v>
      </c>
      <c r="E3356" t="s">
        <v>23</v>
      </c>
      <c r="F3356" t="s">
        <v>2429</v>
      </c>
      <c r="G3356" t="s">
        <v>6688</v>
      </c>
      <c r="H3356" t="str">
        <f>"9499"</f>
        <v>9499</v>
      </c>
      <c r="I3356" t="s">
        <v>31</v>
      </c>
    </row>
    <row r="3357" spans="1:26" x14ac:dyDescent="0.3">
      <c r="A3357" t="str">
        <f>"75074141"</f>
        <v>75074141</v>
      </c>
      <c r="B3357" t="s">
        <v>6689</v>
      </c>
      <c r="C3357" t="str">
        <f t="shared" si="248"/>
        <v>706</v>
      </c>
      <c r="D3357" t="s">
        <v>28</v>
      </c>
      <c r="E3357" t="s">
        <v>23</v>
      </c>
      <c r="F3357" t="s">
        <v>23</v>
      </c>
      <c r="G3357" t="s">
        <v>1145</v>
      </c>
      <c r="H3357" t="str">
        <f>"94110"</f>
        <v>94110</v>
      </c>
      <c r="I3357" t="s">
        <v>3324</v>
      </c>
      <c r="J3357" t="s">
        <v>6690</v>
      </c>
      <c r="K3357" t="s">
        <v>147</v>
      </c>
      <c r="L3357" t="s">
        <v>159</v>
      </c>
      <c r="M3357" t="s">
        <v>6691</v>
      </c>
      <c r="N3357" t="s">
        <v>146</v>
      </c>
      <c r="O3357" t="s">
        <v>6692</v>
      </c>
      <c r="P3357" t="s">
        <v>160</v>
      </c>
      <c r="Q3357" t="s">
        <v>6693</v>
      </c>
      <c r="R3357" t="s">
        <v>6694</v>
      </c>
      <c r="S3357" t="s">
        <v>6695</v>
      </c>
      <c r="T3357" t="s">
        <v>6696</v>
      </c>
      <c r="U3357" t="s">
        <v>6697</v>
      </c>
      <c r="V3357" t="s">
        <v>2459</v>
      </c>
      <c r="W3357" t="str">
        <f>"70220"</f>
        <v>70220</v>
      </c>
      <c r="X3357" t="s">
        <v>6698</v>
      </c>
      <c r="Y3357" t="str">
        <f>"71209"</f>
        <v>71209</v>
      </c>
      <c r="Z3357" t="s">
        <v>313</v>
      </c>
    </row>
    <row r="3358" spans="1:26" x14ac:dyDescent="0.3">
      <c r="A3358" t="str">
        <f>"04055403"</f>
        <v>04055403</v>
      </c>
      <c r="B3358" t="s">
        <v>6699</v>
      </c>
      <c r="C3358" t="str">
        <f t="shared" si="248"/>
        <v>706</v>
      </c>
      <c r="D3358" t="s">
        <v>28</v>
      </c>
      <c r="E3358" t="s">
        <v>83</v>
      </c>
      <c r="F3358" t="s">
        <v>83</v>
      </c>
      <c r="G3358" t="s">
        <v>6700</v>
      </c>
      <c r="H3358" t="str">
        <f>"94999"</f>
        <v>94999</v>
      </c>
      <c r="I3358" t="s">
        <v>202</v>
      </c>
    </row>
    <row r="3359" spans="1:26" x14ac:dyDescent="0.3">
      <c r="A3359" t="str">
        <f>"06119417"</f>
        <v>06119417</v>
      </c>
      <c r="B3359" t="s">
        <v>6701</v>
      </c>
      <c r="C3359" t="str">
        <f t="shared" si="248"/>
        <v>706</v>
      </c>
      <c r="D3359" t="s">
        <v>28</v>
      </c>
      <c r="E3359" t="s">
        <v>52</v>
      </c>
      <c r="F3359" t="s">
        <v>52</v>
      </c>
      <c r="G3359" t="s">
        <v>6702</v>
      </c>
      <c r="H3359" t="str">
        <f>"9499"</f>
        <v>9499</v>
      </c>
      <c r="I3359" t="s">
        <v>31</v>
      </c>
    </row>
    <row r="3360" spans="1:26" x14ac:dyDescent="0.3">
      <c r="A3360" t="str">
        <f>"18189393"</f>
        <v>18189393</v>
      </c>
      <c r="B3360" t="s">
        <v>6703</v>
      </c>
      <c r="C3360" t="str">
        <f t="shared" si="248"/>
        <v>706</v>
      </c>
      <c r="D3360" t="s">
        <v>28</v>
      </c>
      <c r="E3360" t="s">
        <v>83</v>
      </c>
      <c r="F3360" t="s">
        <v>83</v>
      </c>
      <c r="G3360" t="s">
        <v>6704</v>
      </c>
      <c r="H3360" t="str">
        <f>"93110"</f>
        <v>93110</v>
      </c>
      <c r="I3360" t="s">
        <v>92</v>
      </c>
    </row>
    <row r="3361" spans="1:9" x14ac:dyDescent="0.3">
      <c r="A3361" t="str">
        <f>"69211744"</f>
        <v>69211744</v>
      </c>
      <c r="B3361" t="s">
        <v>6705</v>
      </c>
      <c r="C3361" t="str">
        <f t="shared" si="248"/>
        <v>706</v>
      </c>
      <c r="D3361" t="s">
        <v>28</v>
      </c>
      <c r="E3361" t="s">
        <v>29</v>
      </c>
      <c r="F3361" t="s">
        <v>29</v>
      </c>
      <c r="G3361" t="s">
        <v>5895</v>
      </c>
      <c r="H3361" t="str">
        <f>"931"</f>
        <v>931</v>
      </c>
      <c r="I3361" t="s">
        <v>26</v>
      </c>
    </row>
    <row r="3362" spans="1:9" x14ac:dyDescent="0.3">
      <c r="A3362" t="str">
        <f>"49157540"</f>
        <v>49157540</v>
      </c>
      <c r="B3362" t="s">
        <v>6706</v>
      </c>
      <c r="C3362" t="str">
        <f t="shared" si="248"/>
        <v>706</v>
      </c>
      <c r="D3362" t="s">
        <v>28</v>
      </c>
      <c r="E3362" t="s">
        <v>23</v>
      </c>
      <c r="F3362" t="s">
        <v>23</v>
      </c>
      <c r="G3362" t="s">
        <v>204</v>
      </c>
      <c r="H3362" t="str">
        <f>"93120"</f>
        <v>93120</v>
      </c>
      <c r="I3362" t="s">
        <v>54</v>
      </c>
    </row>
    <row r="3363" spans="1:9" x14ac:dyDescent="0.3">
      <c r="A3363" t="str">
        <f>"22715622"</f>
        <v>22715622</v>
      </c>
      <c r="B3363" t="s">
        <v>6707</v>
      </c>
      <c r="C3363" t="str">
        <f t="shared" si="248"/>
        <v>706</v>
      </c>
      <c r="D3363" t="s">
        <v>28</v>
      </c>
      <c r="E3363" t="s">
        <v>29</v>
      </c>
      <c r="F3363" t="s">
        <v>38</v>
      </c>
      <c r="G3363" t="s">
        <v>6708</v>
      </c>
      <c r="H3363" t="str">
        <f>"93190"</f>
        <v>93190</v>
      </c>
      <c r="I3363" t="s">
        <v>59</v>
      </c>
    </row>
    <row r="3364" spans="1:9" x14ac:dyDescent="0.3">
      <c r="A3364" t="str">
        <f>"22846786"</f>
        <v>22846786</v>
      </c>
      <c r="B3364" t="s">
        <v>6709</v>
      </c>
      <c r="C3364" t="str">
        <f t="shared" si="248"/>
        <v>706</v>
      </c>
      <c r="D3364" t="s">
        <v>28</v>
      </c>
      <c r="E3364" t="s">
        <v>83</v>
      </c>
      <c r="F3364" t="s">
        <v>83</v>
      </c>
      <c r="G3364" t="s">
        <v>6710</v>
      </c>
      <c r="H3364" t="str">
        <f>"9499"</f>
        <v>9499</v>
      </c>
      <c r="I3364" t="s">
        <v>31</v>
      </c>
    </row>
    <row r="3365" spans="1:9" x14ac:dyDescent="0.3">
      <c r="A3365" t="str">
        <f>"22866311"</f>
        <v>22866311</v>
      </c>
      <c r="B3365" t="s">
        <v>6711</v>
      </c>
      <c r="C3365" t="str">
        <f t="shared" si="248"/>
        <v>706</v>
      </c>
      <c r="D3365" t="s">
        <v>28</v>
      </c>
      <c r="E3365" t="s">
        <v>83</v>
      </c>
      <c r="F3365" t="s">
        <v>83</v>
      </c>
      <c r="G3365" t="s">
        <v>6712</v>
      </c>
      <c r="H3365" t="str">
        <f>"93110"</f>
        <v>93110</v>
      </c>
      <c r="I3365" t="s">
        <v>92</v>
      </c>
    </row>
    <row r="3366" spans="1:9" x14ac:dyDescent="0.3">
      <c r="A3366" t="str">
        <f>"22848703"</f>
        <v>22848703</v>
      </c>
      <c r="B3366" t="s">
        <v>6713</v>
      </c>
      <c r="C3366" t="str">
        <f t="shared" si="248"/>
        <v>706</v>
      </c>
      <c r="D3366" t="s">
        <v>28</v>
      </c>
      <c r="E3366" t="s">
        <v>83</v>
      </c>
      <c r="F3366" t="s">
        <v>520</v>
      </c>
      <c r="G3366" t="s">
        <v>6714</v>
      </c>
      <c r="H3366" t="str">
        <f>"94993"</f>
        <v>94993</v>
      </c>
      <c r="I3366" t="s">
        <v>50</v>
      </c>
    </row>
    <row r="3367" spans="1:9" x14ac:dyDescent="0.3">
      <c r="A3367" t="str">
        <f>"71192867"</f>
        <v>71192867</v>
      </c>
      <c r="B3367" t="s">
        <v>6715</v>
      </c>
      <c r="C3367" t="str">
        <f>"736"</f>
        <v>736</v>
      </c>
      <c r="D3367" t="s">
        <v>22</v>
      </c>
      <c r="E3367" t="s">
        <v>29</v>
      </c>
      <c r="F3367" t="s">
        <v>195</v>
      </c>
      <c r="G3367" t="s">
        <v>6716</v>
      </c>
      <c r="H3367" t="str">
        <f>"9499"</f>
        <v>9499</v>
      </c>
      <c r="I3367" t="s">
        <v>31</v>
      </c>
    </row>
    <row r="3368" spans="1:9" x14ac:dyDescent="0.3">
      <c r="A3368" t="str">
        <f>"67009875"</f>
        <v>67009875</v>
      </c>
      <c r="B3368" t="s">
        <v>6717</v>
      </c>
      <c r="C3368" t="str">
        <f>"736"</f>
        <v>736</v>
      </c>
      <c r="D3368" t="s">
        <v>22</v>
      </c>
      <c r="E3368" t="s">
        <v>52</v>
      </c>
      <c r="F3368" t="s">
        <v>65</v>
      </c>
      <c r="G3368" t="s">
        <v>6718</v>
      </c>
      <c r="H3368" t="str">
        <f>"931"</f>
        <v>931</v>
      </c>
      <c r="I3368" t="s">
        <v>26</v>
      </c>
    </row>
    <row r="3369" spans="1:9" x14ac:dyDescent="0.3">
      <c r="A3369" t="str">
        <f>"03225828"</f>
        <v>03225828</v>
      </c>
      <c r="B3369" t="s">
        <v>6719</v>
      </c>
      <c r="C3369" t="str">
        <f>"736"</f>
        <v>736</v>
      </c>
      <c r="D3369" t="s">
        <v>22</v>
      </c>
      <c r="E3369" t="s">
        <v>29</v>
      </c>
      <c r="F3369" t="s">
        <v>195</v>
      </c>
      <c r="G3369" t="s">
        <v>6720</v>
      </c>
      <c r="H3369" t="str">
        <f>"9499"</f>
        <v>9499</v>
      </c>
      <c r="I3369" t="s">
        <v>31</v>
      </c>
    </row>
    <row r="3370" spans="1:9" x14ac:dyDescent="0.3">
      <c r="A3370" t="str">
        <f>"05163528"</f>
        <v>05163528</v>
      </c>
      <c r="B3370" t="s">
        <v>6721</v>
      </c>
      <c r="C3370" t="str">
        <f t="shared" ref="C3370:C3385" si="249">"706"</f>
        <v>706</v>
      </c>
      <c r="D3370" t="s">
        <v>28</v>
      </c>
      <c r="E3370" t="s">
        <v>52</v>
      </c>
      <c r="F3370" t="s">
        <v>6722</v>
      </c>
      <c r="G3370" t="s">
        <v>6723</v>
      </c>
      <c r="H3370" t="str">
        <f>"93190"</f>
        <v>93190</v>
      </c>
      <c r="I3370" t="s">
        <v>59</v>
      </c>
    </row>
    <row r="3371" spans="1:9" x14ac:dyDescent="0.3">
      <c r="A3371" t="str">
        <f>"17081220"</f>
        <v>17081220</v>
      </c>
      <c r="B3371" t="s">
        <v>6724</v>
      </c>
      <c r="C3371" t="str">
        <f t="shared" si="249"/>
        <v>706</v>
      </c>
      <c r="D3371" t="s">
        <v>28</v>
      </c>
      <c r="E3371" t="s">
        <v>83</v>
      </c>
      <c r="F3371" t="s">
        <v>520</v>
      </c>
      <c r="G3371" t="s">
        <v>6725</v>
      </c>
      <c r="H3371" t="str">
        <f>"9499"</f>
        <v>9499</v>
      </c>
      <c r="I3371" t="s">
        <v>31</v>
      </c>
    </row>
    <row r="3372" spans="1:9" x14ac:dyDescent="0.3">
      <c r="A3372" t="str">
        <f>"26563029"</f>
        <v>26563029</v>
      </c>
      <c r="B3372" t="s">
        <v>6726</v>
      </c>
      <c r="C3372" t="str">
        <f t="shared" si="249"/>
        <v>706</v>
      </c>
      <c r="D3372" t="s">
        <v>28</v>
      </c>
      <c r="E3372" t="s">
        <v>23</v>
      </c>
      <c r="F3372" t="s">
        <v>5347</v>
      </c>
      <c r="G3372" t="s">
        <v>6727</v>
      </c>
      <c r="H3372" t="str">
        <f>"9499"</f>
        <v>9499</v>
      </c>
      <c r="I3372" t="s">
        <v>31</v>
      </c>
    </row>
    <row r="3373" spans="1:9" x14ac:dyDescent="0.3">
      <c r="A3373" t="str">
        <f>"26560526"</f>
        <v>26560526</v>
      </c>
      <c r="B3373" t="s">
        <v>6728</v>
      </c>
      <c r="C3373" t="str">
        <f t="shared" si="249"/>
        <v>706</v>
      </c>
      <c r="D3373" t="s">
        <v>28</v>
      </c>
      <c r="E3373" t="s">
        <v>23</v>
      </c>
      <c r="F3373" t="s">
        <v>975</v>
      </c>
      <c r="G3373" t="s">
        <v>3556</v>
      </c>
      <c r="H3373" t="str">
        <f>"93190"</f>
        <v>93190</v>
      </c>
      <c r="I3373" t="s">
        <v>59</v>
      </c>
    </row>
    <row r="3374" spans="1:9" x14ac:dyDescent="0.3">
      <c r="A3374" t="str">
        <f>"02445735"</f>
        <v>02445735</v>
      </c>
      <c r="B3374" t="s">
        <v>6729</v>
      </c>
      <c r="C3374" t="str">
        <f t="shared" si="249"/>
        <v>706</v>
      </c>
      <c r="D3374" t="s">
        <v>28</v>
      </c>
      <c r="E3374" t="s">
        <v>52</v>
      </c>
      <c r="F3374" t="s">
        <v>144</v>
      </c>
      <c r="G3374" t="s">
        <v>6730</v>
      </c>
      <c r="H3374" t="str">
        <f>"9499"</f>
        <v>9499</v>
      </c>
      <c r="I3374" t="s">
        <v>31</v>
      </c>
    </row>
    <row r="3375" spans="1:9" x14ac:dyDescent="0.3">
      <c r="A3375" t="str">
        <f>"26668998"</f>
        <v>26668998</v>
      </c>
      <c r="B3375" t="s">
        <v>6731</v>
      </c>
      <c r="C3375" t="str">
        <f t="shared" si="249"/>
        <v>706</v>
      </c>
      <c r="D3375" t="s">
        <v>28</v>
      </c>
      <c r="E3375" t="s">
        <v>83</v>
      </c>
      <c r="F3375" t="s">
        <v>175</v>
      </c>
      <c r="G3375" t="s">
        <v>6732</v>
      </c>
      <c r="H3375" t="str">
        <f>"9499"</f>
        <v>9499</v>
      </c>
      <c r="I3375" t="s">
        <v>31</v>
      </c>
    </row>
    <row r="3376" spans="1:9" x14ac:dyDescent="0.3">
      <c r="A3376" t="str">
        <f>"08207577"</f>
        <v>08207577</v>
      </c>
      <c r="B3376" t="s">
        <v>6733</v>
      </c>
      <c r="C3376" t="str">
        <f t="shared" si="249"/>
        <v>706</v>
      </c>
      <c r="D3376" t="s">
        <v>28</v>
      </c>
      <c r="E3376" t="s">
        <v>83</v>
      </c>
      <c r="F3376" t="s">
        <v>944</v>
      </c>
      <c r="G3376" t="s">
        <v>6734</v>
      </c>
      <c r="H3376" t="str">
        <f>"93190"</f>
        <v>93190</v>
      </c>
      <c r="I3376" t="s">
        <v>59</v>
      </c>
    </row>
    <row r="3377" spans="1:11" x14ac:dyDescent="0.3">
      <c r="A3377" t="str">
        <f>"14309807"</f>
        <v>14309807</v>
      </c>
      <c r="B3377" t="s">
        <v>6735</v>
      </c>
      <c r="C3377" t="str">
        <f t="shared" si="249"/>
        <v>706</v>
      </c>
      <c r="D3377" t="s">
        <v>28</v>
      </c>
      <c r="E3377" t="s">
        <v>83</v>
      </c>
      <c r="F3377" t="s">
        <v>2795</v>
      </c>
      <c r="G3377" t="s">
        <v>6736</v>
      </c>
      <c r="H3377" t="str">
        <f>"94991"</f>
        <v>94991</v>
      </c>
      <c r="I3377" t="s">
        <v>433</v>
      </c>
    </row>
    <row r="3378" spans="1:11" x14ac:dyDescent="0.3">
      <c r="A3378" t="str">
        <f>"09390065"</f>
        <v>09390065</v>
      </c>
      <c r="B3378" t="s">
        <v>6737</v>
      </c>
      <c r="C3378" t="str">
        <f t="shared" si="249"/>
        <v>706</v>
      </c>
      <c r="D3378" t="s">
        <v>28</v>
      </c>
      <c r="E3378" t="s">
        <v>83</v>
      </c>
      <c r="F3378" t="s">
        <v>175</v>
      </c>
      <c r="G3378" t="s">
        <v>6738</v>
      </c>
      <c r="H3378" t="str">
        <f>"9499"</f>
        <v>9499</v>
      </c>
      <c r="I3378" t="s">
        <v>31</v>
      </c>
    </row>
    <row r="3379" spans="1:11" x14ac:dyDescent="0.3">
      <c r="A3379" t="str">
        <f>"22823859"</f>
        <v>22823859</v>
      </c>
      <c r="B3379" t="s">
        <v>6739</v>
      </c>
      <c r="C3379" t="str">
        <f t="shared" si="249"/>
        <v>706</v>
      </c>
      <c r="D3379" t="s">
        <v>28</v>
      </c>
      <c r="E3379" t="s">
        <v>83</v>
      </c>
      <c r="F3379" t="s">
        <v>175</v>
      </c>
      <c r="G3379" t="s">
        <v>6740</v>
      </c>
      <c r="H3379" t="str">
        <f>"9499"</f>
        <v>9499</v>
      </c>
      <c r="I3379" t="s">
        <v>31</v>
      </c>
    </row>
    <row r="3380" spans="1:11" x14ac:dyDescent="0.3">
      <c r="A3380" t="str">
        <f>"01724592"</f>
        <v>01724592</v>
      </c>
      <c r="B3380" t="s">
        <v>6741</v>
      </c>
      <c r="C3380" t="str">
        <f t="shared" si="249"/>
        <v>706</v>
      </c>
      <c r="D3380" t="s">
        <v>28</v>
      </c>
      <c r="E3380" t="s">
        <v>83</v>
      </c>
      <c r="F3380" t="s">
        <v>6742</v>
      </c>
      <c r="G3380" t="s">
        <v>6743</v>
      </c>
      <c r="H3380" t="str">
        <f>"9499"</f>
        <v>9499</v>
      </c>
      <c r="I3380" t="s">
        <v>31</v>
      </c>
    </row>
    <row r="3381" spans="1:11" x14ac:dyDescent="0.3">
      <c r="A3381" t="str">
        <f>"01583620"</f>
        <v>01583620</v>
      </c>
      <c r="B3381" t="s">
        <v>6744</v>
      </c>
      <c r="C3381" t="str">
        <f t="shared" si="249"/>
        <v>706</v>
      </c>
      <c r="D3381" t="s">
        <v>28</v>
      </c>
      <c r="E3381" t="s">
        <v>23</v>
      </c>
      <c r="F3381" t="s">
        <v>23</v>
      </c>
      <c r="G3381" t="s">
        <v>6745</v>
      </c>
      <c r="H3381" t="str">
        <f>"9499"</f>
        <v>9499</v>
      </c>
      <c r="I3381" t="s">
        <v>31</v>
      </c>
    </row>
    <row r="3382" spans="1:11" x14ac:dyDescent="0.3">
      <c r="A3382" t="str">
        <f>"27048101"</f>
        <v>27048101</v>
      </c>
      <c r="B3382" t="s">
        <v>6746</v>
      </c>
      <c r="C3382" t="str">
        <f t="shared" si="249"/>
        <v>706</v>
      </c>
      <c r="D3382" t="s">
        <v>28</v>
      </c>
      <c r="E3382" t="s">
        <v>23</v>
      </c>
      <c r="F3382" t="s">
        <v>23</v>
      </c>
      <c r="G3382" t="s">
        <v>6747</v>
      </c>
      <c r="H3382" t="str">
        <f>"94"</f>
        <v>94</v>
      </c>
      <c r="I3382" t="s">
        <v>1016</v>
      </c>
    </row>
    <row r="3383" spans="1:11" x14ac:dyDescent="0.3">
      <c r="A3383" t="str">
        <f>"21666725"</f>
        <v>21666725</v>
      </c>
      <c r="B3383" t="s">
        <v>6748</v>
      </c>
      <c r="C3383" t="str">
        <f t="shared" si="249"/>
        <v>706</v>
      </c>
      <c r="D3383" t="s">
        <v>28</v>
      </c>
      <c r="E3383" t="s">
        <v>52</v>
      </c>
      <c r="F3383" t="s">
        <v>52</v>
      </c>
      <c r="G3383" t="s">
        <v>6749</v>
      </c>
      <c r="H3383" t="str">
        <f>"9499"</f>
        <v>9499</v>
      </c>
      <c r="I3383" t="s">
        <v>31</v>
      </c>
      <c r="J3383" t="s">
        <v>146</v>
      </c>
      <c r="K3383" t="s">
        <v>163</v>
      </c>
    </row>
    <row r="3384" spans="1:11" x14ac:dyDescent="0.3">
      <c r="A3384" t="str">
        <f>"22885579"</f>
        <v>22885579</v>
      </c>
      <c r="B3384" t="s">
        <v>6750</v>
      </c>
      <c r="C3384" t="str">
        <f t="shared" si="249"/>
        <v>706</v>
      </c>
      <c r="D3384" t="s">
        <v>28</v>
      </c>
      <c r="E3384" t="s">
        <v>29</v>
      </c>
      <c r="F3384" t="s">
        <v>29</v>
      </c>
      <c r="G3384" t="s">
        <v>6751</v>
      </c>
      <c r="H3384" t="str">
        <f>"94993"</f>
        <v>94993</v>
      </c>
      <c r="I3384" t="s">
        <v>50</v>
      </c>
    </row>
    <row r="3385" spans="1:11" x14ac:dyDescent="0.3">
      <c r="A3385" t="str">
        <f>"22612173"</f>
        <v>22612173</v>
      </c>
      <c r="B3385" t="s">
        <v>6752</v>
      </c>
      <c r="C3385" t="str">
        <f t="shared" si="249"/>
        <v>706</v>
      </c>
      <c r="D3385" t="s">
        <v>28</v>
      </c>
      <c r="E3385" t="s">
        <v>29</v>
      </c>
      <c r="F3385" t="s">
        <v>29</v>
      </c>
      <c r="G3385" t="s">
        <v>627</v>
      </c>
      <c r="H3385" t="str">
        <f>"9499"</f>
        <v>9499</v>
      </c>
      <c r="I3385" t="s">
        <v>31</v>
      </c>
    </row>
    <row r="3386" spans="1:11" x14ac:dyDescent="0.3">
      <c r="A3386" t="str">
        <f>"25557998"</f>
        <v>25557998</v>
      </c>
      <c r="B3386" t="s">
        <v>6753</v>
      </c>
      <c r="C3386" t="str">
        <f>"141"</f>
        <v>141</v>
      </c>
      <c r="D3386" t="s">
        <v>112</v>
      </c>
      <c r="E3386" t="s">
        <v>52</v>
      </c>
      <c r="F3386" t="s">
        <v>379</v>
      </c>
      <c r="G3386" t="s">
        <v>6754</v>
      </c>
      <c r="H3386" t="str">
        <f>"9499"</f>
        <v>9499</v>
      </c>
      <c r="I3386" t="s">
        <v>31</v>
      </c>
    </row>
    <row r="3387" spans="1:11" x14ac:dyDescent="0.3">
      <c r="A3387" t="str">
        <f>"65269471"</f>
        <v>65269471</v>
      </c>
      <c r="B3387" t="s">
        <v>6755</v>
      </c>
      <c r="C3387" t="str">
        <f t="shared" ref="C3387:C3395" si="250">"706"</f>
        <v>706</v>
      </c>
      <c r="D3387" t="s">
        <v>28</v>
      </c>
      <c r="E3387" t="s">
        <v>23</v>
      </c>
      <c r="F3387" t="s">
        <v>107</v>
      </c>
      <c r="G3387" t="s">
        <v>107</v>
      </c>
      <c r="H3387" t="str">
        <f>"94991"</f>
        <v>94991</v>
      </c>
      <c r="I3387" t="s">
        <v>433</v>
      </c>
    </row>
    <row r="3388" spans="1:11" x14ac:dyDescent="0.3">
      <c r="A3388" t="str">
        <f>"05663300"</f>
        <v>05663300</v>
      </c>
      <c r="B3388" t="s">
        <v>6756</v>
      </c>
      <c r="C3388" t="str">
        <f t="shared" si="250"/>
        <v>706</v>
      </c>
      <c r="D3388" t="s">
        <v>28</v>
      </c>
      <c r="E3388" t="s">
        <v>29</v>
      </c>
      <c r="F3388" t="s">
        <v>38</v>
      </c>
      <c r="G3388" t="s">
        <v>6757</v>
      </c>
      <c r="H3388" t="str">
        <f>"9499"</f>
        <v>9499</v>
      </c>
      <c r="I3388" t="s">
        <v>31</v>
      </c>
    </row>
    <row r="3389" spans="1:11" x14ac:dyDescent="0.3">
      <c r="A3389" t="str">
        <f>"22612297"</f>
        <v>22612297</v>
      </c>
      <c r="B3389" t="s">
        <v>6758</v>
      </c>
      <c r="C3389" t="str">
        <f t="shared" si="250"/>
        <v>706</v>
      </c>
      <c r="D3389" t="s">
        <v>28</v>
      </c>
      <c r="E3389" t="s">
        <v>23</v>
      </c>
      <c r="F3389" t="s">
        <v>695</v>
      </c>
      <c r="G3389" t="s">
        <v>6759</v>
      </c>
      <c r="H3389" t="str">
        <f>"9499"</f>
        <v>9499</v>
      </c>
      <c r="I3389" t="s">
        <v>31</v>
      </c>
    </row>
    <row r="3390" spans="1:11" x14ac:dyDescent="0.3">
      <c r="A3390" t="str">
        <f>"22757635"</f>
        <v>22757635</v>
      </c>
      <c r="B3390" t="s">
        <v>6760</v>
      </c>
      <c r="C3390" t="str">
        <f t="shared" si="250"/>
        <v>706</v>
      </c>
      <c r="D3390" t="s">
        <v>28</v>
      </c>
      <c r="E3390" t="s">
        <v>83</v>
      </c>
      <c r="F3390" t="s">
        <v>540</v>
      </c>
      <c r="G3390" t="s">
        <v>6761</v>
      </c>
      <c r="H3390" t="str">
        <f>"90010"</f>
        <v>90010</v>
      </c>
      <c r="I3390" t="s">
        <v>2014</v>
      </c>
    </row>
    <row r="3391" spans="1:11" x14ac:dyDescent="0.3">
      <c r="A3391" t="str">
        <f>"01588214"</f>
        <v>01588214</v>
      </c>
      <c r="B3391" t="s">
        <v>6762</v>
      </c>
      <c r="C3391" t="str">
        <f t="shared" si="250"/>
        <v>706</v>
      </c>
      <c r="D3391" t="s">
        <v>28</v>
      </c>
      <c r="E3391" t="s">
        <v>83</v>
      </c>
      <c r="F3391" t="s">
        <v>183</v>
      </c>
      <c r="G3391" t="s">
        <v>6763</v>
      </c>
      <c r="H3391" t="str">
        <f>"94999"</f>
        <v>94999</v>
      </c>
      <c r="I3391" t="s">
        <v>202</v>
      </c>
    </row>
    <row r="3392" spans="1:11" x14ac:dyDescent="0.3">
      <c r="A3392" t="str">
        <f>"26558700"</f>
        <v>26558700</v>
      </c>
      <c r="B3392" t="s">
        <v>6764</v>
      </c>
      <c r="C3392" t="str">
        <f t="shared" si="250"/>
        <v>706</v>
      </c>
      <c r="D3392" t="s">
        <v>28</v>
      </c>
      <c r="E3392" t="s">
        <v>29</v>
      </c>
      <c r="F3392" t="s">
        <v>29</v>
      </c>
      <c r="G3392" t="s">
        <v>6765</v>
      </c>
      <c r="H3392" t="str">
        <f>"93190"</f>
        <v>93190</v>
      </c>
      <c r="I3392" t="s">
        <v>59</v>
      </c>
    </row>
    <row r="3393" spans="1:10" x14ac:dyDescent="0.3">
      <c r="A3393" t="str">
        <f>"09477659"</f>
        <v>09477659</v>
      </c>
      <c r="B3393" t="s">
        <v>6766</v>
      </c>
      <c r="C3393" t="str">
        <f t="shared" si="250"/>
        <v>706</v>
      </c>
      <c r="D3393" t="s">
        <v>28</v>
      </c>
      <c r="E3393" t="s">
        <v>52</v>
      </c>
      <c r="F3393" t="s">
        <v>94</v>
      </c>
      <c r="G3393" t="s">
        <v>6767</v>
      </c>
      <c r="H3393" t="str">
        <f>"9499"</f>
        <v>9499</v>
      </c>
      <c r="I3393" t="s">
        <v>31</v>
      </c>
    </row>
    <row r="3394" spans="1:10" x14ac:dyDescent="0.3">
      <c r="A3394" t="str">
        <f>"22731351"</f>
        <v>22731351</v>
      </c>
      <c r="B3394" t="s">
        <v>6768</v>
      </c>
      <c r="C3394" t="str">
        <f t="shared" si="250"/>
        <v>706</v>
      </c>
      <c r="D3394" t="s">
        <v>28</v>
      </c>
      <c r="E3394" t="s">
        <v>83</v>
      </c>
      <c r="F3394" t="s">
        <v>1425</v>
      </c>
      <c r="G3394" t="s">
        <v>6769</v>
      </c>
      <c r="H3394" t="str">
        <f>"93110"</f>
        <v>93110</v>
      </c>
      <c r="I3394" t="s">
        <v>92</v>
      </c>
    </row>
    <row r="3395" spans="1:10" x14ac:dyDescent="0.3">
      <c r="A3395" t="str">
        <f>"19524838"</f>
        <v>19524838</v>
      </c>
      <c r="B3395" t="s">
        <v>6770</v>
      </c>
      <c r="C3395" t="str">
        <f t="shared" si="250"/>
        <v>706</v>
      </c>
      <c r="D3395" t="s">
        <v>28</v>
      </c>
      <c r="E3395" t="s">
        <v>29</v>
      </c>
      <c r="F3395" t="s">
        <v>670</v>
      </c>
      <c r="G3395" t="s">
        <v>2577</v>
      </c>
      <c r="H3395" t="str">
        <f>"93190"</f>
        <v>93190</v>
      </c>
      <c r="I3395" t="s">
        <v>59</v>
      </c>
    </row>
    <row r="3396" spans="1:10" x14ac:dyDescent="0.3">
      <c r="A3396" t="str">
        <f>"19845880"</f>
        <v>19845880</v>
      </c>
      <c r="B3396" t="s">
        <v>6771</v>
      </c>
      <c r="C3396" t="str">
        <f>"736"</f>
        <v>736</v>
      </c>
      <c r="D3396" t="s">
        <v>22</v>
      </c>
      <c r="E3396" t="s">
        <v>23</v>
      </c>
      <c r="F3396" t="s">
        <v>107</v>
      </c>
      <c r="G3396" t="s">
        <v>206</v>
      </c>
      <c r="H3396" t="str">
        <f>"93190"</f>
        <v>93190</v>
      </c>
      <c r="I3396" t="s">
        <v>59</v>
      </c>
    </row>
    <row r="3397" spans="1:10" x14ac:dyDescent="0.3">
      <c r="A3397" t="str">
        <f>"23090677"</f>
        <v>23090677</v>
      </c>
      <c r="B3397" t="s">
        <v>6772</v>
      </c>
      <c r="C3397" t="str">
        <f t="shared" ref="C3397:C3414" si="251">"706"</f>
        <v>706</v>
      </c>
      <c r="D3397" t="s">
        <v>28</v>
      </c>
      <c r="E3397" t="s">
        <v>83</v>
      </c>
      <c r="F3397" t="s">
        <v>3513</v>
      </c>
      <c r="G3397" t="s">
        <v>6773</v>
      </c>
      <c r="H3397" t="str">
        <f>"94991"</f>
        <v>94991</v>
      </c>
      <c r="I3397" t="s">
        <v>433</v>
      </c>
      <c r="J3397" t="s">
        <v>146</v>
      </c>
    </row>
    <row r="3398" spans="1:10" x14ac:dyDescent="0.3">
      <c r="A3398" t="str">
        <f>"26640554"</f>
        <v>26640554</v>
      </c>
      <c r="B3398" t="s">
        <v>6774</v>
      </c>
      <c r="C3398" t="str">
        <f t="shared" si="251"/>
        <v>706</v>
      </c>
      <c r="D3398" t="s">
        <v>28</v>
      </c>
      <c r="E3398" t="s">
        <v>23</v>
      </c>
      <c r="F3398" t="s">
        <v>24</v>
      </c>
      <c r="G3398" t="s">
        <v>432</v>
      </c>
      <c r="H3398" t="str">
        <f>"9499"</f>
        <v>9499</v>
      </c>
      <c r="I3398" t="s">
        <v>31</v>
      </c>
    </row>
    <row r="3399" spans="1:10" x14ac:dyDescent="0.3">
      <c r="A3399" t="str">
        <f>"22813829"</f>
        <v>22813829</v>
      </c>
      <c r="B3399" t="s">
        <v>6775</v>
      </c>
      <c r="C3399" t="str">
        <f t="shared" si="251"/>
        <v>706</v>
      </c>
      <c r="D3399" t="s">
        <v>28</v>
      </c>
      <c r="E3399" t="s">
        <v>23</v>
      </c>
      <c r="F3399" t="s">
        <v>23</v>
      </c>
      <c r="G3399" t="s">
        <v>6776</v>
      </c>
      <c r="H3399" t="str">
        <f>"9499"</f>
        <v>9499</v>
      </c>
      <c r="I3399" t="s">
        <v>31</v>
      </c>
    </row>
    <row r="3400" spans="1:10" x14ac:dyDescent="0.3">
      <c r="A3400" t="str">
        <f>"22833561"</f>
        <v>22833561</v>
      </c>
      <c r="B3400" t="s">
        <v>6777</v>
      </c>
      <c r="C3400" t="str">
        <f t="shared" si="251"/>
        <v>706</v>
      </c>
      <c r="D3400" t="s">
        <v>28</v>
      </c>
      <c r="E3400" t="s">
        <v>52</v>
      </c>
      <c r="F3400" t="s">
        <v>94</v>
      </c>
      <c r="G3400" t="s">
        <v>6778</v>
      </c>
      <c r="H3400" t="str">
        <f>"9499"</f>
        <v>9499</v>
      </c>
      <c r="I3400" t="s">
        <v>31</v>
      </c>
    </row>
    <row r="3401" spans="1:10" x14ac:dyDescent="0.3">
      <c r="A3401" t="str">
        <f>"27059952"</f>
        <v>27059952</v>
      </c>
      <c r="B3401" t="s">
        <v>6779</v>
      </c>
      <c r="C3401" t="str">
        <f t="shared" si="251"/>
        <v>706</v>
      </c>
      <c r="D3401" t="s">
        <v>28</v>
      </c>
      <c r="E3401" t="s">
        <v>23</v>
      </c>
      <c r="F3401" t="s">
        <v>23</v>
      </c>
      <c r="G3401" t="s">
        <v>6780</v>
      </c>
      <c r="H3401" t="str">
        <f>"94"</f>
        <v>94</v>
      </c>
      <c r="I3401" t="s">
        <v>1016</v>
      </c>
    </row>
    <row r="3402" spans="1:10" x14ac:dyDescent="0.3">
      <c r="A3402" t="str">
        <f>"19430141"</f>
        <v>19430141</v>
      </c>
      <c r="B3402" t="s">
        <v>6781</v>
      </c>
      <c r="C3402" t="str">
        <f t="shared" si="251"/>
        <v>706</v>
      </c>
      <c r="D3402" t="s">
        <v>28</v>
      </c>
      <c r="E3402" t="s">
        <v>23</v>
      </c>
      <c r="F3402" t="s">
        <v>23</v>
      </c>
      <c r="G3402" t="s">
        <v>6782</v>
      </c>
      <c r="H3402" t="str">
        <f>"93120"</f>
        <v>93120</v>
      </c>
      <c r="I3402" t="s">
        <v>54</v>
      </c>
    </row>
    <row r="3403" spans="1:10" x14ac:dyDescent="0.3">
      <c r="A3403" t="str">
        <f>"08724792"</f>
        <v>08724792</v>
      </c>
      <c r="B3403" t="s">
        <v>6783</v>
      </c>
      <c r="C3403" t="str">
        <f t="shared" si="251"/>
        <v>706</v>
      </c>
      <c r="D3403" t="s">
        <v>28</v>
      </c>
      <c r="E3403" t="s">
        <v>23</v>
      </c>
      <c r="F3403" t="s">
        <v>23</v>
      </c>
      <c r="G3403" t="s">
        <v>6784</v>
      </c>
      <c r="H3403" t="str">
        <f>"94993"</f>
        <v>94993</v>
      </c>
      <c r="I3403" t="s">
        <v>50</v>
      </c>
    </row>
    <row r="3404" spans="1:10" x14ac:dyDescent="0.3">
      <c r="A3404" t="str">
        <f>"07870523"</f>
        <v>07870523</v>
      </c>
      <c r="B3404" t="s">
        <v>6785</v>
      </c>
      <c r="C3404" t="str">
        <f t="shared" si="251"/>
        <v>706</v>
      </c>
      <c r="D3404" t="s">
        <v>28</v>
      </c>
      <c r="E3404" t="s">
        <v>83</v>
      </c>
      <c r="F3404" t="s">
        <v>175</v>
      </c>
      <c r="G3404" t="s">
        <v>6786</v>
      </c>
      <c r="H3404" t="str">
        <f>"9499"</f>
        <v>9499</v>
      </c>
      <c r="I3404" t="s">
        <v>31</v>
      </c>
    </row>
    <row r="3405" spans="1:10" x14ac:dyDescent="0.3">
      <c r="A3405" t="str">
        <f>"06333168"</f>
        <v>06333168</v>
      </c>
      <c r="B3405" t="s">
        <v>6787</v>
      </c>
      <c r="C3405" t="str">
        <f t="shared" si="251"/>
        <v>706</v>
      </c>
      <c r="D3405" t="s">
        <v>28</v>
      </c>
      <c r="E3405" t="s">
        <v>83</v>
      </c>
      <c r="F3405" t="s">
        <v>285</v>
      </c>
      <c r="G3405" t="s">
        <v>6788</v>
      </c>
      <c r="H3405" t="str">
        <f>"9499"</f>
        <v>9499</v>
      </c>
      <c r="I3405" t="s">
        <v>31</v>
      </c>
    </row>
    <row r="3406" spans="1:10" x14ac:dyDescent="0.3">
      <c r="A3406" t="str">
        <f>"10697772"</f>
        <v>10697772</v>
      </c>
      <c r="B3406" t="s">
        <v>6789</v>
      </c>
      <c r="C3406" t="str">
        <f t="shared" si="251"/>
        <v>706</v>
      </c>
      <c r="D3406" t="s">
        <v>28</v>
      </c>
      <c r="E3406" t="s">
        <v>23</v>
      </c>
      <c r="F3406" t="s">
        <v>99</v>
      </c>
      <c r="G3406" t="s">
        <v>6790</v>
      </c>
      <c r="H3406" t="str">
        <f>"9499"</f>
        <v>9499</v>
      </c>
      <c r="I3406" t="s">
        <v>31</v>
      </c>
    </row>
    <row r="3407" spans="1:10" x14ac:dyDescent="0.3">
      <c r="A3407" t="str">
        <f>"22843451"</f>
        <v>22843451</v>
      </c>
      <c r="B3407" t="s">
        <v>6791</v>
      </c>
      <c r="C3407" t="str">
        <f t="shared" si="251"/>
        <v>706</v>
      </c>
      <c r="D3407" t="s">
        <v>28</v>
      </c>
      <c r="E3407" t="s">
        <v>23</v>
      </c>
      <c r="F3407" t="s">
        <v>23</v>
      </c>
      <c r="G3407" t="s">
        <v>6792</v>
      </c>
      <c r="H3407" t="str">
        <f>"94996"</f>
        <v>94996</v>
      </c>
      <c r="I3407" t="s">
        <v>47</v>
      </c>
    </row>
    <row r="3408" spans="1:10" x14ac:dyDescent="0.3">
      <c r="A3408" t="str">
        <f>"22754113"</f>
        <v>22754113</v>
      </c>
      <c r="B3408" t="s">
        <v>6793</v>
      </c>
      <c r="C3408" t="str">
        <f t="shared" si="251"/>
        <v>706</v>
      </c>
      <c r="D3408" t="s">
        <v>28</v>
      </c>
      <c r="E3408" t="s">
        <v>52</v>
      </c>
      <c r="F3408" t="s">
        <v>379</v>
      </c>
      <c r="G3408" t="s">
        <v>6794</v>
      </c>
      <c r="H3408" t="str">
        <f>"9499"</f>
        <v>9499</v>
      </c>
      <c r="I3408" t="s">
        <v>31</v>
      </c>
    </row>
    <row r="3409" spans="1:13" x14ac:dyDescent="0.3">
      <c r="A3409" t="str">
        <f>"65792017"</f>
        <v>65792017</v>
      </c>
      <c r="B3409" t="s">
        <v>6795</v>
      </c>
      <c r="C3409" t="str">
        <f t="shared" si="251"/>
        <v>706</v>
      </c>
      <c r="D3409" t="s">
        <v>28</v>
      </c>
      <c r="E3409" t="s">
        <v>23</v>
      </c>
      <c r="F3409" t="s">
        <v>1063</v>
      </c>
      <c r="G3409" t="s">
        <v>6796</v>
      </c>
      <c r="H3409" t="str">
        <f>"93120"</f>
        <v>93120</v>
      </c>
      <c r="I3409" t="s">
        <v>54</v>
      </c>
    </row>
    <row r="3410" spans="1:13" x14ac:dyDescent="0.3">
      <c r="A3410" t="str">
        <f>"22864920"</f>
        <v>22864920</v>
      </c>
      <c r="B3410" t="s">
        <v>6797</v>
      </c>
      <c r="C3410" t="str">
        <f t="shared" si="251"/>
        <v>706</v>
      </c>
      <c r="D3410" t="s">
        <v>28</v>
      </c>
      <c r="E3410" t="s">
        <v>23</v>
      </c>
      <c r="F3410" t="s">
        <v>710</v>
      </c>
      <c r="G3410" t="s">
        <v>6798</v>
      </c>
      <c r="H3410" t="str">
        <f>"94996"</f>
        <v>94996</v>
      </c>
      <c r="I3410" t="s">
        <v>47</v>
      </c>
    </row>
    <row r="3411" spans="1:13" x14ac:dyDescent="0.3">
      <c r="A3411" t="str">
        <f>"02040361"</f>
        <v>02040361</v>
      </c>
      <c r="B3411" t="s">
        <v>6799</v>
      </c>
      <c r="C3411" t="str">
        <f t="shared" si="251"/>
        <v>706</v>
      </c>
      <c r="D3411" t="s">
        <v>28</v>
      </c>
      <c r="E3411" t="s">
        <v>52</v>
      </c>
      <c r="F3411" t="s">
        <v>65</v>
      </c>
      <c r="G3411" t="s">
        <v>6800</v>
      </c>
      <c r="H3411" t="str">
        <f>"9499"</f>
        <v>9499</v>
      </c>
      <c r="I3411" t="s">
        <v>31</v>
      </c>
    </row>
    <row r="3412" spans="1:13" x14ac:dyDescent="0.3">
      <c r="A3412" t="str">
        <f>"09831401"</f>
        <v>09831401</v>
      </c>
      <c r="B3412" t="s">
        <v>6801</v>
      </c>
      <c r="C3412" t="str">
        <f t="shared" si="251"/>
        <v>706</v>
      </c>
      <c r="D3412" t="s">
        <v>28</v>
      </c>
      <c r="E3412" t="s">
        <v>52</v>
      </c>
      <c r="F3412" t="s">
        <v>379</v>
      </c>
      <c r="G3412" t="s">
        <v>6802</v>
      </c>
      <c r="H3412" t="str">
        <f>"94993"</f>
        <v>94993</v>
      </c>
      <c r="I3412" t="s">
        <v>50</v>
      </c>
    </row>
    <row r="3413" spans="1:13" x14ac:dyDescent="0.3">
      <c r="A3413" t="str">
        <f>"08952957"</f>
        <v>08952957</v>
      </c>
      <c r="B3413" t="s">
        <v>6803</v>
      </c>
      <c r="C3413" t="str">
        <f t="shared" si="251"/>
        <v>706</v>
      </c>
      <c r="D3413" t="s">
        <v>28</v>
      </c>
      <c r="E3413" t="s">
        <v>83</v>
      </c>
      <c r="F3413" t="s">
        <v>409</v>
      </c>
      <c r="G3413" t="s">
        <v>6804</v>
      </c>
      <c r="H3413" t="str">
        <f>"9499"</f>
        <v>9499</v>
      </c>
      <c r="I3413" t="s">
        <v>31</v>
      </c>
    </row>
    <row r="3414" spans="1:13" x14ac:dyDescent="0.3">
      <c r="A3414" t="str">
        <f>"28557115"</f>
        <v>28557115</v>
      </c>
      <c r="B3414" t="s">
        <v>6805</v>
      </c>
      <c r="C3414" t="str">
        <f t="shared" si="251"/>
        <v>706</v>
      </c>
      <c r="D3414" t="s">
        <v>28</v>
      </c>
      <c r="E3414" t="s">
        <v>83</v>
      </c>
      <c r="F3414" t="s">
        <v>83</v>
      </c>
      <c r="G3414" t="s">
        <v>6806</v>
      </c>
      <c r="H3414" t="str">
        <f>"9499"</f>
        <v>9499</v>
      </c>
      <c r="I3414" t="s">
        <v>31</v>
      </c>
    </row>
    <row r="3415" spans="1:13" x14ac:dyDescent="0.3">
      <c r="A3415" t="str">
        <f>"29314747"</f>
        <v>29314747</v>
      </c>
      <c r="B3415" t="s">
        <v>6807</v>
      </c>
      <c r="C3415" t="str">
        <f>"141"</f>
        <v>141</v>
      </c>
      <c r="D3415" t="s">
        <v>112</v>
      </c>
      <c r="E3415" t="s">
        <v>83</v>
      </c>
      <c r="F3415" t="s">
        <v>83</v>
      </c>
      <c r="G3415" t="s">
        <v>767</v>
      </c>
      <c r="H3415" t="str">
        <f>"88999"</f>
        <v>88999</v>
      </c>
      <c r="I3415" t="s">
        <v>354</v>
      </c>
      <c r="J3415" t="s">
        <v>146</v>
      </c>
      <c r="K3415" t="s">
        <v>1119</v>
      </c>
      <c r="L3415" t="s">
        <v>1067</v>
      </c>
      <c r="M3415" t="s">
        <v>2340</v>
      </c>
    </row>
    <row r="3416" spans="1:13" x14ac:dyDescent="0.3">
      <c r="A3416" t="str">
        <f>"22689346"</f>
        <v>22689346</v>
      </c>
      <c r="B3416" t="s">
        <v>6808</v>
      </c>
      <c r="C3416" t="str">
        <f>"706"</f>
        <v>706</v>
      </c>
      <c r="D3416" t="s">
        <v>28</v>
      </c>
      <c r="E3416" t="s">
        <v>83</v>
      </c>
      <c r="F3416" t="s">
        <v>83</v>
      </c>
      <c r="G3416" t="s">
        <v>6809</v>
      </c>
      <c r="H3416" t="str">
        <f>"9499"</f>
        <v>9499</v>
      </c>
      <c r="I3416" t="s">
        <v>31</v>
      </c>
    </row>
    <row r="3417" spans="1:13" x14ac:dyDescent="0.3">
      <c r="A3417" t="str">
        <f>"06541739"</f>
        <v>06541739</v>
      </c>
      <c r="B3417" t="s">
        <v>6810</v>
      </c>
      <c r="C3417" t="str">
        <f>"161"</f>
        <v>161</v>
      </c>
      <c r="D3417" t="s">
        <v>152</v>
      </c>
      <c r="E3417" t="s">
        <v>29</v>
      </c>
      <c r="F3417" t="s">
        <v>138</v>
      </c>
      <c r="G3417" t="s">
        <v>6811</v>
      </c>
      <c r="H3417" t="str">
        <f>"88"</f>
        <v>88</v>
      </c>
      <c r="I3417" t="s">
        <v>154</v>
      </c>
    </row>
    <row r="3418" spans="1:13" x14ac:dyDescent="0.3">
      <c r="A3418" t="str">
        <f>"28559991"</f>
        <v>28559991</v>
      </c>
      <c r="B3418" t="s">
        <v>6812</v>
      </c>
      <c r="C3418" t="str">
        <f t="shared" ref="C3418:C3422" si="252">"706"</f>
        <v>706</v>
      </c>
      <c r="D3418" t="s">
        <v>28</v>
      </c>
      <c r="E3418" t="s">
        <v>23</v>
      </c>
      <c r="F3418" t="s">
        <v>141</v>
      </c>
      <c r="G3418" t="s">
        <v>6813</v>
      </c>
      <c r="H3418" t="str">
        <f>"9499"</f>
        <v>9499</v>
      </c>
      <c r="I3418" t="s">
        <v>31</v>
      </c>
    </row>
    <row r="3419" spans="1:13" x14ac:dyDescent="0.3">
      <c r="A3419" t="str">
        <f>"09462538"</f>
        <v>09462538</v>
      </c>
      <c r="B3419" t="s">
        <v>6814</v>
      </c>
      <c r="C3419" t="str">
        <f t="shared" si="252"/>
        <v>706</v>
      </c>
      <c r="D3419" t="s">
        <v>28</v>
      </c>
      <c r="E3419" t="s">
        <v>23</v>
      </c>
      <c r="F3419" t="s">
        <v>688</v>
      </c>
      <c r="G3419" t="s">
        <v>6815</v>
      </c>
      <c r="H3419" t="str">
        <f>"94996"</f>
        <v>94996</v>
      </c>
      <c r="I3419" t="s">
        <v>47</v>
      </c>
    </row>
    <row r="3420" spans="1:13" x14ac:dyDescent="0.3">
      <c r="A3420" t="str">
        <f>"22865926"</f>
        <v>22865926</v>
      </c>
      <c r="B3420" t="s">
        <v>6816</v>
      </c>
      <c r="C3420" t="str">
        <f t="shared" si="252"/>
        <v>706</v>
      </c>
      <c r="D3420" t="s">
        <v>28</v>
      </c>
      <c r="E3420" t="s">
        <v>29</v>
      </c>
      <c r="F3420" t="s">
        <v>1654</v>
      </c>
      <c r="G3420" t="s">
        <v>6817</v>
      </c>
      <c r="H3420" t="str">
        <f>"94995"</f>
        <v>94995</v>
      </c>
      <c r="I3420" t="s">
        <v>232</v>
      </c>
    </row>
    <row r="3421" spans="1:13" x14ac:dyDescent="0.3">
      <c r="A3421" t="str">
        <f>"26570793"</f>
        <v>26570793</v>
      </c>
      <c r="B3421" t="s">
        <v>6818</v>
      </c>
      <c r="C3421" t="str">
        <f t="shared" si="252"/>
        <v>706</v>
      </c>
      <c r="D3421" t="s">
        <v>28</v>
      </c>
      <c r="E3421" t="s">
        <v>23</v>
      </c>
      <c r="F3421" t="s">
        <v>23</v>
      </c>
      <c r="G3421" t="s">
        <v>6792</v>
      </c>
      <c r="H3421" t="str">
        <f>"93190"</f>
        <v>93190</v>
      </c>
      <c r="I3421" t="s">
        <v>59</v>
      </c>
    </row>
    <row r="3422" spans="1:13" x14ac:dyDescent="0.3">
      <c r="A3422" t="str">
        <f>"05811660"</f>
        <v>05811660</v>
      </c>
      <c r="B3422" t="s">
        <v>6819</v>
      </c>
      <c r="C3422" t="str">
        <f t="shared" si="252"/>
        <v>706</v>
      </c>
      <c r="D3422" t="s">
        <v>28</v>
      </c>
      <c r="E3422" t="s">
        <v>23</v>
      </c>
      <c r="F3422" t="s">
        <v>23</v>
      </c>
      <c r="G3422" t="s">
        <v>6820</v>
      </c>
      <c r="H3422" t="str">
        <f>"93190"</f>
        <v>93190</v>
      </c>
      <c r="I3422" t="s">
        <v>59</v>
      </c>
    </row>
    <row r="3423" spans="1:13" x14ac:dyDescent="0.3">
      <c r="A3423" t="str">
        <f>"70953813"</f>
        <v>70953813</v>
      </c>
      <c r="B3423" t="s">
        <v>6821</v>
      </c>
      <c r="C3423" t="str">
        <f>"736"</f>
        <v>736</v>
      </c>
      <c r="D3423" t="s">
        <v>22</v>
      </c>
      <c r="E3423" t="s">
        <v>23</v>
      </c>
      <c r="F3423" t="s">
        <v>23</v>
      </c>
      <c r="G3423" t="s">
        <v>6822</v>
      </c>
      <c r="H3423" t="str">
        <f>"931"</f>
        <v>931</v>
      </c>
      <c r="I3423" t="s">
        <v>26</v>
      </c>
    </row>
    <row r="3424" spans="1:13" x14ac:dyDescent="0.3">
      <c r="A3424" t="str">
        <f>"04024915"</f>
        <v>04024915</v>
      </c>
      <c r="B3424" t="s">
        <v>6823</v>
      </c>
      <c r="C3424" t="str">
        <f t="shared" ref="C3424:C3430" si="253">"706"</f>
        <v>706</v>
      </c>
      <c r="D3424" t="s">
        <v>28</v>
      </c>
      <c r="E3424" t="s">
        <v>29</v>
      </c>
      <c r="F3424" t="s">
        <v>29</v>
      </c>
      <c r="G3424" t="s">
        <v>716</v>
      </c>
      <c r="H3424" t="str">
        <f>"8899"</f>
        <v>8899</v>
      </c>
      <c r="I3424" t="s">
        <v>40</v>
      </c>
    </row>
    <row r="3425" spans="1:9" x14ac:dyDescent="0.3">
      <c r="A3425" t="str">
        <f>"26990849"</f>
        <v>26990849</v>
      </c>
      <c r="B3425" t="s">
        <v>6824</v>
      </c>
      <c r="C3425" t="str">
        <f t="shared" si="253"/>
        <v>706</v>
      </c>
      <c r="D3425" t="s">
        <v>28</v>
      </c>
      <c r="E3425" t="s">
        <v>52</v>
      </c>
      <c r="F3425" t="s">
        <v>1676</v>
      </c>
      <c r="G3425" t="s">
        <v>6825</v>
      </c>
      <c r="H3425" t="str">
        <f>"9499"</f>
        <v>9499</v>
      </c>
      <c r="I3425" t="s">
        <v>31</v>
      </c>
    </row>
    <row r="3426" spans="1:9" x14ac:dyDescent="0.3">
      <c r="A3426" t="str">
        <f>"22887121"</f>
        <v>22887121</v>
      </c>
      <c r="B3426" t="s">
        <v>6826</v>
      </c>
      <c r="C3426" t="str">
        <f t="shared" si="253"/>
        <v>706</v>
      </c>
      <c r="D3426" t="s">
        <v>28</v>
      </c>
      <c r="E3426" t="s">
        <v>52</v>
      </c>
      <c r="F3426" t="s">
        <v>514</v>
      </c>
      <c r="G3426" t="s">
        <v>6827</v>
      </c>
      <c r="H3426" t="str">
        <f>"9499"</f>
        <v>9499</v>
      </c>
      <c r="I3426" t="s">
        <v>31</v>
      </c>
    </row>
    <row r="3427" spans="1:9" x14ac:dyDescent="0.3">
      <c r="A3427" t="str">
        <f>"01974777"</f>
        <v>01974777</v>
      </c>
      <c r="B3427" t="s">
        <v>6828</v>
      </c>
      <c r="C3427" t="str">
        <f t="shared" si="253"/>
        <v>706</v>
      </c>
      <c r="D3427" t="s">
        <v>28</v>
      </c>
      <c r="E3427" t="s">
        <v>23</v>
      </c>
      <c r="F3427" t="s">
        <v>23</v>
      </c>
      <c r="G3427" t="s">
        <v>6829</v>
      </c>
      <c r="H3427" t="str">
        <f>"9499"</f>
        <v>9499</v>
      </c>
      <c r="I3427" t="s">
        <v>31</v>
      </c>
    </row>
    <row r="3428" spans="1:9" x14ac:dyDescent="0.3">
      <c r="A3428" t="str">
        <f>"07249501"</f>
        <v>07249501</v>
      </c>
      <c r="B3428" t="s">
        <v>6830</v>
      </c>
      <c r="C3428" t="str">
        <f t="shared" si="253"/>
        <v>706</v>
      </c>
      <c r="D3428" t="s">
        <v>28</v>
      </c>
      <c r="E3428" t="s">
        <v>23</v>
      </c>
      <c r="F3428" t="s">
        <v>23</v>
      </c>
      <c r="G3428" t="s">
        <v>6831</v>
      </c>
      <c r="H3428" t="str">
        <f>"93110"</f>
        <v>93110</v>
      </c>
      <c r="I3428" t="s">
        <v>92</v>
      </c>
    </row>
    <row r="3429" spans="1:9" x14ac:dyDescent="0.3">
      <c r="A3429" t="str">
        <f>"22856391"</f>
        <v>22856391</v>
      </c>
      <c r="B3429" t="s">
        <v>6832</v>
      </c>
      <c r="C3429" t="str">
        <f t="shared" si="253"/>
        <v>706</v>
      </c>
      <c r="D3429" t="s">
        <v>28</v>
      </c>
      <c r="E3429" t="s">
        <v>52</v>
      </c>
      <c r="F3429" t="s">
        <v>234</v>
      </c>
      <c r="G3429" t="s">
        <v>1414</v>
      </c>
      <c r="H3429" t="str">
        <f>"94996"</f>
        <v>94996</v>
      </c>
      <c r="I3429" t="s">
        <v>47</v>
      </c>
    </row>
    <row r="3430" spans="1:9" x14ac:dyDescent="0.3">
      <c r="A3430" t="str">
        <f>"22831223"</f>
        <v>22831223</v>
      </c>
      <c r="B3430" t="s">
        <v>6833</v>
      </c>
      <c r="C3430" t="str">
        <f t="shared" si="253"/>
        <v>706</v>
      </c>
      <c r="D3430" t="s">
        <v>28</v>
      </c>
      <c r="E3430" t="s">
        <v>23</v>
      </c>
      <c r="F3430" t="s">
        <v>23</v>
      </c>
      <c r="G3430" t="s">
        <v>6834</v>
      </c>
      <c r="H3430" t="str">
        <f>"94999"</f>
        <v>94999</v>
      </c>
      <c r="I3430" t="s">
        <v>202</v>
      </c>
    </row>
    <row r="3431" spans="1:9" x14ac:dyDescent="0.3">
      <c r="A3431" t="str">
        <f>"73635618"</f>
        <v>73635618</v>
      </c>
      <c r="B3431" t="s">
        <v>6835</v>
      </c>
      <c r="C3431" t="str">
        <f>"722"</f>
        <v>722</v>
      </c>
      <c r="D3431" t="s">
        <v>315</v>
      </c>
      <c r="E3431" t="s">
        <v>83</v>
      </c>
      <c r="F3431" t="s">
        <v>130</v>
      </c>
      <c r="G3431" t="s">
        <v>6006</v>
      </c>
      <c r="H3431" t="str">
        <f>"94910"</f>
        <v>94910</v>
      </c>
      <c r="I3431" t="s">
        <v>316</v>
      </c>
    </row>
    <row r="3432" spans="1:9" x14ac:dyDescent="0.3">
      <c r="A3432" t="str">
        <f>"05129893"</f>
        <v>05129893</v>
      </c>
      <c r="B3432" t="s">
        <v>6836</v>
      </c>
      <c r="C3432" t="str">
        <f>"161"</f>
        <v>161</v>
      </c>
      <c r="D3432" t="s">
        <v>152</v>
      </c>
      <c r="E3432" t="s">
        <v>29</v>
      </c>
      <c r="F3432" t="s">
        <v>38</v>
      </c>
      <c r="G3432" t="s">
        <v>6837</v>
      </c>
      <c r="H3432" t="str">
        <f>"855"</f>
        <v>855</v>
      </c>
      <c r="I3432" t="s">
        <v>146</v>
      </c>
    </row>
    <row r="3433" spans="1:9" x14ac:dyDescent="0.3">
      <c r="A3433" t="str">
        <f>"08860599"</f>
        <v>08860599</v>
      </c>
      <c r="B3433" t="s">
        <v>6838</v>
      </c>
      <c r="C3433" t="str">
        <f>"706"</f>
        <v>706</v>
      </c>
      <c r="D3433" t="s">
        <v>28</v>
      </c>
      <c r="E3433" t="s">
        <v>83</v>
      </c>
      <c r="F3433" t="s">
        <v>4274</v>
      </c>
      <c r="G3433" t="s">
        <v>6839</v>
      </c>
      <c r="H3433" t="str">
        <f>"9499"</f>
        <v>9499</v>
      </c>
      <c r="I3433" t="s">
        <v>31</v>
      </c>
    </row>
    <row r="3434" spans="1:9" x14ac:dyDescent="0.3">
      <c r="A3434" t="str">
        <f>"26999200"</f>
        <v>26999200</v>
      </c>
      <c r="B3434" t="s">
        <v>6840</v>
      </c>
      <c r="C3434" t="str">
        <f>"706"</f>
        <v>706</v>
      </c>
      <c r="D3434" t="s">
        <v>28</v>
      </c>
      <c r="E3434" t="s">
        <v>83</v>
      </c>
      <c r="F3434" t="s">
        <v>227</v>
      </c>
      <c r="G3434" t="s">
        <v>5602</v>
      </c>
      <c r="H3434" t="str">
        <f>"93110"</f>
        <v>93110</v>
      </c>
      <c r="I3434" t="s">
        <v>92</v>
      </c>
    </row>
    <row r="3435" spans="1:9" x14ac:dyDescent="0.3">
      <c r="A3435" t="str">
        <f>"01554344"</f>
        <v>01554344</v>
      </c>
      <c r="B3435" t="s">
        <v>6841</v>
      </c>
      <c r="C3435" t="str">
        <f>"706"</f>
        <v>706</v>
      </c>
      <c r="D3435" t="s">
        <v>28</v>
      </c>
      <c r="E3435" t="s">
        <v>23</v>
      </c>
      <c r="F3435" t="s">
        <v>23</v>
      </c>
      <c r="G3435" t="s">
        <v>6842</v>
      </c>
      <c r="H3435" t="str">
        <f>"9499"</f>
        <v>9499</v>
      </c>
      <c r="I3435" t="s">
        <v>31</v>
      </c>
    </row>
    <row r="3436" spans="1:9" x14ac:dyDescent="0.3">
      <c r="A3436" t="str">
        <f>"70908621"</f>
        <v>70908621</v>
      </c>
      <c r="B3436" t="s">
        <v>6843</v>
      </c>
      <c r="C3436" t="str">
        <f>"722"</f>
        <v>722</v>
      </c>
      <c r="D3436" t="s">
        <v>315</v>
      </c>
      <c r="E3436" t="s">
        <v>83</v>
      </c>
      <c r="F3436" t="s">
        <v>83</v>
      </c>
      <c r="G3436" t="s">
        <v>1561</v>
      </c>
      <c r="H3436" t="str">
        <f>"94910"</f>
        <v>94910</v>
      </c>
      <c r="I3436" t="s">
        <v>316</v>
      </c>
    </row>
    <row r="3437" spans="1:9" x14ac:dyDescent="0.3">
      <c r="A3437" t="str">
        <f>"25575899"</f>
        <v>25575899</v>
      </c>
      <c r="B3437" t="s">
        <v>6844</v>
      </c>
      <c r="C3437" t="str">
        <f>"141"</f>
        <v>141</v>
      </c>
      <c r="D3437" t="s">
        <v>112</v>
      </c>
      <c r="E3437" t="s">
        <v>23</v>
      </c>
      <c r="F3437" t="s">
        <v>23</v>
      </c>
      <c r="G3437" t="s">
        <v>6845</v>
      </c>
      <c r="H3437" t="str">
        <f>"86909"</f>
        <v>86909</v>
      </c>
      <c r="I3437" t="s">
        <v>1176</v>
      </c>
    </row>
    <row r="3438" spans="1:9" x14ac:dyDescent="0.3">
      <c r="A3438" t="str">
        <f>"67024386"</f>
        <v>67024386</v>
      </c>
      <c r="B3438" t="s">
        <v>6846</v>
      </c>
      <c r="C3438" t="str">
        <f t="shared" ref="C3438:C3446" si="254">"706"</f>
        <v>706</v>
      </c>
      <c r="D3438" t="s">
        <v>28</v>
      </c>
      <c r="E3438" t="s">
        <v>23</v>
      </c>
      <c r="F3438" t="s">
        <v>23</v>
      </c>
      <c r="G3438" t="s">
        <v>23</v>
      </c>
      <c r="H3438" t="str">
        <f>"9499"</f>
        <v>9499</v>
      </c>
      <c r="I3438" t="s">
        <v>31</v>
      </c>
    </row>
    <row r="3439" spans="1:9" x14ac:dyDescent="0.3">
      <c r="A3439" t="str">
        <f>"65497431"</f>
        <v>65497431</v>
      </c>
      <c r="B3439" t="s">
        <v>6847</v>
      </c>
      <c r="C3439" t="str">
        <f t="shared" si="254"/>
        <v>706</v>
      </c>
      <c r="D3439" t="s">
        <v>28</v>
      </c>
      <c r="E3439" t="s">
        <v>23</v>
      </c>
      <c r="F3439" t="s">
        <v>23</v>
      </c>
      <c r="G3439" t="s">
        <v>457</v>
      </c>
      <c r="H3439" t="str">
        <f>"94996"</f>
        <v>94996</v>
      </c>
      <c r="I3439" t="s">
        <v>47</v>
      </c>
    </row>
    <row r="3440" spans="1:9" x14ac:dyDescent="0.3">
      <c r="A3440" t="str">
        <f>"01222295"</f>
        <v>01222295</v>
      </c>
      <c r="B3440" t="s">
        <v>6848</v>
      </c>
      <c r="C3440" t="str">
        <f t="shared" si="254"/>
        <v>706</v>
      </c>
      <c r="D3440" t="s">
        <v>28</v>
      </c>
      <c r="E3440" t="s">
        <v>29</v>
      </c>
      <c r="F3440" t="s">
        <v>38</v>
      </c>
      <c r="G3440" t="s">
        <v>2687</v>
      </c>
      <c r="H3440" t="str">
        <f>"94995"</f>
        <v>94995</v>
      </c>
      <c r="I3440" t="s">
        <v>232</v>
      </c>
    </row>
    <row r="3441" spans="1:9" x14ac:dyDescent="0.3">
      <c r="A3441" t="str">
        <f>"02222639"</f>
        <v>02222639</v>
      </c>
      <c r="B3441" t="s">
        <v>6849</v>
      </c>
      <c r="C3441" t="str">
        <f t="shared" si="254"/>
        <v>706</v>
      </c>
      <c r="D3441" t="s">
        <v>28</v>
      </c>
      <c r="E3441" t="s">
        <v>23</v>
      </c>
      <c r="F3441" t="s">
        <v>23</v>
      </c>
      <c r="G3441" t="s">
        <v>6850</v>
      </c>
      <c r="H3441" t="str">
        <f>"9499"</f>
        <v>9499</v>
      </c>
      <c r="I3441" t="s">
        <v>31</v>
      </c>
    </row>
    <row r="3442" spans="1:9" x14ac:dyDescent="0.3">
      <c r="A3442" t="str">
        <f>"01230565"</f>
        <v>01230565</v>
      </c>
      <c r="B3442" t="s">
        <v>6851</v>
      </c>
      <c r="C3442" t="str">
        <f t="shared" si="254"/>
        <v>706</v>
      </c>
      <c r="D3442" t="s">
        <v>28</v>
      </c>
      <c r="E3442" t="s">
        <v>52</v>
      </c>
      <c r="F3442" t="s">
        <v>4762</v>
      </c>
      <c r="G3442" t="s">
        <v>6852</v>
      </c>
      <c r="H3442" t="str">
        <f>"9499"</f>
        <v>9499</v>
      </c>
      <c r="I3442" t="s">
        <v>31</v>
      </c>
    </row>
    <row r="3443" spans="1:9" x14ac:dyDescent="0.3">
      <c r="A3443" t="str">
        <f>"04984358"</f>
        <v>04984358</v>
      </c>
      <c r="B3443" t="s">
        <v>6853</v>
      </c>
      <c r="C3443" t="str">
        <f t="shared" si="254"/>
        <v>706</v>
      </c>
      <c r="D3443" t="s">
        <v>28</v>
      </c>
      <c r="E3443" t="s">
        <v>52</v>
      </c>
      <c r="F3443" t="s">
        <v>65</v>
      </c>
      <c r="G3443" t="s">
        <v>6854</v>
      </c>
      <c r="H3443" t="str">
        <f>"9499"</f>
        <v>9499</v>
      </c>
      <c r="I3443" t="s">
        <v>31</v>
      </c>
    </row>
    <row r="3444" spans="1:9" x14ac:dyDescent="0.3">
      <c r="A3444" t="str">
        <f>"03842053"</f>
        <v>03842053</v>
      </c>
      <c r="B3444" t="s">
        <v>6855</v>
      </c>
      <c r="C3444" t="str">
        <f t="shared" si="254"/>
        <v>706</v>
      </c>
      <c r="D3444" t="s">
        <v>28</v>
      </c>
      <c r="E3444" t="s">
        <v>52</v>
      </c>
      <c r="F3444" t="s">
        <v>1679</v>
      </c>
      <c r="G3444" t="s">
        <v>6856</v>
      </c>
      <c r="H3444" t="str">
        <f>"9499"</f>
        <v>9499</v>
      </c>
      <c r="I3444" t="s">
        <v>31</v>
      </c>
    </row>
    <row r="3445" spans="1:9" x14ac:dyDescent="0.3">
      <c r="A3445" t="str">
        <f>"26538181"</f>
        <v>26538181</v>
      </c>
      <c r="B3445" t="s">
        <v>6857</v>
      </c>
      <c r="C3445" t="str">
        <f t="shared" si="254"/>
        <v>706</v>
      </c>
      <c r="D3445" t="s">
        <v>28</v>
      </c>
      <c r="E3445" t="s">
        <v>52</v>
      </c>
      <c r="F3445" t="s">
        <v>344</v>
      </c>
      <c r="G3445" t="s">
        <v>6858</v>
      </c>
      <c r="H3445" t="str">
        <f>"94991"</f>
        <v>94991</v>
      </c>
      <c r="I3445" t="s">
        <v>433</v>
      </c>
    </row>
    <row r="3446" spans="1:9" x14ac:dyDescent="0.3">
      <c r="A3446" t="str">
        <f>"17799759"</f>
        <v>17799759</v>
      </c>
      <c r="B3446" t="s">
        <v>6859</v>
      </c>
      <c r="C3446" t="str">
        <f t="shared" si="254"/>
        <v>706</v>
      </c>
      <c r="D3446" t="s">
        <v>28</v>
      </c>
      <c r="E3446" t="s">
        <v>52</v>
      </c>
      <c r="F3446" t="s">
        <v>4762</v>
      </c>
      <c r="G3446" t="s">
        <v>6860</v>
      </c>
      <c r="H3446" t="str">
        <f>"9499"</f>
        <v>9499</v>
      </c>
      <c r="I3446" t="s">
        <v>31</v>
      </c>
    </row>
    <row r="3447" spans="1:9" x14ac:dyDescent="0.3">
      <c r="A3447" t="str">
        <f>"70907501"</f>
        <v>70907501</v>
      </c>
      <c r="B3447" t="s">
        <v>6861</v>
      </c>
      <c r="C3447" t="str">
        <f>"736"</f>
        <v>736</v>
      </c>
      <c r="D3447" t="s">
        <v>22</v>
      </c>
      <c r="E3447" t="s">
        <v>52</v>
      </c>
      <c r="F3447" t="s">
        <v>1894</v>
      </c>
      <c r="G3447" t="s">
        <v>6862</v>
      </c>
      <c r="H3447" t="str">
        <f>"9499"</f>
        <v>9499</v>
      </c>
      <c r="I3447" t="s">
        <v>31</v>
      </c>
    </row>
    <row r="3448" spans="1:9" x14ac:dyDescent="0.3">
      <c r="A3448" t="str">
        <f>"22874828"</f>
        <v>22874828</v>
      </c>
      <c r="B3448" t="s">
        <v>6863</v>
      </c>
      <c r="C3448" t="str">
        <f>"706"</f>
        <v>706</v>
      </c>
      <c r="D3448" t="s">
        <v>28</v>
      </c>
      <c r="E3448" t="s">
        <v>83</v>
      </c>
      <c r="F3448" t="s">
        <v>480</v>
      </c>
      <c r="G3448" t="s">
        <v>6864</v>
      </c>
      <c r="H3448" t="str">
        <f>"94993"</f>
        <v>94993</v>
      </c>
      <c r="I3448" t="s">
        <v>50</v>
      </c>
    </row>
    <row r="3449" spans="1:9" x14ac:dyDescent="0.3">
      <c r="A3449" t="str">
        <f>"14260921"</f>
        <v>14260921</v>
      </c>
      <c r="B3449" t="s">
        <v>6865</v>
      </c>
      <c r="C3449" t="str">
        <f>"706"</f>
        <v>706</v>
      </c>
      <c r="D3449" t="s">
        <v>28</v>
      </c>
      <c r="E3449" t="s">
        <v>23</v>
      </c>
      <c r="F3449" t="s">
        <v>5347</v>
      </c>
      <c r="G3449" t="s">
        <v>6866</v>
      </c>
      <c r="H3449" t="str">
        <f>"94999"</f>
        <v>94999</v>
      </c>
      <c r="I3449" t="s">
        <v>202</v>
      </c>
    </row>
    <row r="3450" spans="1:9" x14ac:dyDescent="0.3">
      <c r="A3450" t="str">
        <f>"47930632"</f>
        <v>47930632</v>
      </c>
      <c r="B3450" t="s">
        <v>6867</v>
      </c>
      <c r="C3450" t="str">
        <f>"706"</f>
        <v>706</v>
      </c>
      <c r="D3450" t="s">
        <v>28</v>
      </c>
      <c r="E3450" t="s">
        <v>83</v>
      </c>
      <c r="F3450" t="s">
        <v>230</v>
      </c>
      <c r="G3450" t="s">
        <v>83</v>
      </c>
      <c r="H3450" t="str">
        <f>"94"</f>
        <v>94</v>
      </c>
      <c r="I3450" t="s">
        <v>1016</v>
      </c>
    </row>
    <row r="3451" spans="1:9" x14ac:dyDescent="0.3">
      <c r="A3451" t="str">
        <f>"07645856"</f>
        <v>07645856</v>
      </c>
      <c r="B3451" t="s">
        <v>6868</v>
      </c>
      <c r="C3451" t="str">
        <f>"706"</f>
        <v>706</v>
      </c>
      <c r="D3451" t="s">
        <v>28</v>
      </c>
      <c r="E3451" t="s">
        <v>83</v>
      </c>
      <c r="F3451" t="s">
        <v>6742</v>
      </c>
      <c r="G3451" t="s">
        <v>6869</v>
      </c>
      <c r="H3451" t="str">
        <f>"9499"</f>
        <v>9499</v>
      </c>
      <c r="I3451" t="s">
        <v>31</v>
      </c>
    </row>
    <row r="3452" spans="1:9" x14ac:dyDescent="0.3">
      <c r="A3452" t="str">
        <f>"22862773"</f>
        <v>22862773</v>
      </c>
      <c r="B3452" t="s">
        <v>6870</v>
      </c>
      <c r="C3452" t="str">
        <f>"706"</f>
        <v>706</v>
      </c>
      <c r="D3452" t="s">
        <v>28</v>
      </c>
      <c r="E3452" t="s">
        <v>52</v>
      </c>
      <c r="F3452" t="s">
        <v>334</v>
      </c>
      <c r="G3452" t="s">
        <v>1085</v>
      </c>
      <c r="H3452" t="str">
        <f>"94999"</f>
        <v>94999</v>
      </c>
      <c r="I3452" t="s">
        <v>202</v>
      </c>
    </row>
    <row r="3453" spans="1:9" x14ac:dyDescent="0.3">
      <c r="A3453" t="str">
        <f>"14096544"</f>
        <v>14096544</v>
      </c>
      <c r="B3453" t="s">
        <v>6871</v>
      </c>
      <c r="C3453" t="str">
        <f>"736"</f>
        <v>736</v>
      </c>
      <c r="D3453" t="s">
        <v>22</v>
      </c>
      <c r="E3453" t="s">
        <v>23</v>
      </c>
      <c r="F3453" t="s">
        <v>1418</v>
      </c>
      <c r="G3453" t="s">
        <v>6872</v>
      </c>
      <c r="H3453" t="str">
        <f>"9499"</f>
        <v>9499</v>
      </c>
      <c r="I3453" t="s">
        <v>31</v>
      </c>
    </row>
    <row r="3454" spans="1:9" x14ac:dyDescent="0.3">
      <c r="A3454" t="str">
        <f>"13967461"</f>
        <v>13967461</v>
      </c>
      <c r="B3454" t="s">
        <v>6873</v>
      </c>
      <c r="C3454" t="str">
        <f>"706"</f>
        <v>706</v>
      </c>
      <c r="D3454" t="s">
        <v>28</v>
      </c>
      <c r="E3454" t="s">
        <v>23</v>
      </c>
      <c r="F3454" t="s">
        <v>1418</v>
      </c>
      <c r="G3454" t="s">
        <v>6872</v>
      </c>
      <c r="H3454" t="str">
        <f>"9499"</f>
        <v>9499</v>
      </c>
      <c r="I3454" t="s">
        <v>31</v>
      </c>
    </row>
    <row r="3455" spans="1:9" x14ac:dyDescent="0.3">
      <c r="A3455" t="str">
        <f>"01471481"</f>
        <v>01471481</v>
      </c>
      <c r="B3455" t="s">
        <v>6874</v>
      </c>
      <c r="C3455" t="str">
        <f>"706"</f>
        <v>706</v>
      </c>
      <c r="D3455" t="s">
        <v>28</v>
      </c>
      <c r="E3455" t="s">
        <v>83</v>
      </c>
      <c r="F3455" t="s">
        <v>130</v>
      </c>
      <c r="G3455" t="s">
        <v>6875</v>
      </c>
      <c r="H3455" t="str">
        <f>"9499"</f>
        <v>9499</v>
      </c>
      <c r="I3455" t="s">
        <v>31</v>
      </c>
    </row>
    <row r="3456" spans="1:9" x14ac:dyDescent="0.3">
      <c r="A3456" t="str">
        <f>"25554484"</f>
        <v>25554484</v>
      </c>
      <c r="B3456" t="s">
        <v>6876</v>
      </c>
      <c r="C3456" t="str">
        <f>"141"</f>
        <v>141</v>
      </c>
      <c r="D3456" t="s">
        <v>112</v>
      </c>
      <c r="E3456" t="s">
        <v>83</v>
      </c>
      <c r="F3456" t="s">
        <v>83</v>
      </c>
      <c r="G3456" t="s">
        <v>1356</v>
      </c>
      <c r="H3456" t="str">
        <f>"8559"</f>
        <v>8559</v>
      </c>
      <c r="I3456" t="s">
        <v>115</v>
      </c>
    </row>
    <row r="3457" spans="1:13" x14ac:dyDescent="0.3">
      <c r="A3457" t="str">
        <f>"22162577"</f>
        <v>22162577</v>
      </c>
      <c r="B3457" t="s">
        <v>6877</v>
      </c>
      <c r="C3457" t="str">
        <f t="shared" ref="C3457:C3463" si="255">"706"</f>
        <v>706</v>
      </c>
      <c r="D3457" t="s">
        <v>28</v>
      </c>
      <c r="E3457" t="s">
        <v>52</v>
      </c>
      <c r="F3457" t="s">
        <v>1908</v>
      </c>
      <c r="G3457" t="s">
        <v>6878</v>
      </c>
      <c r="H3457" t="str">
        <f>"94991"</f>
        <v>94991</v>
      </c>
      <c r="I3457" t="s">
        <v>433</v>
      </c>
    </row>
    <row r="3458" spans="1:13" x14ac:dyDescent="0.3">
      <c r="A3458" t="str">
        <f>"26641437"</f>
        <v>26641437</v>
      </c>
      <c r="B3458" t="s">
        <v>6879</v>
      </c>
      <c r="C3458" t="str">
        <f t="shared" si="255"/>
        <v>706</v>
      </c>
      <c r="D3458" t="s">
        <v>28</v>
      </c>
      <c r="E3458" t="s">
        <v>29</v>
      </c>
      <c r="F3458" t="s">
        <v>29</v>
      </c>
      <c r="G3458" t="s">
        <v>6359</v>
      </c>
      <c r="H3458" t="str">
        <f>"93110"</f>
        <v>93110</v>
      </c>
      <c r="I3458" t="s">
        <v>92</v>
      </c>
    </row>
    <row r="3459" spans="1:13" x14ac:dyDescent="0.3">
      <c r="A3459" t="str">
        <f>"14176068"</f>
        <v>14176068</v>
      </c>
      <c r="B3459" t="s">
        <v>6880</v>
      </c>
      <c r="C3459" t="str">
        <f t="shared" si="255"/>
        <v>706</v>
      </c>
      <c r="D3459" t="s">
        <v>28</v>
      </c>
      <c r="E3459" t="s">
        <v>29</v>
      </c>
      <c r="F3459" t="s">
        <v>5168</v>
      </c>
      <c r="G3459" t="s">
        <v>6881</v>
      </c>
      <c r="H3459" t="str">
        <f>"9499"</f>
        <v>9499</v>
      </c>
      <c r="I3459" t="s">
        <v>31</v>
      </c>
    </row>
    <row r="3460" spans="1:13" x14ac:dyDescent="0.3">
      <c r="A3460" t="str">
        <f>"26533120"</f>
        <v>26533120</v>
      </c>
      <c r="B3460" t="s">
        <v>6882</v>
      </c>
      <c r="C3460" t="str">
        <f t="shared" si="255"/>
        <v>706</v>
      </c>
      <c r="D3460" t="s">
        <v>28</v>
      </c>
      <c r="E3460" t="s">
        <v>29</v>
      </c>
      <c r="F3460" t="s">
        <v>1445</v>
      </c>
      <c r="G3460" t="s">
        <v>6883</v>
      </c>
      <c r="H3460" t="str">
        <f>"9499"</f>
        <v>9499</v>
      </c>
      <c r="I3460" t="s">
        <v>31</v>
      </c>
    </row>
    <row r="3461" spans="1:13" x14ac:dyDescent="0.3">
      <c r="A3461" t="str">
        <f>"14270421"</f>
        <v>14270421</v>
      </c>
      <c r="B3461" t="s">
        <v>6884</v>
      </c>
      <c r="C3461" t="str">
        <f t="shared" si="255"/>
        <v>706</v>
      </c>
      <c r="D3461" t="s">
        <v>28</v>
      </c>
      <c r="E3461" t="s">
        <v>23</v>
      </c>
      <c r="F3461" t="s">
        <v>23</v>
      </c>
      <c r="G3461" t="s">
        <v>6885</v>
      </c>
      <c r="H3461" t="str">
        <f>"9499"</f>
        <v>9499</v>
      </c>
      <c r="I3461" t="s">
        <v>31</v>
      </c>
    </row>
    <row r="3462" spans="1:13" x14ac:dyDescent="0.3">
      <c r="A3462" t="str">
        <f>"26519135"</f>
        <v>26519135</v>
      </c>
      <c r="B3462" t="s">
        <v>6886</v>
      </c>
      <c r="C3462" t="str">
        <f t="shared" si="255"/>
        <v>706</v>
      </c>
      <c r="D3462" t="s">
        <v>28</v>
      </c>
      <c r="E3462" t="s">
        <v>23</v>
      </c>
      <c r="F3462" t="s">
        <v>1880</v>
      </c>
      <c r="G3462" t="s">
        <v>1881</v>
      </c>
      <c r="H3462" t="str">
        <f>"9499"</f>
        <v>9499</v>
      </c>
      <c r="I3462" t="s">
        <v>31</v>
      </c>
    </row>
    <row r="3463" spans="1:13" x14ac:dyDescent="0.3">
      <c r="A3463" t="str">
        <f>"67727964"</f>
        <v>67727964</v>
      </c>
      <c r="B3463" t="s">
        <v>6887</v>
      </c>
      <c r="C3463" t="str">
        <f t="shared" si="255"/>
        <v>706</v>
      </c>
      <c r="D3463" t="s">
        <v>28</v>
      </c>
      <c r="E3463" t="s">
        <v>29</v>
      </c>
      <c r="F3463" t="s">
        <v>38</v>
      </c>
      <c r="G3463" t="s">
        <v>6888</v>
      </c>
      <c r="H3463" t="str">
        <f>"74"</f>
        <v>74</v>
      </c>
      <c r="I3463" t="s">
        <v>423</v>
      </c>
    </row>
    <row r="3464" spans="1:13" x14ac:dyDescent="0.3">
      <c r="A3464" t="str">
        <f>"22688161"</f>
        <v>22688161</v>
      </c>
      <c r="B3464" t="s">
        <v>6889</v>
      </c>
      <c r="C3464" t="str">
        <f t="shared" ref="C3464:C3500" si="256">"706"</f>
        <v>706</v>
      </c>
      <c r="D3464" t="s">
        <v>28</v>
      </c>
      <c r="E3464" t="s">
        <v>52</v>
      </c>
      <c r="F3464" t="s">
        <v>52</v>
      </c>
      <c r="G3464" t="s">
        <v>6890</v>
      </c>
      <c r="H3464" t="str">
        <f>"93110"</f>
        <v>93110</v>
      </c>
      <c r="I3464" t="s">
        <v>92</v>
      </c>
    </row>
    <row r="3465" spans="1:13" x14ac:dyDescent="0.3">
      <c r="A3465" t="str">
        <f>"22856188"</f>
        <v>22856188</v>
      </c>
      <c r="B3465" t="s">
        <v>6891</v>
      </c>
      <c r="C3465" t="str">
        <f t="shared" si="256"/>
        <v>706</v>
      </c>
      <c r="D3465" t="s">
        <v>28</v>
      </c>
      <c r="E3465" t="s">
        <v>83</v>
      </c>
      <c r="F3465" t="s">
        <v>4274</v>
      </c>
      <c r="G3465" t="s">
        <v>6892</v>
      </c>
      <c r="H3465" t="str">
        <f>"900"</f>
        <v>900</v>
      </c>
      <c r="I3465" t="s">
        <v>500</v>
      </c>
    </row>
    <row r="3466" spans="1:13" x14ac:dyDescent="0.3">
      <c r="A3466" t="str">
        <f>"22898581"</f>
        <v>22898581</v>
      </c>
      <c r="B3466" t="s">
        <v>6893</v>
      </c>
      <c r="C3466" t="str">
        <f t="shared" si="256"/>
        <v>706</v>
      </c>
      <c r="D3466" t="s">
        <v>28</v>
      </c>
      <c r="E3466" t="s">
        <v>83</v>
      </c>
      <c r="F3466" t="s">
        <v>537</v>
      </c>
      <c r="G3466" t="s">
        <v>6894</v>
      </c>
      <c r="H3466" t="str">
        <f>"56100"</f>
        <v>56100</v>
      </c>
      <c r="I3466" t="s">
        <v>161</v>
      </c>
      <c r="J3466" t="s">
        <v>31</v>
      </c>
      <c r="K3466" t="s">
        <v>209</v>
      </c>
      <c r="L3466" t="s">
        <v>163</v>
      </c>
      <c r="M3466" t="s">
        <v>59</v>
      </c>
    </row>
    <row r="3467" spans="1:13" x14ac:dyDescent="0.3">
      <c r="A3467" t="str">
        <f>"22673687"</f>
        <v>22673687</v>
      </c>
      <c r="B3467" t="s">
        <v>6895</v>
      </c>
      <c r="C3467" t="str">
        <f t="shared" si="256"/>
        <v>706</v>
      </c>
      <c r="D3467" t="s">
        <v>28</v>
      </c>
      <c r="E3467" t="s">
        <v>83</v>
      </c>
      <c r="F3467" t="s">
        <v>83</v>
      </c>
      <c r="G3467" t="s">
        <v>6896</v>
      </c>
      <c r="H3467" t="str">
        <f>"9499"</f>
        <v>9499</v>
      </c>
      <c r="I3467" t="s">
        <v>31</v>
      </c>
    </row>
    <row r="3468" spans="1:13" x14ac:dyDescent="0.3">
      <c r="A3468" t="str">
        <f>"26570106"</f>
        <v>26570106</v>
      </c>
      <c r="B3468" t="s">
        <v>6897</v>
      </c>
      <c r="C3468" t="str">
        <f t="shared" si="256"/>
        <v>706</v>
      </c>
      <c r="D3468" t="s">
        <v>28</v>
      </c>
      <c r="E3468" t="s">
        <v>23</v>
      </c>
      <c r="F3468" t="s">
        <v>24</v>
      </c>
      <c r="G3468" t="s">
        <v>6898</v>
      </c>
      <c r="H3468" t="str">
        <f>"94996"</f>
        <v>94996</v>
      </c>
      <c r="I3468" t="s">
        <v>47</v>
      </c>
    </row>
    <row r="3469" spans="1:13" x14ac:dyDescent="0.3">
      <c r="A3469" t="str">
        <f>"22710833"</f>
        <v>22710833</v>
      </c>
      <c r="B3469" t="s">
        <v>6899</v>
      </c>
      <c r="C3469" t="str">
        <f t="shared" si="256"/>
        <v>706</v>
      </c>
      <c r="D3469" t="s">
        <v>28</v>
      </c>
      <c r="E3469" t="s">
        <v>23</v>
      </c>
      <c r="F3469" t="s">
        <v>107</v>
      </c>
      <c r="G3469" t="s">
        <v>6559</v>
      </c>
      <c r="H3469" t="str">
        <f t="shared" ref="H3469:H3475" si="257">"9499"</f>
        <v>9499</v>
      </c>
      <c r="I3469" t="s">
        <v>31</v>
      </c>
    </row>
    <row r="3470" spans="1:13" x14ac:dyDescent="0.3">
      <c r="A3470" t="str">
        <f>"22766987"</f>
        <v>22766987</v>
      </c>
      <c r="B3470" t="s">
        <v>6900</v>
      </c>
      <c r="C3470" t="str">
        <f t="shared" si="256"/>
        <v>706</v>
      </c>
      <c r="D3470" t="s">
        <v>28</v>
      </c>
      <c r="E3470" t="s">
        <v>29</v>
      </c>
      <c r="F3470" t="s">
        <v>5168</v>
      </c>
      <c r="G3470" t="s">
        <v>6901</v>
      </c>
      <c r="H3470" t="str">
        <f t="shared" si="257"/>
        <v>9499</v>
      </c>
      <c r="I3470" t="s">
        <v>31</v>
      </c>
    </row>
    <row r="3471" spans="1:13" x14ac:dyDescent="0.3">
      <c r="A3471" t="str">
        <f>"01507362"</f>
        <v>01507362</v>
      </c>
      <c r="B3471" t="s">
        <v>6902</v>
      </c>
      <c r="C3471" t="str">
        <f t="shared" si="256"/>
        <v>706</v>
      </c>
      <c r="D3471" t="s">
        <v>28</v>
      </c>
      <c r="E3471" t="s">
        <v>83</v>
      </c>
      <c r="F3471" t="s">
        <v>537</v>
      </c>
      <c r="G3471" t="s">
        <v>6903</v>
      </c>
      <c r="H3471" t="str">
        <f t="shared" si="257"/>
        <v>9499</v>
      </c>
      <c r="I3471" t="s">
        <v>31</v>
      </c>
    </row>
    <row r="3472" spans="1:13" x14ac:dyDescent="0.3">
      <c r="A3472" t="str">
        <f>"06003656"</f>
        <v>06003656</v>
      </c>
      <c r="B3472" t="s">
        <v>6904</v>
      </c>
      <c r="C3472" t="str">
        <f t="shared" si="256"/>
        <v>706</v>
      </c>
      <c r="D3472" t="s">
        <v>28</v>
      </c>
      <c r="E3472" t="s">
        <v>52</v>
      </c>
      <c r="F3472" t="s">
        <v>73</v>
      </c>
      <c r="G3472" t="s">
        <v>4109</v>
      </c>
      <c r="H3472" t="str">
        <f t="shared" si="257"/>
        <v>9499</v>
      </c>
      <c r="I3472" t="s">
        <v>31</v>
      </c>
    </row>
    <row r="3473" spans="1:9" x14ac:dyDescent="0.3">
      <c r="A3473" t="str">
        <f>"19351321"</f>
        <v>19351321</v>
      </c>
      <c r="B3473" t="s">
        <v>6905</v>
      </c>
      <c r="C3473" t="str">
        <f t="shared" si="256"/>
        <v>706</v>
      </c>
      <c r="D3473" t="s">
        <v>28</v>
      </c>
      <c r="E3473" t="s">
        <v>52</v>
      </c>
      <c r="F3473" t="s">
        <v>1679</v>
      </c>
      <c r="G3473" t="s">
        <v>1870</v>
      </c>
      <c r="H3473" t="str">
        <f t="shared" si="257"/>
        <v>9499</v>
      </c>
      <c r="I3473" t="s">
        <v>31</v>
      </c>
    </row>
    <row r="3474" spans="1:9" x14ac:dyDescent="0.3">
      <c r="A3474" t="str">
        <f>"07857969"</f>
        <v>07857969</v>
      </c>
      <c r="B3474" t="s">
        <v>6906</v>
      </c>
      <c r="C3474" t="str">
        <f t="shared" si="256"/>
        <v>706</v>
      </c>
      <c r="D3474" t="s">
        <v>28</v>
      </c>
      <c r="E3474" t="s">
        <v>23</v>
      </c>
      <c r="F3474" t="s">
        <v>23</v>
      </c>
      <c r="G3474" t="s">
        <v>6907</v>
      </c>
      <c r="H3474" t="str">
        <f t="shared" si="257"/>
        <v>9499</v>
      </c>
      <c r="I3474" t="s">
        <v>31</v>
      </c>
    </row>
    <row r="3475" spans="1:9" x14ac:dyDescent="0.3">
      <c r="A3475" t="str">
        <f>"22716548"</f>
        <v>22716548</v>
      </c>
      <c r="B3475" t="s">
        <v>6908</v>
      </c>
      <c r="C3475" t="str">
        <f t="shared" si="256"/>
        <v>706</v>
      </c>
      <c r="D3475" t="s">
        <v>28</v>
      </c>
      <c r="E3475" t="s">
        <v>52</v>
      </c>
      <c r="F3475" t="s">
        <v>864</v>
      </c>
      <c r="G3475" t="s">
        <v>6909</v>
      </c>
      <c r="H3475" t="str">
        <f t="shared" si="257"/>
        <v>9499</v>
      </c>
      <c r="I3475" t="s">
        <v>31</v>
      </c>
    </row>
    <row r="3476" spans="1:9" x14ac:dyDescent="0.3">
      <c r="A3476" t="str">
        <f>"27053342"</f>
        <v>27053342</v>
      </c>
      <c r="B3476" t="s">
        <v>6910</v>
      </c>
      <c r="C3476" t="str">
        <f t="shared" si="256"/>
        <v>706</v>
      </c>
      <c r="D3476" t="s">
        <v>28</v>
      </c>
      <c r="E3476" t="s">
        <v>83</v>
      </c>
      <c r="F3476" t="s">
        <v>83</v>
      </c>
      <c r="G3476" t="s">
        <v>6911</v>
      </c>
      <c r="H3476" t="str">
        <f>"900"</f>
        <v>900</v>
      </c>
      <c r="I3476" t="s">
        <v>500</v>
      </c>
    </row>
    <row r="3477" spans="1:9" x14ac:dyDescent="0.3">
      <c r="A3477" t="str">
        <f>"22608672"</f>
        <v>22608672</v>
      </c>
      <c r="B3477" t="s">
        <v>6912</v>
      </c>
      <c r="C3477" t="str">
        <f t="shared" si="256"/>
        <v>706</v>
      </c>
      <c r="D3477" t="s">
        <v>28</v>
      </c>
      <c r="E3477" t="s">
        <v>52</v>
      </c>
      <c r="F3477" t="s">
        <v>5158</v>
      </c>
      <c r="G3477" t="s">
        <v>6913</v>
      </c>
      <c r="H3477" t="str">
        <f>"93120"</f>
        <v>93120</v>
      </c>
      <c r="I3477" t="s">
        <v>54</v>
      </c>
    </row>
    <row r="3478" spans="1:9" x14ac:dyDescent="0.3">
      <c r="A3478" t="str">
        <f>"26569485"</f>
        <v>26569485</v>
      </c>
      <c r="B3478" t="s">
        <v>6914</v>
      </c>
      <c r="C3478" t="str">
        <f t="shared" si="256"/>
        <v>706</v>
      </c>
      <c r="D3478" t="s">
        <v>28</v>
      </c>
      <c r="E3478" t="s">
        <v>52</v>
      </c>
      <c r="F3478" t="s">
        <v>1229</v>
      </c>
      <c r="G3478" t="s">
        <v>6915</v>
      </c>
      <c r="H3478" t="str">
        <f>"94995"</f>
        <v>94995</v>
      </c>
      <c r="I3478" t="s">
        <v>232</v>
      </c>
    </row>
    <row r="3479" spans="1:9" x14ac:dyDescent="0.3">
      <c r="A3479" t="str">
        <f>"65792149"</f>
        <v>65792149</v>
      </c>
      <c r="B3479" t="s">
        <v>6916</v>
      </c>
      <c r="C3479" t="str">
        <f t="shared" si="256"/>
        <v>706</v>
      </c>
      <c r="D3479" t="s">
        <v>28</v>
      </c>
      <c r="E3479" t="s">
        <v>23</v>
      </c>
      <c r="F3479" t="s">
        <v>350</v>
      </c>
      <c r="G3479" t="s">
        <v>437</v>
      </c>
      <c r="H3479" t="str">
        <f>"9499"</f>
        <v>9499</v>
      </c>
      <c r="I3479" t="s">
        <v>31</v>
      </c>
    </row>
    <row r="3480" spans="1:9" x14ac:dyDescent="0.3">
      <c r="A3480" t="str">
        <f>"07440511"</f>
        <v>07440511</v>
      </c>
      <c r="B3480" t="s">
        <v>6917</v>
      </c>
      <c r="C3480" t="str">
        <f t="shared" si="256"/>
        <v>706</v>
      </c>
      <c r="D3480" t="s">
        <v>28</v>
      </c>
      <c r="E3480" t="s">
        <v>52</v>
      </c>
      <c r="F3480" t="s">
        <v>2400</v>
      </c>
      <c r="G3480" t="s">
        <v>4021</v>
      </c>
      <c r="H3480" t="str">
        <f>"94991"</f>
        <v>94991</v>
      </c>
      <c r="I3480" t="s">
        <v>433</v>
      </c>
    </row>
    <row r="3481" spans="1:9" x14ac:dyDescent="0.3">
      <c r="A3481" t="str">
        <f>"22739394"</f>
        <v>22739394</v>
      </c>
      <c r="B3481" t="s">
        <v>6918</v>
      </c>
      <c r="C3481" t="str">
        <f t="shared" si="256"/>
        <v>706</v>
      </c>
      <c r="D3481" t="s">
        <v>28</v>
      </c>
      <c r="E3481" t="s">
        <v>52</v>
      </c>
      <c r="F3481" t="s">
        <v>52</v>
      </c>
      <c r="G3481" t="s">
        <v>6919</v>
      </c>
      <c r="H3481" t="str">
        <f>"9499"</f>
        <v>9499</v>
      </c>
      <c r="I3481" t="s">
        <v>31</v>
      </c>
    </row>
    <row r="3482" spans="1:9" x14ac:dyDescent="0.3">
      <c r="A3482" t="str">
        <f>"19662572"</f>
        <v>19662572</v>
      </c>
      <c r="B3482" t="s">
        <v>6920</v>
      </c>
      <c r="C3482" t="str">
        <f t="shared" si="256"/>
        <v>706</v>
      </c>
      <c r="D3482" t="s">
        <v>28</v>
      </c>
      <c r="E3482" t="s">
        <v>83</v>
      </c>
      <c r="F3482" t="s">
        <v>3361</v>
      </c>
      <c r="G3482" t="s">
        <v>5526</v>
      </c>
      <c r="H3482" t="str">
        <f>"9499"</f>
        <v>9499</v>
      </c>
      <c r="I3482" t="s">
        <v>31</v>
      </c>
    </row>
    <row r="3483" spans="1:9" x14ac:dyDescent="0.3">
      <c r="A3483" t="str">
        <f>"22823468"</f>
        <v>22823468</v>
      </c>
      <c r="B3483" t="s">
        <v>6921</v>
      </c>
      <c r="C3483" t="str">
        <f t="shared" si="256"/>
        <v>706</v>
      </c>
      <c r="D3483" t="s">
        <v>28</v>
      </c>
      <c r="E3483" t="s">
        <v>23</v>
      </c>
      <c r="F3483" t="s">
        <v>245</v>
      </c>
      <c r="G3483" t="s">
        <v>6922</v>
      </c>
      <c r="H3483" t="str">
        <f>"94995"</f>
        <v>94995</v>
      </c>
      <c r="I3483" t="s">
        <v>232</v>
      </c>
    </row>
    <row r="3484" spans="1:9" x14ac:dyDescent="0.3">
      <c r="A3484" t="str">
        <f>"07080514"</f>
        <v>07080514</v>
      </c>
      <c r="B3484" t="s">
        <v>6923</v>
      </c>
      <c r="C3484" t="str">
        <f t="shared" si="256"/>
        <v>706</v>
      </c>
      <c r="D3484" t="s">
        <v>28</v>
      </c>
      <c r="E3484" t="s">
        <v>83</v>
      </c>
      <c r="F3484" t="s">
        <v>83</v>
      </c>
      <c r="G3484" t="s">
        <v>6924</v>
      </c>
      <c r="H3484" t="str">
        <f>"93190"</f>
        <v>93190</v>
      </c>
      <c r="I3484" t="s">
        <v>59</v>
      </c>
    </row>
    <row r="3485" spans="1:9" x14ac:dyDescent="0.3">
      <c r="A3485" t="str">
        <f>"27030890"</f>
        <v>27030890</v>
      </c>
      <c r="B3485" t="s">
        <v>6925</v>
      </c>
      <c r="C3485" t="str">
        <f t="shared" si="256"/>
        <v>706</v>
      </c>
      <c r="D3485" t="s">
        <v>28</v>
      </c>
      <c r="E3485" t="s">
        <v>83</v>
      </c>
      <c r="F3485" t="s">
        <v>1778</v>
      </c>
      <c r="G3485" t="s">
        <v>6926</v>
      </c>
      <c r="H3485" t="str">
        <f>"9499"</f>
        <v>9499</v>
      </c>
      <c r="I3485" t="s">
        <v>31</v>
      </c>
    </row>
    <row r="3486" spans="1:9" x14ac:dyDescent="0.3">
      <c r="A3486" t="str">
        <f>"22893407"</f>
        <v>22893407</v>
      </c>
      <c r="B3486" t="s">
        <v>6927</v>
      </c>
      <c r="C3486" t="str">
        <f t="shared" si="256"/>
        <v>706</v>
      </c>
      <c r="D3486" t="s">
        <v>28</v>
      </c>
      <c r="E3486" t="s">
        <v>83</v>
      </c>
      <c r="F3486" t="s">
        <v>83</v>
      </c>
      <c r="G3486" t="s">
        <v>6928</v>
      </c>
      <c r="H3486" t="str">
        <f>"94995"</f>
        <v>94995</v>
      </c>
      <c r="I3486" t="s">
        <v>232</v>
      </c>
    </row>
    <row r="3487" spans="1:9" x14ac:dyDescent="0.3">
      <c r="A3487" t="str">
        <f>"17280001"</f>
        <v>17280001</v>
      </c>
      <c r="B3487" t="s">
        <v>6929</v>
      </c>
      <c r="C3487" t="str">
        <f t="shared" si="256"/>
        <v>706</v>
      </c>
      <c r="D3487" t="s">
        <v>28</v>
      </c>
      <c r="E3487" t="s">
        <v>52</v>
      </c>
      <c r="F3487" t="s">
        <v>864</v>
      </c>
      <c r="G3487" t="s">
        <v>6930</v>
      </c>
      <c r="H3487" t="str">
        <f>"9499"</f>
        <v>9499</v>
      </c>
      <c r="I3487" t="s">
        <v>31</v>
      </c>
    </row>
    <row r="3488" spans="1:9" x14ac:dyDescent="0.3">
      <c r="A3488" t="str">
        <f>"01896512"</f>
        <v>01896512</v>
      </c>
      <c r="B3488" t="s">
        <v>6931</v>
      </c>
      <c r="C3488" t="str">
        <f t="shared" si="256"/>
        <v>706</v>
      </c>
      <c r="D3488" t="s">
        <v>28</v>
      </c>
      <c r="E3488" t="s">
        <v>29</v>
      </c>
      <c r="F3488" t="s">
        <v>195</v>
      </c>
      <c r="G3488" t="s">
        <v>6932</v>
      </c>
      <c r="H3488" t="str">
        <f>"9499"</f>
        <v>9499</v>
      </c>
      <c r="I3488" t="s">
        <v>31</v>
      </c>
    </row>
    <row r="3489" spans="1:9" x14ac:dyDescent="0.3">
      <c r="A3489" t="str">
        <f>"07314396"</f>
        <v>07314396</v>
      </c>
      <c r="B3489" t="s">
        <v>6933</v>
      </c>
      <c r="C3489" t="str">
        <f t="shared" si="256"/>
        <v>706</v>
      </c>
      <c r="D3489" t="s">
        <v>28</v>
      </c>
      <c r="E3489" t="s">
        <v>29</v>
      </c>
      <c r="F3489" t="s">
        <v>29</v>
      </c>
      <c r="G3489" t="s">
        <v>6934</v>
      </c>
      <c r="H3489" t="str">
        <f>"94910"</f>
        <v>94910</v>
      </c>
      <c r="I3489" t="s">
        <v>316</v>
      </c>
    </row>
    <row r="3490" spans="1:9" x14ac:dyDescent="0.3">
      <c r="A3490" t="str">
        <f>"05870411"</f>
        <v>05870411</v>
      </c>
      <c r="B3490" t="s">
        <v>6935</v>
      </c>
      <c r="C3490" t="str">
        <f t="shared" si="256"/>
        <v>706</v>
      </c>
      <c r="D3490" t="s">
        <v>28</v>
      </c>
      <c r="E3490" t="s">
        <v>83</v>
      </c>
      <c r="F3490" t="s">
        <v>1718</v>
      </c>
      <c r="G3490" t="s">
        <v>6936</v>
      </c>
      <c r="H3490" t="str">
        <f>"9499"</f>
        <v>9499</v>
      </c>
      <c r="I3490" t="s">
        <v>31</v>
      </c>
    </row>
    <row r="3491" spans="1:9" x14ac:dyDescent="0.3">
      <c r="A3491" t="str">
        <f>"04845757"</f>
        <v>04845757</v>
      </c>
      <c r="B3491" t="s">
        <v>6937</v>
      </c>
      <c r="C3491" t="str">
        <f t="shared" si="256"/>
        <v>706</v>
      </c>
      <c r="D3491" t="s">
        <v>28</v>
      </c>
      <c r="E3491" t="s">
        <v>23</v>
      </c>
      <c r="F3491" t="s">
        <v>141</v>
      </c>
      <c r="G3491" t="s">
        <v>6938</v>
      </c>
      <c r="H3491" t="str">
        <f>"9499"</f>
        <v>9499</v>
      </c>
      <c r="I3491" t="s">
        <v>31</v>
      </c>
    </row>
    <row r="3492" spans="1:9" x14ac:dyDescent="0.3">
      <c r="A3492" t="str">
        <f>"21040681"</f>
        <v>21040681</v>
      </c>
      <c r="B3492" t="s">
        <v>6939</v>
      </c>
      <c r="C3492" t="str">
        <f t="shared" si="256"/>
        <v>706</v>
      </c>
      <c r="D3492" t="s">
        <v>28</v>
      </c>
      <c r="E3492" t="s">
        <v>83</v>
      </c>
      <c r="F3492" t="s">
        <v>537</v>
      </c>
      <c r="G3492" t="s">
        <v>6940</v>
      </c>
      <c r="H3492" t="str">
        <f>"9499"</f>
        <v>9499</v>
      </c>
      <c r="I3492" t="s">
        <v>31</v>
      </c>
    </row>
    <row r="3493" spans="1:9" x14ac:dyDescent="0.3">
      <c r="A3493" t="str">
        <f>"02102374"</f>
        <v>02102374</v>
      </c>
      <c r="B3493" t="s">
        <v>6941</v>
      </c>
      <c r="C3493" t="str">
        <f t="shared" si="256"/>
        <v>706</v>
      </c>
      <c r="D3493" t="s">
        <v>28</v>
      </c>
      <c r="E3493" t="s">
        <v>23</v>
      </c>
      <c r="F3493" t="s">
        <v>975</v>
      </c>
      <c r="G3493" t="s">
        <v>6942</v>
      </c>
      <c r="H3493" t="str">
        <f>"9499"</f>
        <v>9499</v>
      </c>
      <c r="I3493" t="s">
        <v>31</v>
      </c>
    </row>
    <row r="3494" spans="1:9" x14ac:dyDescent="0.3">
      <c r="A3494" t="str">
        <f>"22900730"</f>
        <v>22900730</v>
      </c>
      <c r="B3494" t="s">
        <v>6943</v>
      </c>
      <c r="C3494" t="str">
        <f t="shared" si="256"/>
        <v>706</v>
      </c>
      <c r="D3494" t="s">
        <v>28</v>
      </c>
      <c r="E3494" t="s">
        <v>83</v>
      </c>
      <c r="F3494" t="s">
        <v>83</v>
      </c>
      <c r="G3494" t="s">
        <v>6944</v>
      </c>
      <c r="H3494" t="str">
        <f>"94993"</f>
        <v>94993</v>
      </c>
      <c r="I3494" t="s">
        <v>50</v>
      </c>
    </row>
    <row r="3495" spans="1:9" x14ac:dyDescent="0.3">
      <c r="A3495" t="str">
        <f>"65325575"</f>
        <v>65325575</v>
      </c>
      <c r="B3495" t="s">
        <v>6945</v>
      </c>
      <c r="C3495" t="str">
        <f t="shared" si="256"/>
        <v>706</v>
      </c>
      <c r="D3495" t="s">
        <v>28</v>
      </c>
      <c r="E3495" t="s">
        <v>52</v>
      </c>
      <c r="F3495" t="s">
        <v>113</v>
      </c>
      <c r="G3495" t="s">
        <v>6946</v>
      </c>
      <c r="H3495" t="str">
        <f>"9499"</f>
        <v>9499</v>
      </c>
      <c r="I3495" t="s">
        <v>31</v>
      </c>
    </row>
    <row r="3496" spans="1:9" x14ac:dyDescent="0.3">
      <c r="A3496" t="str">
        <f>"26992400"</f>
        <v>26992400</v>
      </c>
      <c r="B3496" t="s">
        <v>6947</v>
      </c>
      <c r="C3496" t="str">
        <f t="shared" si="256"/>
        <v>706</v>
      </c>
      <c r="D3496" t="s">
        <v>28</v>
      </c>
      <c r="E3496" t="s">
        <v>52</v>
      </c>
      <c r="F3496" t="s">
        <v>52</v>
      </c>
      <c r="G3496" t="s">
        <v>6948</v>
      </c>
      <c r="H3496" t="str">
        <f>"9499"</f>
        <v>9499</v>
      </c>
      <c r="I3496" t="s">
        <v>31</v>
      </c>
    </row>
    <row r="3497" spans="1:9" x14ac:dyDescent="0.3">
      <c r="A3497" t="str">
        <f>"04376129"</f>
        <v>04376129</v>
      </c>
      <c r="B3497" t="s">
        <v>6949</v>
      </c>
      <c r="C3497" t="str">
        <f t="shared" si="256"/>
        <v>706</v>
      </c>
      <c r="D3497" t="s">
        <v>28</v>
      </c>
      <c r="E3497" t="s">
        <v>52</v>
      </c>
      <c r="F3497" t="s">
        <v>379</v>
      </c>
      <c r="G3497" t="s">
        <v>6950</v>
      </c>
      <c r="H3497" t="str">
        <f>"9499"</f>
        <v>9499</v>
      </c>
      <c r="I3497" t="s">
        <v>31</v>
      </c>
    </row>
    <row r="3498" spans="1:9" x14ac:dyDescent="0.3">
      <c r="A3498" t="str">
        <f>"17686784"</f>
        <v>17686784</v>
      </c>
      <c r="B3498" t="s">
        <v>6951</v>
      </c>
      <c r="C3498" t="str">
        <f t="shared" si="256"/>
        <v>706</v>
      </c>
      <c r="D3498" t="s">
        <v>28</v>
      </c>
      <c r="E3498" t="s">
        <v>52</v>
      </c>
      <c r="F3498" t="s">
        <v>234</v>
      </c>
      <c r="G3498" t="s">
        <v>6952</v>
      </c>
      <c r="H3498" t="str">
        <f>"9499"</f>
        <v>9499</v>
      </c>
      <c r="I3498" t="s">
        <v>31</v>
      </c>
    </row>
    <row r="3499" spans="1:9" x14ac:dyDescent="0.3">
      <c r="A3499" t="str">
        <f>"22760342"</f>
        <v>22760342</v>
      </c>
      <c r="B3499" t="s">
        <v>6953</v>
      </c>
      <c r="C3499" t="str">
        <f t="shared" si="256"/>
        <v>706</v>
      </c>
      <c r="D3499" t="s">
        <v>28</v>
      </c>
      <c r="E3499" t="s">
        <v>52</v>
      </c>
      <c r="F3499" t="s">
        <v>52</v>
      </c>
      <c r="G3499" t="s">
        <v>6954</v>
      </c>
      <c r="H3499" t="str">
        <f>"9499"</f>
        <v>9499</v>
      </c>
      <c r="I3499" t="s">
        <v>31</v>
      </c>
    </row>
    <row r="3500" spans="1:9" x14ac:dyDescent="0.3">
      <c r="A3500" t="str">
        <f>"21220867"</f>
        <v>21220867</v>
      </c>
      <c r="B3500" t="s">
        <v>6955</v>
      </c>
      <c r="C3500" t="str">
        <f t="shared" si="256"/>
        <v>706</v>
      </c>
      <c r="D3500" t="s">
        <v>28</v>
      </c>
      <c r="E3500" t="s">
        <v>23</v>
      </c>
      <c r="F3500" t="s">
        <v>1657</v>
      </c>
      <c r="G3500" t="s">
        <v>6956</v>
      </c>
      <c r="H3500" t="str">
        <f>"94993"</f>
        <v>94993</v>
      </c>
      <c r="I3500" t="s">
        <v>50</v>
      </c>
    </row>
    <row r="3501" spans="1:9" x14ac:dyDescent="0.3">
      <c r="A3501" t="str">
        <f>"70803200"</f>
        <v>70803200</v>
      </c>
      <c r="B3501" t="s">
        <v>6957</v>
      </c>
      <c r="C3501" t="str">
        <f>"736"</f>
        <v>736</v>
      </c>
      <c r="D3501" t="s">
        <v>22</v>
      </c>
      <c r="E3501" t="s">
        <v>23</v>
      </c>
      <c r="F3501" t="s">
        <v>23</v>
      </c>
      <c r="G3501" t="s">
        <v>6958</v>
      </c>
      <c r="H3501" t="str">
        <f>"9499"</f>
        <v>9499</v>
      </c>
      <c r="I3501" t="s">
        <v>31</v>
      </c>
    </row>
    <row r="3502" spans="1:9" x14ac:dyDescent="0.3">
      <c r="A3502" t="str">
        <f>"26558238"</f>
        <v>26558238</v>
      </c>
      <c r="B3502" t="s">
        <v>6959</v>
      </c>
      <c r="C3502" t="str">
        <f t="shared" ref="C3502:C3513" si="258">"706"</f>
        <v>706</v>
      </c>
      <c r="D3502" t="s">
        <v>28</v>
      </c>
      <c r="E3502" t="s">
        <v>29</v>
      </c>
      <c r="F3502" t="s">
        <v>29</v>
      </c>
      <c r="G3502" t="s">
        <v>6960</v>
      </c>
      <c r="H3502" t="str">
        <f>"93120"</f>
        <v>93120</v>
      </c>
      <c r="I3502" t="s">
        <v>54</v>
      </c>
    </row>
    <row r="3503" spans="1:9" x14ac:dyDescent="0.3">
      <c r="A3503" t="str">
        <f>"63414741"</f>
        <v>63414741</v>
      </c>
      <c r="B3503" t="s">
        <v>6961</v>
      </c>
      <c r="C3503" t="str">
        <f t="shared" si="258"/>
        <v>706</v>
      </c>
      <c r="D3503" t="s">
        <v>28</v>
      </c>
      <c r="E3503" t="s">
        <v>83</v>
      </c>
      <c r="F3503" t="s">
        <v>83</v>
      </c>
      <c r="G3503" t="s">
        <v>346</v>
      </c>
      <c r="H3503" t="str">
        <f>"9499"</f>
        <v>9499</v>
      </c>
      <c r="I3503" t="s">
        <v>31</v>
      </c>
    </row>
    <row r="3504" spans="1:9" x14ac:dyDescent="0.3">
      <c r="A3504" t="str">
        <f>"46310908"</f>
        <v>46310908</v>
      </c>
      <c r="B3504" t="s">
        <v>6962</v>
      </c>
      <c r="C3504" t="str">
        <f t="shared" si="258"/>
        <v>706</v>
      </c>
      <c r="D3504" t="s">
        <v>28</v>
      </c>
      <c r="E3504" t="s">
        <v>23</v>
      </c>
      <c r="F3504" t="s">
        <v>23</v>
      </c>
      <c r="G3504" t="s">
        <v>6963</v>
      </c>
      <c r="H3504" t="str">
        <f>"94999"</f>
        <v>94999</v>
      </c>
      <c r="I3504" t="s">
        <v>202</v>
      </c>
    </row>
    <row r="3505" spans="1:9" x14ac:dyDescent="0.3">
      <c r="A3505" t="str">
        <f>"26984474"</f>
        <v>26984474</v>
      </c>
      <c r="B3505" t="s">
        <v>6964</v>
      </c>
      <c r="C3505" t="str">
        <f t="shared" si="258"/>
        <v>706</v>
      </c>
      <c r="D3505" t="s">
        <v>28</v>
      </c>
      <c r="E3505" t="s">
        <v>29</v>
      </c>
      <c r="F3505" t="s">
        <v>390</v>
      </c>
      <c r="G3505" t="s">
        <v>6965</v>
      </c>
      <c r="H3505" t="str">
        <f>"9499"</f>
        <v>9499</v>
      </c>
      <c r="I3505" t="s">
        <v>31</v>
      </c>
    </row>
    <row r="3506" spans="1:9" x14ac:dyDescent="0.3">
      <c r="A3506" t="str">
        <f>"48472522"</f>
        <v>48472522</v>
      </c>
      <c r="B3506" t="s">
        <v>6966</v>
      </c>
      <c r="C3506" t="str">
        <f t="shared" si="258"/>
        <v>706</v>
      </c>
      <c r="D3506" t="s">
        <v>28</v>
      </c>
      <c r="E3506" t="s">
        <v>23</v>
      </c>
      <c r="F3506" t="s">
        <v>23</v>
      </c>
      <c r="G3506" t="s">
        <v>6967</v>
      </c>
      <c r="H3506" t="str">
        <f>"94999"</f>
        <v>94999</v>
      </c>
      <c r="I3506" t="s">
        <v>202</v>
      </c>
    </row>
    <row r="3507" spans="1:9" x14ac:dyDescent="0.3">
      <c r="A3507" t="str">
        <f>"21696667"</f>
        <v>21696667</v>
      </c>
      <c r="B3507" t="s">
        <v>6968</v>
      </c>
      <c r="C3507" t="str">
        <f t="shared" si="258"/>
        <v>706</v>
      </c>
      <c r="D3507" t="s">
        <v>28</v>
      </c>
      <c r="E3507" t="s">
        <v>29</v>
      </c>
      <c r="F3507" t="s">
        <v>676</v>
      </c>
      <c r="G3507" t="s">
        <v>6969</v>
      </c>
      <c r="H3507" t="str">
        <f>"93190"</f>
        <v>93190</v>
      </c>
      <c r="I3507" t="s">
        <v>59</v>
      </c>
    </row>
    <row r="3508" spans="1:9" x14ac:dyDescent="0.3">
      <c r="A3508" t="str">
        <f>"46956867"</f>
        <v>46956867</v>
      </c>
      <c r="B3508" t="s">
        <v>6970</v>
      </c>
      <c r="C3508" t="str">
        <f t="shared" si="258"/>
        <v>706</v>
      </c>
      <c r="D3508" t="s">
        <v>28</v>
      </c>
      <c r="E3508" t="s">
        <v>52</v>
      </c>
      <c r="F3508" t="s">
        <v>234</v>
      </c>
      <c r="G3508" t="s">
        <v>3033</v>
      </c>
      <c r="H3508" t="str">
        <f t="shared" ref="H3508:H3514" si="259">"9499"</f>
        <v>9499</v>
      </c>
      <c r="I3508" t="s">
        <v>31</v>
      </c>
    </row>
    <row r="3509" spans="1:9" x14ac:dyDescent="0.3">
      <c r="A3509" t="str">
        <f>"26659123"</f>
        <v>26659123</v>
      </c>
      <c r="B3509" t="s">
        <v>6971</v>
      </c>
      <c r="C3509" t="str">
        <f t="shared" si="258"/>
        <v>706</v>
      </c>
      <c r="D3509" t="s">
        <v>28</v>
      </c>
      <c r="E3509" t="s">
        <v>29</v>
      </c>
      <c r="F3509" t="s">
        <v>29</v>
      </c>
      <c r="G3509" t="s">
        <v>3049</v>
      </c>
      <c r="H3509" t="str">
        <f t="shared" si="259"/>
        <v>9499</v>
      </c>
      <c r="I3509" t="s">
        <v>31</v>
      </c>
    </row>
    <row r="3510" spans="1:9" x14ac:dyDescent="0.3">
      <c r="A3510" t="str">
        <f>"45211302"</f>
        <v>45211302</v>
      </c>
      <c r="B3510" t="s">
        <v>6972</v>
      </c>
      <c r="C3510" t="str">
        <f t="shared" si="258"/>
        <v>706</v>
      </c>
      <c r="D3510" t="s">
        <v>28</v>
      </c>
      <c r="E3510" t="s">
        <v>29</v>
      </c>
      <c r="F3510" t="s">
        <v>29</v>
      </c>
      <c r="G3510" t="s">
        <v>6973</v>
      </c>
      <c r="H3510" t="str">
        <f t="shared" si="259"/>
        <v>9499</v>
      </c>
      <c r="I3510" t="s">
        <v>31</v>
      </c>
    </row>
    <row r="3511" spans="1:9" x14ac:dyDescent="0.3">
      <c r="A3511" t="str">
        <f>"03562255"</f>
        <v>03562255</v>
      </c>
      <c r="B3511" t="s">
        <v>6974</v>
      </c>
      <c r="C3511" t="str">
        <f t="shared" si="258"/>
        <v>706</v>
      </c>
      <c r="D3511" t="s">
        <v>28</v>
      </c>
      <c r="E3511" t="s">
        <v>29</v>
      </c>
      <c r="F3511" t="s">
        <v>45</v>
      </c>
      <c r="G3511" t="s">
        <v>6975</v>
      </c>
      <c r="H3511" t="str">
        <f t="shared" si="259"/>
        <v>9499</v>
      </c>
      <c r="I3511" t="s">
        <v>31</v>
      </c>
    </row>
    <row r="3512" spans="1:9" x14ac:dyDescent="0.3">
      <c r="A3512" t="str">
        <f>"26662671"</f>
        <v>26662671</v>
      </c>
      <c r="B3512" t="s">
        <v>6976</v>
      </c>
      <c r="C3512" t="str">
        <f t="shared" si="258"/>
        <v>706</v>
      </c>
      <c r="D3512" t="s">
        <v>28</v>
      </c>
      <c r="E3512" t="s">
        <v>23</v>
      </c>
      <c r="F3512" t="s">
        <v>24</v>
      </c>
      <c r="G3512" t="s">
        <v>6977</v>
      </c>
      <c r="H3512" t="str">
        <f t="shared" si="259"/>
        <v>9499</v>
      </c>
      <c r="I3512" t="s">
        <v>31</v>
      </c>
    </row>
    <row r="3513" spans="1:9" x14ac:dyDescent="0.3">
      <c r="A3513" t="str">
        <f>"66598591"</f>
        <v>66598591</v>
      </c>
      <c r="B3513" t="s">
        <v>6978</v>
      </c>
      <c r="C3513" t="str">
        <f t="shared" si="258"/>
        <v>706</v>
      </c>
      <c r="D3513" t="s">
        <v>28</v>
      </c>
      <c r="E3513" t="s">
        <v>23</v>
      </c>
      <c r="F3513" t="s">
        <v>23</v>
      </c>
      <c r="G3513" t="s">
        <v>6979</v>
      </c>
      <c r="H3513" t="str">
        <f t="shared" si="259"/>
        <v>9499</v>
      </c>
      <c r="I3513" t="s">
        <v>31</v>
      </c>
    </row>
    <row r="3514" spans="1:9" x14ac:dyDescent="0.3">
      <c r="A3514" t="str">
        <f>"22749659"</f>
        <v>22749659</v>
      </c>
      <c r="B3514" t="s">
        <v>6980</v>
      </c>
      <c r="C3514" t="str">
        <f>"736"</f>
        <v>736</v>
      </c>
      <c r="D3514" t="s">
        <v>22</v>
      </c>
      <c r="E3514" t="s">
        <v>52</v>
      </c>
      <c r="F3514" t="s">
        <v>612</v>
      </c>
      <c r="G3514" t="s">
        <v>963</v>
      </c>
      <c r="H3514" t="str">
        <f t="shared" si="259"/>
        <v>9499</v>
      </c>
      <c r="I3514" t="s">
        <v>31</v>
      </c>
    </row>
    <row r="3515" spans="1:9" x14ac:dyDescent="0.3">
      <c r="A3515" t="str">
        <f>"22904433"</f>
        <v>22904433</v>
      </c>
      <c r="B3515" t="s">
        <v>6981</v>
      </c>
      <c r="C3515" t="str">
        <f>"706"</f>
        <v>706</v>
      </c>
      <c r="D3515" t="s">
        <v>28</v>
      </c>
      <c r="E3515" t="s">
        <v>23</v>
      </c>
      <c r="F3515" t="s">
        <v>4802</v>
      </c>
      <c r="G3515" t="s">
        <v>6982</v>
      </c>
      <c r="H3515" t="str">
        <f>"9499"</f>
        <v>9499</v>
      </c>
      <c r="I3515" t="s">
        <v>31</v>
      </c>
    </row>
    <row r="3516" spans="1:9" x14ac:dyDescent="0.3">
      <c r="A3516" t="str">
        <f>"26672855"</f>
        <v>26672855</v>
      </c>
      <c r="B3516" t="s">
        <v>6983</v>
      </c>
      <c r="C3516" t="str">
        <f>"706"</f>
        <v>706</v>
      </c>
      <c r="D3516" t="s">
        <v>28</v>
      </c>
      <c r="E3516" t="s">
        <v>83</v>
      </c>
      <c r="F3516" t="s">
        <v>473</v>
      </c>
      <c r="G3516" t="s">
        <v>6984</v>
      </c>
      <c r="H3516" t="str">
        <f>"9499"</f>
        <v>9499</v>
      </c>
      <c r="I3516" t="s">
        <v>31</v>
      </c>
    </row>
    <row r="3517" spans="1:9" x14ac:dyDescent="0.3">
      <c r="A3517" t="str">
        <f>"22759115"</f>
        <v>22759115</v>
      </c>
      <c r="B3517" t="s">
        <v>6985</v>
      </c>
      <c r="C3517" t="str">
        <f>"706"</f>
        <v>706</v>
      </c>
      <c r="D3517" t="s">
        <v>28</v>
      </c>
      <c r="E3517" t="s">
        <v>23</v>
      </c>
      <c r="F3517" t="s">
        <v>1492</v>
      </c>
      <c r="G3517" t="s">
        <v>6986</v>
      </c>
      <c r="H3517" t="str">
        <f>"94993"</f>
        <v>94993</v>
      </c>
      <c r="I3517" t="s">
        <v>50</v>
      </c>
    </row>
    <row r="3518" spans="1:9" x14ac:dyDescent="0.3">
      <c r="A3518" t="str">
        <f>"22835491"</f>
        <v>22835491</v>
      </c>
      <c r="B3518" t="s">
        <v>6987</v>
      </c>
      <c r="C3518" t="str">
        <f>"706"</f>
        <v>706</v>
      </c>
      <c r="D3518" t="s">
        <v>28</v>
      </c>
      <c r="E3518" t="s">
        <v>52</v>
      </c>
      <c r="F3518" t="s">
        <v>1908</v>
      </c>
      <c r="G3518" t="s">
        <v>6988</v>
      </c>
      <c r="H3518" t="str">
        <f>"94993"</f>
        <v>94993</v>
      </c>
      <c r="I3518" t="s">
        <v>50</v>
      </c>
    </row>
    <row r="3519" spans="1:9" x14ac:dyDescent="0.3">
      <c r="A3519" t="str">
        <f>"65842359"</f>
        <v>65842359</v>
      </c>
      <c r="B3519" t="s">
        <v>6989</v>
      </c>
      <c r="C3519" t="str">
        <f t="shared" ref="C3519:C3525" si="260">"736"</f>
        <v>736</v>
      </c>
      <c r="D3519" t="s">
        <v>22</v>
      </c>
      <c r="E3519" t="s">
        <v>23</v>
      </c>
      <c r="F3519" t="s">
        <v>99</v>
      </c>
      <c r="G3519" t="s">
        <v>6990</v>
      </c>
      <c r="H3519" t="str">
        <f>"9499"</f>
        <v>9499</v>
      </c>
      <c r="I3519" t="s">
        <v>31</v>
      </c>
    </row>
    <row r="3520" spans="1:9" x14ac:dyDescent="0.3">
      <c r="A3520" t="str">
        <f>"49156748"</f>
        <v>49156748</v>
      </c>
      <c r="B3520" t="s">
        <v>6991</v>
      </c>
      <c r="C3520" t="str">
        <f t="shared" si="260"/>
        <v>736</v>
      </c>
      <c r="D3520" t="s">
        <v>22</v>
      </c>
      <c r="E3520" t="s">
        <v>23</v>
      </c>
      <c r="F3520" t="s">
        <v>23</v>
      </c>
      <c r="G3520" t="s">
        <v>579</v>
      </c>
      <c r="H3520" t="str">
        <f>"94993"</f>
        <v>94993</v>
      </c>
      <c r="I3520" t="s">
        <v>50</v>
      </c>
    </row>
    <row r="3521" spans="1:10" x14ac:dyDescent="0.3">
      <c r="A3521" t="str">
        <f>"49157451"</f>
        <v>49157451</v>
      </c>
      <c r="B3521" t="s">
        <v>6992</v>
      </c>
      <c r="C3521" t="str">
        <f t="shared" si="260"/>
        <v>736</v>
      </c>
      <c r="D3521" t="s">
        <v>22</v>
      </c>
      <c r="E3521" t="s">
        <v>23</v>
      </c>
      <c r="F3521" t="s">
        <v>23</v>
      </c>
      <c r="G3521" t="s">
        <v>6993</v>
      </c>
      <c r="H3521" t="str">
        <f>"931"</f>
        <v>931</v>
      </c>
      <c r="I3521" t="s">
        <v>26</v>
      </c>
    </row>
    <row r="3522" spans="1:10" x14ac:dyDescent="0.3">
      <c r="A3522" t="str">
        <f>"72075406"</f>
        <v>72075406</v>
      </c>
      <c r="B3522" t="s">
        <v>6994</v>
      </c>
      <c r="C3522" t="str">
        <f t="shared" si="260"/>
        <v>736</v>
      </c>
      <c r="D3522" t="s">
        <v>22</v>
      </c>
      <c r="E3522" t="s">
        <v>23</v>
      </c>
      <c r="F3522" t="s">
        <v>6995</v>
      </c>
      <c r="G3522" t="s">
        <v>6996</v>
      </c>
      <c r="H3522" t="str">
        <f>"94993"</f>
        <v>94993</v>
      </c>
      <c r="I3522" t="s">
        <v>50</v>
      </c>
    </row>
    <row r="3523" spans="1:10" x14ac:dyDescent="0.3">
      <c r="A3523" t="str">
        <f>"17377650"</f>
        <v>17377650</v>
      </c>
      <c r="B3523" t="s">
        <v>6997</v>
      </c>
      <c r="C3523" t="str">
        <f t="shared" si="260"/>
        <v>736</v>
      </c>
      <c r="D3523" t="s">
        <v>22</v>
      </c>
      <c r="E3523" t="s">
        <v>23</v>
      </c>
      <c r="F3523" t="s">
        <v>24</v>
      </c>
      <c r="G3523" t="s">
        <v>6998</v>
      </c>
      <c r="H3523" t="str">
        <f>"94993"</f>
        <v>94993</v>
      </c>
      <c r="I3523" t="s">
        <v>50</v>
      </c>
    </row>
    <row r="3524" spans="1:10" x14ac:dyDescent="0.3">
      <c r="A3524" t="str">
        <f>"75040557"</f>
        <v>75040557</v>
      </c>
      <c r="B3524" t="s">
        <v>6999</v>
      </c>
      <c r="C3524" t="str">
        <f t="shared" si="260"/>
        <v>736</v>
      </c>
      <c r="D3524" t="s">
        <v>22</v>
      </c>
      <c r="E3524" t="s">
        <v>23</v>
      </c>
      <c r="F3524" t="s">
        <v>6995</v>
      </c>
      <c r="G3524" t="s">
        <v>7000</v>
      </c>
      <c r="H3524" t="str">
        <f>"94993"</f>
        <v>94993</v>
      </c>
      <c r="I3524" t="s">
        <v>50</v>
      </c>
    </row>
    <row r="3525" spans="1:10" x14ac:dyDescent="0.3">
      <c r="A3525" t="str">
        <f>"71248218"</f>
        <v>71248218</v>
      </c>
      <c r="B3525" t="s">
        <v>7001</v>
      </c>
      <c r="C3525" t="str">
        <f t="shared" si="260"/>
        <v>736</v>
      </c>
      <c r="D3525" t="s">
        <v>22</v>
      </c>
      <c r="E3525" t="s">
        <v>23</v>
      </c>
      <c r="F3525" t="s">
        <v>87</v>
      </c>
      <c r="G3525" t="s">
        <v>7002</v>
      </c>
      <c r="H3525" t="str">
        <f>"9499"</f>
        <v>9499</v>
      </c>
      <c r="I3525" t="s">
        <v>31</v>
      </c>
    </row>
    <row r="3526" spans="1:10" x14ac:dyDescent="0.3">
      <c r="A3526" t="str">
        <f>"27053296"</f>
        <v>27053296</v>
      </c>
      <c r="B3526" t="s">
        <v>7003</v>
      </c>
      <c r="C3526" t="str">
        <f t="shared" ref="C3526:C3531" si="261">"706"</f>
        <v>706</v>
      </c>
      <c r="D3526" t="s">
        <v>28</v>
      </c>
      <c r="E3526" t="s">
        <v>23</v>
      </c>
      <c r="F3526" t="s">
        <v>87</v>
      </c>
      <c r="G3526" t="s">
        <v>6001</v>
      </c>
      <c r="H3526" t="str">
        <f>"93110"</f>
        <v>93110</v>
      </c>
      <c r="I3526" t="s">
        <v>92</v>
      </c>
    </row>
    <row r="3527" spans="1:10" x14ac:dyDescent="0.3">
      <c r="A3527" t="str">
        <f>"06989764"</f>
        <v>06989764</v>
      </c>
      <c r="B3527" t="s">
        <v>7004</v>
      </c>
      <c r="C3527" t="str">
        <f t="shared" si="261"/>
        <v>706</v>
      </c>
      <c r="D3527" t="s">
        <v>28</v>
      </c>
      <c r="E3527" t="s">
        <v>29</v>
      </c>
      <c r="F3527" t="s">
        <v>2177</v>
      </c>
      <c r="G3527" t="s">
        <v>7005</v>
      </c>
      <c r="H3527" t="str">
        <f>"94993"</f>
        <v>94993</v>
      </c>
      <c r="I3527" t="s">
        <v>50</v>
      </c>
    </row>
    <row r="3528" spans="1:10" x14ac:dyDescent="0.3">
      <c r="A3528" t="str">
        <f>"22816291"</f>
        <v>22816291</v>
      </c>
      <c r="B3528" t="s">
        <v>7006</v>
      </c>
      <c r="C3528" t="str">
        <f t="shared" si="261"/>
        <v>706</v>
      </c>
      <c r="D3528" t="s">
        <v>28</v>
      </c>
      <c r="E3528" t="s">
        <v>83</v>
      </c>
      <c r="F3528" t="s">
        <v>183</v>
      </c>
      <c r="G3528" t="s">
        <v>7007</v>
      </c>
      <c r="H3528" t="str">
        <f>"93120"</f>
        <v>93120</v>
      </c>
      <c r="I3528" t="s">
        <v>54</v>
      </c>
    </row>
    <row r="3529" spans="1:10" x14ac:dyDescent="0.3">
      <c r="A3529" t="str">
        <f>"19115881"</f>
        <v>19115881</v>
      </c>
      <c r="B3529" t="s">
        <v>7008</v>
      </c>
      <c r="C3529" t="str">
        <f t="shared" si="261"/>
        <v>706</v>
      </c>
      <c r="D3529" t="s">
        <v>28</v>
      </c>
      <c r="E3529" t="s">
        <v>52</v>
      </c>
      <c r="F3529" t="s">
        <v>1902</v>
      </c>
      <c r="G3529" t="s">
        <v>2426</v>
      </c>
      <c r="H3529" t="str">
        <f>"9499"</f>
        <v>9499</v>
      </c>
      <c r="I3529" t="s">
        <v>31</v>
      </c>
    </row>
    <row r="3530" spans="1:10" x14ac:dyDescent="0.3">
      <c r="A3530" t="str">
        <f>"21697019"</f>
        <v>21697019</v>
      </c>
      <c r="B3530" t="s">
        <v>7009</v>
      </c>
      <c r="C3530" t="str">
        <f t="shared" si="261"/>
        <v>706</v>
      </c>
      <c r="D3530" t="s">
        <v>28</v>
      </c>
      <c r="E3530" t="s">
        <v>23</v>
      </c>
      <c r="F3530" t="s">
        <v>2620</v>
      </c>
      <c r="G3530" t="s">
        <v>7010</v>
      </c>
      <c r="H3530" t="str">
        <f>"9499"</f>
        <v>9499</v>
      </c>
      <c r="I3530" t="s">
        <v>31</v>
      </c>
    </row>
    <row r="3531" spans="1:10" x14ac:dyDescent="0.3">
      <c r="A3531" t="str">
        <f>"05940125"</f>
        <v>05940125</v>
      </c>
      <c r="B3531" t="s">
        <v>7011</v>
      </c>
      <c r="C3531" t="str">
        <f t="shared" si="261"/>
        <v>706</v>
      </c>
      <c r="D3531" t="s">
        <v>28</v>
      </c>
      <c r="E3531" t="s">
        <v>23</v>
      </c>
      <c r="F3531" t="s">
        <v>68</v>
      </c>
      <c r="G3531" t="s">
        <v>7012</v>
      </c>
      <c r="H3531" t="str">
        <f>"94993"</f>
        <v>94993</v>
      </c>
      <c r="I3531" t="s">
        <v>50</v>
      </c>
      <c r="J3531" t="s">
        <v>262</v>
      </c>
    </row>
    <row r="3532" spans="1:10" x14ac:dyDescent="0.3">
      <c r="A3532" t="str">
        <f>"61715921"</f>
        <v>61715921</v>
      </c>
      <c r="B3532" t="s">
        <v>7013</v>
      </c>
      <c r="C3532" t="str">
        <f>"736"</f>
        <v>736</v>
      </c>
      <c r="D3532" t="s">
        <v>22</v>
      </c>
      <c r="E3532" t="s">
        <v>23</v>
      </c>
      <c r="F3532" t="s">
        <v>23</v>
      </c>
      <c r="G3532" t="s">
        <v>7014</v>
      </c>
      <c r="H3532" t="str">
        <f>"931"</f>
        <v>931</v>
      </c>
      <c r="I3532" t="s">
        <v>26</v>
      </c>
    </row>
    <row r="3533" spans="1:10" x14ac:dyDescent="0.3">
      <c r="A3533" t="str">
        <f>"09526030"</f>
        <v>09526030</v>
      </c>
      <c r="B3533" t="s">
        <v>7015</v>
      </c>
      <c r="C3533" t="str">
        <f t="shared" ref="C3533:C3539" si="262">"706"</f>
        <v>706</v>
      </c>
      <c r="D3533" t="s">
        <v>28</v>
      </c>
      <c r="E3533" t="s">
        <v>52</v>
      </c>
      <c r="F3533" t="s">
        <v>52</v>
      </c>
      <c r="G3533" t="s">
        <v>7016</v>
      </c>
      <c r="H3533" t="str">
        <f>"9499"</f>
        <v>9499</v>
      </c>
      <c r="I3533" t="s">
        <v>31</v>
      </c>
    </row>
    <row r="3534" spans="1:10" x14ac:dyDescent="0.3">
      <c r="A3534" t="str">
        <f>"27038785"</f>
        <v>27038785</v>
      </c>
      <c r="B3534" t="s">
        <v>7017</v>
      </c>
      <c r="C3534" t="str">
        <f t="shared" si="262"/>
        <v>706</v>
      </c>
      <c r="D3534" t="s">
        <v>28</v>
      </c>
      <c r="E3534" t="s">
        <v>23</v>
      </c>
      <c r="F3534" t="s">
        <v>68</v>
      </c>
      <c r="G3534" t="s">
        <v>7018</v>
      </c>
      <c r="H3534" t="str">
        <f>"93110"</f>
        <v>93110</v>
      </c>
      <c r="I3534" t="s">
        <v>92</v>
      </c>
    </row>
    <row r="3535" spans="1:10" x14ac:dyDescent="0.3">
      <c r="A3535" t="str">
        <f>"09029257"</f>
        <v>09029257</v>
      </c>
      <c r="B3535" t="s">
        <v>7019</v>
      </c>
      <c r="C3535" t="str">
        <f t="shared" si="262"/>
        <v>706</v>
      </c>
      <c r="D3535" t="s">
        <v>28</v>
      </c>
      <c r="E3535" t="s">
        <v>52</v>
      </c>
      <c r="F3535" t="s">
        <v>1740</v>
      </c>
      <c r="G3535" t="s">
        <v>7020</v>
      </c>
      <c r="H3535" t="str">
        <f>"9499"</f>
        <v>9499</v>
      </c>
      <c r="I3535" t="s">
        <v>31</v>
      </c>
    </row>
    <row r="3536" spans="1:10" x14ac:dyDescent="0.3">
      <c r="A3536" t="str">
        <f>"22757821"</f>
        <v>22757821</v>
      </c>
      <c r="B3536" t="s">
        <v>7021</v>
      </c>
      <c r="C3536" t="str">
        <f t="shared" si="262"/>
        <v>706</v>
      </c>
      <c r="D3536" t="s">
        <v>28</v>
      </c>
      <c r="E3536" t="s">
        <v>52</v>
      </c>
      <c r="F3536" t="s">
        <v>488</v>
      </c>
      <c r="G3536" t="s">
        <v>7022</v>
      </c>
      <c r="H3536" t="str">
        <f>"9499"</f>
        <v>9499</v>
      </c>
      <c r="I3536" t="s">
        <v>31</v>
      </c>
    </row>
    <row r="3537" spans="1:11" x14ac:dyDescent="0.3">
      <c r="A3537" t="str">
        <f>"14280248"</f>
        <v>14280248</v>
      </c>
      <c r="B3537" t="s">
        <v>7023</v>
      </c>
      <c r="C3537" t="str">
        <f t="shared" si="262"/>
        <v>706</v>
      </c>
      <c r="D3537" t="s">
        <v>28</v>
      </c>
      <c r="E3537" t="s">
        <v>23</v>
      </c>
      <c r="F3537" t="s">
        <v>245</v>
      </c>
      <c r="G3537" t="s">
        <v>7024</v>
      </c>
      <c r="H3537" t="str">
        <f>"94993"</f>
        <v>94993</v>
      </c>
      <c r="I3537" t="s">
        <v>50</v>
      </c>
    </row>
    <row r="3538" spans="1:11" x14ac:dyDescent="0.3">
      <c r="A3538" t="str">
        <f>"26602407"</f>
        <v>26602407</v>
      </c>
      <c r="B3538" t="s">
        <v>7025</v>
      </c>
      <c r="C3538" t="str">
        <f t="shared" si="262"/>
        <v>706</v>
      </c>
      <c r="D3538" t="s">
        <v>28</v>
      </c>
      <c r="E3538" t="s">
        <v>23</v>
      </c>
      <c r="F3538" t="s">
        <v>350</v>
      </c>
      <c r="G3538" t="s">
        <v>7026</v>
      </c>
      <c r="H3538" t="str">
        <f>"9499"</f>
        <v>9499</v>
      </c>
      <c r="I3538" t="s">
        <v>31</v>
      </c>
    </row>
    <row r="3539" spans="1:11" x14ac:dyDescent="0.3">
      <c r="A3539" t="str">
        <f>"26983460"</f>
        <v>26983460</v>
      </c>
      <c r="B3539" t="s">
        <v>7027</v>
      </c>
      <c r="C3539" t="str">
        <f t="shared" si="262"/>
        <v>706</v>
      </c>
      <c r="D3539" t="s">
        <v>28</v>
      </c>
      <c r="E3539" t="s">
        <v>52</v>
      </c>
      <c r="F3539" t="s">
        <v>52</v>
      </c>
      <c r="G3539" t="s">
        <v>7028</v>
      </c>
      <c r="H3539" t="str">
        <f>"9499"</f>
        <v>9499</v>
      </c>
      <c r="I3539" t="s">
        <v>31</v>
      </c>
    </row>
    <row r="3540" spans="1:11" x14ac:dyDescent="0.3">
      <c r="A3540" t="str">
        <f>"05681758"</f>
        <v>05681758</v>
      </c>
      <c r="B3540" t="s">
        <v>7029</v>
      </c>
      <c r="C3540" t="str">
        <f>"706"</f>
        <v>706</v>
      </c>
      <c r="D3540" t="s">
        <v>28</v>
      </c>
      <c r="E3540" t="s">
        <v>29</v>
      </c>
      <c r="F3540" t="s">
        <v>29</v>
      </c>
      <c r="G3540" t="s">
        <v>7030</v>
      </c>
      <c r="H3540" t="str">
        <f>"9499"</f>
        <v>9499</v>
      </c>
      <c r="I3540" t="s">
        <v>31</v>
      </c>
    </row>
    <row r="3541" spans="1:11" x14ac:dyDescent="0.3">
      <c r="A3541" t="str">
        <f>"22857842"</f>
        <v>22857842</v>
      </c>
      <c r="B3541" t="s">
        <v>7031</v>
      </c>
      <c r="C3541" t="str">
        <f>"706"</f>
        <v>706</v>
      </c>
      <c r="D3541" t="s">
        <v>28</v>
      </c>
      <c r="E3541" t="s">
        <v>23</v>
      </c>
      <c r="F3541" t="s">
        <v>23</v>
      </c>
      <c r="G3541" t="s">
        <v>279</v>
      </c>
      <c r="H3541" t="str">
        <f>"93110"</f>
        <v>93110</v>
      </c>
      <c r="I3541" t="s">
        <v>92</v>
      </c>
    </row>
    <row r="3542" spans="1:11" x14ac:dyDescent="0.3">
      <c r="A3542" t="str">
        <f>"04875184"</f>
        <v>04875184</v>
      </c>
      <c r="B3542" t="s">
        <v>7032</v>
      </c>
      <c r="C3542" t="str">
        <f>"706"</f>
        <v>706</v>
      </c>
      <c r="D3542" t="s">
        <v>28</v>
      </c>
      <c r="E3542" t="s">
        <v>83</v>
      </c>
      <c r="F3542" t="s">
        <v>183</v>
      </c>
      <c r="G3542" t="s">
        <v>2011</v>
      </c>
      <c r="H3542" t="str">
        <f>"93190"</f>
        <v>93190</v>
      </c>
      <c r="I3542" t="s">
        <v>59</v>
      </c>
    </row>
    <row r="3543" spans="1:11" x14ac:dyDescent="0.3">
      <c r="A3543" t="str">
        <f>"26646498"</f>
        <v>26646498</v>
      </c>
      <c r="B3543" t="s">
        <v>7033</v>
      </c>
      <c r="C3543" t="str">
        <f>"706"</f>
        <v>706</v>
      </c>
      <c r="D3543" t="s">
        <v>28</v>
      </c>
      <c r="E3543" t="s">
        <v>29</v>
      </c>
      <c r="F3543" t="s">
        <v>38</v>
      </c>
      <c r="G3543" t="s">
        <v>7034</v>
      </c>
      <c r="H3543" t="str">
        <f>"94991"</f>
        <v>94991</v>
      </c>
      <c r="I3543" t="s">
        <v>433</v>
      </c>
    </row>
    <row r="3544" spans="1:11" x14ac:dyDescent="0.3">
      <c r="A3544" t="str">
        <f>"27015815"</f>
        <v>27015815</v>
      </c>
      <c r="B3544" t="s">
        <v>7035</v>
      </c>
      <c r="C3544" t="str">
        <f>"706"</f>
        <v>706</v>
      </c>
      <c r="D3544" t="s">
        <v>28</v>
      </c>
      <c r="E3544" t="s">
        <v>29</v>
      </c>
      <c r="F3544" t="s">
        <v>38</v>
      </c>
      <c r="G3544" t="s">
        <v>7036</v>
      </c>
      <c r="H3544" t="str">
        <f>"9499"</f>
        <v>9499</v>
      </c>
      <c r="I3544" t="s">
        <v>31</v>
      </c>
    </row>
    <row r="3545" spans="1:11" x14ac:dyDescent="0.3">
      <c r="A3545" t="str">
        <f>"26270064"</f>
        <v>26270064</v>
      </c>
      <c r="B3545" t="s">
        <v>7039</v>
      </c>
      <c r="C3545" t="str">
        <f>"141"</f>
        <v>141</v>
      </c>
      <c r="D3545" t="s">
        <v>112</v>
      </c>
      <c r="E3545" t="s">
        <v>23</v>
      </c>
      <c r="F3545" t="s">
        <v>99</v>
      </c>
      <c r="G3545" t="s">
        <v>7038</v>
      </c>
      <c r="H3545" t="str">
        <f>"702"</f>
        <v>702</v>
      </c>
      <c r="I3545" t="s">
        <v>1496</v>
      </c>
      <c r="J3545" t="s">
        <v>115</v>
      </c>
    </row>
    <row r="3546" spans="1:11" x14ac:dyDescent="0.3">
      <c r="A3546" t="str">
        <f>"26559005"</f>
        <v>26559005</v>
      </c>
      <c r="B3546" t="s">
        <v>7040</v>
      </c>
      <c r="C3546" t="str">
        <f>"706"</f>
        <v>706</v>
      </c>
      <c r="D3546" t="s">
        <v>28</v>
      </c>
      <c r="E3546" t="s">
        <v>52</v>
      </c>
      <c r="F3546" t="s">
        <v>52</v>
      </c>
      <c r="G3546" t="s">
        <v>7041</v>
      </c>
      <c r="H3546" t="str">
        <f>"94120"</f>
        <v>94120</v>
      </c>
      <c r="I3546" t="s">
        <v>43</v>
      </c>
    </row>
    <row r="3547" spans="1:11" x14ac:dyDescent="0.3">
      <c r="A3547" t="str">
        <f>"17541671"</f>
        <v>17541671</v>
      </c>
      <c r="B3547" t="s">
        <v>7042</v>
      </c>
      <c r="C3547" t="str">
        <f>"706"</f>
        <v>706</v>
      </c>
      <c r="D3547" t="s">
        <v>28</v>
      </c>
      <c r="E3547" t="s">
        <v>52</v>
      </c>
      <c r="F3547" t="s">
        <v>52</v>
      </c>
      <c r="G3547" t="s">
        <v>2371</v>
      </c>
      <c r="H3547" t="str">
        <f>"9499"</f>
        <v>9499</v>
      </c>
      <c r="I3547" t="s">
        <v>31</v>
      </c>
    </row>
    <row r="3548" spans="1:11" x14ac:dyDescent="0.3">
      <c r="A3548" t="str">
        <f>"05262381"</f>
        <v>05262381</v>
      </c>
      <c r="B3548" t="s">
        <v>7043</v>
      </c>
      <c r="C3548" t="str">
        <f>"706"</f>
        <v>706</v>
      </c>
      <c r="D3548" t="s">
        <v>28</v>
      </c>
      <c r="E3548" t="s">
        <v>23</v>
      </c>
      <c r="F3548" t="s">
        <v>23</v>
      </c>
      <c r="G3548" t="s">
        <v>1141</v>
      </c>
      <c r="H3548" t="str">
        <f>"9499"</f>
        <v>9499</v>
      </c>
      <c r="I3548" t="s">
        <v>31</v>
      </c>
    </row>
    <row r="3549" spans="1:11" x14ac:dyDescent="0.3">
      <c r="A3549" t="str">
        <f>"69211787"</f>
        <v>69211787</v>
      </c>
      <c r="B3549" t="s">
        <v>7044</v>
      </c>
      <c r="C3549" t="str">
        <f>"706"</f>
        <v>706</v>
      </c>
      <c r="D3549" t="s">
        <v>28</v>
      </c>
      <c r="E3549" t="s">
        <v>29</v>
      </c>
      <c r="F3549" t="s">
        <v>29</v>
      </c>
      <c r="G3549" t="s">
        <v>5770</v>
      </c>
      <c r="H3549" t="str">
        <f>"9499"</f>
        <v>9499</v>
      </c>
      <c r="I3549" t="s">
        <v>31</v>
      </c>
    </row>
    <row r="3550" spans="1:11" x14ac:dyDescent="0.3">
      <c r="A3550" t="str">
        <f>"25506765"</f>
        <v>25506765</v>
      </c>
      <c r="B3550" t="s">
        <v>7045</v>
      </c>
      <c r="C3550" t="str">
        <f>"141"</f>
        <v>141</v>
      </c>
      <c r="D3550" t="s">
        <v>112</v>
      </c>
      <c r="E3550" t="s">
        <v>52</v>
      </c>
      <c r="F3550" t="s">
        <v>1894</v>
      </c>
      <c r="G3550" t="s">
        <v>7046</v>
      </c>
      <c r="H3550" t="str">
        <f>"74"</f>
        <v>74</v>
      </c>
      <c r="I3550" t="s">
        <v>423</v>
      </c>
      <c r="J3550" t="s">
        <v>1496</v>
      </c>
      <c r="K3550" t="s">
        <v>2340</v>
      </c>
    </row>
    <row r="3551" spans="1:11" x14ac:dyDescent="0.3">
      <c r="A3551" t="str">
        <f>"26927985"</f>
        <v>26927985</v>
      </c>
      <c r="B3551" t="s">
        <v>7047</v>
      </c>
      <c r="C3551" t="str">
        <f>"141"</f>
        <v>141</v>
      </c>
      <c r="D3551" t="s">
        <v>112</v>
      </c>
      <c r="E3551" t="s">
        <v>52</v>
      </c>
      <c r="F3551" t="s">
        <v>612</v>
      </c>
      <c r="G3551" t="s">
        <v>1643</v>
      </c>
      <c r="H3551" t="str">
        <f>"74300"</f>
        <v>74300</v>
      </c>
      <c r="I3551" t="s">
        <v>2340</v>
      </c>
      <c r="J3551" t="s">
        <v>1496</v>
      </c>
    </row>
    <row r="3552" spans="1:11" x14ac:dyDescent="0.3">
      <c r="A3552" t="str">
        <f>"08758123"</f>
        <v>08758123</v>
      </c>
      <c r="B3552" t="s">
        <v>7049</v>
      </c>
      <c r="C3552" t="str">
        <f t="shared" ref="C3552:C3570" si="263">"706"</f>
        <v>706</v>
      </c>
      <c r="D3552" t="s">
        <v>28</v>
      </c>
      <c r="E3552" t="s">
        <v>52</v>
      </c>
      <c r="F3552" t="s">
        <v>52</v>
      </c>
      <c r="G3552" t="s">
        <v>257</v>
      </c>
      <c r="H3552" t="str">
        <f>"855"</f>
        <v>855</v>
      </c>
      <c r="I3552" t="s">
        <v>146</v>
      </c>
      <c r="J3552" t="s">
        <v>31</v>
      </c>
      <c r="K3552" t="s">
        <v>263</v>
      </c>
    </row>
    <row r="3553" spans="1:9" x14ac:dyDescent="0.3">
      <c r="A3553" t="str">
        <f>"69744327"</f>
        <v>69744327</v>
      </c>
      <c r="B3553" t="s">
        <v>7050</v>
      </c>
      <c r="C3553" t="str">
        <f t="shared" si="263"/>
        <v>706</v>
      </c>
      <c r="D3553" t="s">
        <v>28</v>
      </c>
      <c r="E3553" t="s">
        <v>23</v>
      </c>
      <c r="F3553" t="s">
        <v>23</v>
      </c>
      <c r="G3553" t="s">
        <v>4283</v>
      </c>
      <c r="H3553" t="str">
        <f>"9499"</f>
        <v>9499</v>
      </c>
      <c r="I3553" t="s">
        <v>31</v>
      </c>
    </row>
    <row r="3554" spans="1:9" x14ac:dyDescent="0.3">
      <c r="A3554" t="str">
        <f>"09657231"</f>
        <v>09657231</v>
      </c>
      <c r="B3554" t="s">
        <v>7051</v>
      </c>
      <c r="C3554" t="str">
        <f t="shared" si="263"/>
        <v>706</v>
      </c>
      <c r="D3554" t="s">
        <v>28</v>
      </c>
      <c r="E3554" t="s">
        <v>23</v>
      </c>
      <c r="F3554" t="s">
        <v>23</v>
      </c>
      <c r="G3554" t="s">
        <v>3357</v>
      </c>
      <c r="H3554" t="str">
        <f>"9499"</f>
        <v>9499</v>
      </c>
      <c r="I3554" t="s">
        <v>31</v>
      </c>
    </row>
    <row r="3555" spans="1:9" x14ac:dyDescent="0.3">
      <c r="A3555" t="str">
        <f>"70885605"</f>
        <v>70885605</v>
      </c>
      <c r="B3555" t="s">
        <v>7052</v>
      </c>
      <c r="C3555" t="str">
        <f t="shared" si="263"/>
        <v>706</v>
      </c>
      <c r="D3555" t="s">
        <v>28</v>
      </c>
      <c r="E3555" t="s">
        <v>23</v>
      </c>
      <c r="F3555" t="s">
        <v>350</v>
      </c>
      <c r="G3555" t="s">
        <v>7053</v>
      </c>
      <c r="H3555" t="str">
        <f>"94991"</f>
        <v>94991</v>
      </c>
      <c r="I3555" t="s">
        <v>433</v>
      </c>
    </row>
    <row r="3556" spans="1:9" x14ac:dyDescent="0.3">
      <c r="A3556" t="str">
        <f>"70881901"</f>
        <v>70881901</v>
      </c>
      <c r="B3556" t="s">
        <v>7054</v>
      </c>
      <c r="C3556" t="str">
        <f t="shared" si="263"/>
        <v>706</v>
      </c>
      <c r="D3556" t="s">
        <v>28</v>
      </c>
      <c r="E3556" t="s">
        <v>83</v>
      </c>
      <c r="F3556" t="s">
        <v>83</v>
      </c>
      <c r="G3556" t="s">
        <v>7055</v>
      </c>
      <c r="H3556" t="str">
        <f>"9499"</f>
        <v>9499</v>
      </c>
      <c r="I3556" t="s">
        <v>31</v>
      </c>
    </row>
    <row r="3557" spans="1:9" x14ac:dyDescent="0.3">
      <c r="A3557" t="str">
        <f>"47934140"</f>
        <v>47934140</v>
      </c>
      <c r="B3557" t="s">
        <v>7056</v>
      </c>
      <c r="C3557" t="str">
        <f t="shared" si="263"/>
        <v>706</v>
      </c>
      <c r="D3557" t="s">
        <v>28</v>
      </c>
      <c r="E3557" t="s">
        <v>83</v>
      </c>
      <c r="F3557" t="s">
        <v>83</v>
      </c>
      <c r="G3557" t="s">
        <v>557</v>
      </c>
      <c r="H3557" t="str">
        <f>"93110"</f>
        <v>93110</v>
      </c>
      <c r="I3557" t="s">
        <v>92</v>
      </c>
    </row>
    <row r="3558" spans="1:9" x14ac:dyDescent="0.3">
      <c r="A3558" t="str">
        <f>"27025721"</f>
        <v>27025721</v>
      </c>
      <c r="B3558" t="s">
        <v>7057</v>
      </c>
      <c r="C3558" t="str">
        <f t="shared" si="263"/>
        <v>706</v>
      </c>
      <c r="D3558" t="s">
        <v>28</v>
      </c>
      <c r="E3558" t="s">
        <v>52</v>
      </c>
      <c r="F3558" t="s">
        <v>52</v>
      </c>
      <c r="G3558" t="s">
        <v>7058</v>
      </c>
      <c r="H3558" t="str">
        <f>"93110"</f>
        <v>93110</v>
      </c>
      <c r="I3558" t="s">
        <v>92</v>
      </c>
    </row>
    <row r="3559" spans="1:9" x14ac:dyDescent="0.3">
      <c r="A3559" t="str">
        <f>"26600692"</f>
        <v>26600692</v>
      </c>
      <c r="B3559" t="s">
        <v>7059</v>
      </c>
      <c r="C3559" t="str">
        <f t="shared" si="263"/>
        <v>706</v>
      </c>
      <c r="D3559" t="s">
        <v>28</v>
      </c>
      <c r="E3559" t="s">
        <v>23</v>
      </c>
      <c r="F3559" t="s">
        <v>23</v>
      </c>
      <c r="G3559" t="s">
        <v>7060</v>
      </c>
      <c r="H3559" t="str">
        <f t="shared" ref="H3559:H3563" si="264">"9499"</f>
        <v>9499</v>
      </c>
      <c r="I3559" t="s">
        <v>31</v>
      </c>
    </row>
    <row r="3560" spans="1:9" x14ac:dyDescent="0.3">
      <c r="A3560" t="str">
        <f>"09343547"</f>
        <v>09343547</v>
      </c>
      <c r="B3560" t="s">
        <v>7061</v>
      </c>
      <c r="C3560" t="str">
        <f t="shared" si="263"/>
        <v>706</v>
      </c>
      <c r="D3560" t="s">
        <v>28</v>
      </c>
      <c r="E3560" t="s">
        <v>52</v>
      </c>
      <c r="F3560" t="s">
        <v>52</v>
      </c>
      <c r="G3560" t="s">
        <v>7062</v>
      </c>
      <c r="H3560" t="str">
        <f t="shared" si="264"/>
        <v>9499</v>
      </c>
      <c r="I3560" t="s">
        <v>31</v>
      </c>
    </row>
    <row r="3561" spans="1:9" x14ac:dyDescent="0.3">
      <c r="A3561" t="str">
        <f>"01348710"</f>
        <v>01348710</v>
      </c>
      <c r="B3561" t="s">
        <v>7063</v>
      </c>
      <c r="C3561" t="str">
        <f t="shared" si="263"/>
        <v>706</v>
      </c>
      <c r="D3561" t="s">
        <v>28</v>
      </c>
      <c r="E3561" t="s">
        <v>23</v>
      </c>
      <c r="F3561" t="s">
        <v>141</v>
      </c>
      <c r="G3561" t="s">
        <v>7064</v>
      </c>
      <c r="H3561" t="str">
        <f t="shared" si="264"/>
        <v>9499</v>
      </c>
      <c r="I3561" t="s">
        <v>31</v>
      </c>
    </row>
    <row r="3562" spans="1:9" x14ac:dyDescent="0.3">
      <c r="A3562" t="str">
        <f>"08819874"</f>
        <v>08819874</v>
      </c>
      <c r="B3562" t="s">
        <v>7065</v>
      </c>
      <c r="C3562" t="str">
        <f t="shared" si="263"/>
        <v>706</v>
      </c>
      <c r="D3562" t="s">
        <v>28</v>
      </c>
      <c r="E3562" t="s">
        <v>23</v>
      </c>
      <c r="F3562" t="s">
        <v>4161</v>
      </c>
      <c r="G3562" t="s">
        <v>7066</v>
      </c>
      <c r="H3562" t="str">
        <f t="shared" si="264"/>
        <v>9499</v>
      </c>
      <c r="I3562" t="s">
        <v>31</v>
      </c>
    </row>
    <row r="3563" spans="1:9" x14ac:dyDescent="0.3">
      <c r="A3563" t="str">
        <f>"27026612"</f>
        <v>27026612</v>
      </c>
      <c r="B3563" t="s">
        <v>7067</v>
      </c>
      <c r="C3563" t="str">
        <f t="shared" si="263"/>
        <v>706</v>
      </c>
      <c r="D3563" t="s">
        <v>28</v>
      </c>
      <c r="E3563" t="s">
        <v>83</v>
      </c>
      <c r="F3563" t="s">
        <v>175</v>
      </c>
      <c r="G3563" t="s">
        <v>7068</v>
      </c>
      <c r="H3563" t="str">
        <f t="shared" si="264"/>
        <v>9499</v>
      </c>
      <c r="I3563" t="s">
        <v>31</v>
      </c>
    </row>
    <row r="3564" spans="1:9" x14ac:dyDescent="0.3">
      <c r="A3564" t="str">
        <f>"26571871"</f>
        <v>26571871</v>
      </c>
      <c r="B3564" t="s">
        <v>7069</v>
      </c>
      <c r="C3564" t="str">
        <f t="shared" si="263"/>
        <v>706</v>
      </c>
      <c r="D3564" t="s">
        <v>28</v>
      </c>
      <c r="E3564" t="s">
        <v>29</v>
      </c>
      <c r="F3564" t="s">
        <v>38</v>
      </c>
      <c r="G3564" t="s">
        <v>7070</v>
      </c>
      <c r="H3564" t="str">
        <f>"94993"</f>
        <v>94993</v>
      </c>
      <c r="I3564" t="s">
        <v>50</v>
      </c>
    </row>
    <row r="3565" spans="1:9" x14ac:dyDescent="0.3">
      <c r="A3565" t="str">
        <f>"19203080"</f>
        <v>19203080</v>
      </c>
      <c r="B3565" t="s">
        <v>7071</v>
      </c>
      <c r="C3565" t="str">
        <f t="shared" si="263"/>
        <v>706</v>
      </c>
      <c r="D3565" t="s">
        <v>28</v>
      </c>
      <c r="E3565" t="s">
        <v>83</v>
      </c>
      <c r="F3565" t="s">
        <v>83</v>
      </c>
      <c r="G3565" t="s">
        <v>7072</v>
      </c>
      <c r="H3565" t="str">
        <f>"9499"</f>
        <v>9499</v>
      </c>
      <c r="I3565" t="s">
        <v>31</v>
      </c>
    </row>
    <row r="3566" spans="1:9" x14ac:dyDescent="0.3">
      <c r="A3566" t="str">
        <f>"23272716"</f>
        <v>23272716</v>
      </c>
      <c r="B3566" t="s">
        <v>7073</v>
      </c>
      <c r="C3566" t="str">
        <f t="shared" si="263"/>
        <v>706</v>
      </c>
      <c r="D3566" t="s">
        <v>28</v>
      </c>
      <c r="E3566" t="s">
        <v>52</v>
      </c>
      <c r="F3566" t="s">
        <v>52</v>
      </c>
      <c r="G3566" t="s">
        <v>2573</v>
      </c>
      <c r="H3566" t="str">
        <f>"9499"</f>
        <v>9499</v>
      </c>
      <c r="I3566" t="s">
        <v>31</v>
      </c>
    </row>
    <row r="3567" spans="1:9" x14ac:dyDescent="0.3">
      <c r="A3567" t="str">
        <f>"22855734"</f>
        <v>22855734</v>
      </c>
      <c r="B3567" t="s">
        <v>7074</v>
      </c>
      <c r="C3567" t="str">
        <f t="shared" si="263"/>
        <v>706</v>
      </c>
      <c r="D3567" t="s">
        <v>28</v>
      </c>
      <c r="E3567" t="s">
        <v>83</v>
      </c>
      <c r="F3567" t="s">
        <v>5711</v>
      </c>
      <c r="G3567" t="s">
        <v>7075</v>
      </c>
      <c r="H3567" t="str">
        <f>"94999"</f>
        <v>94999</v>
      </c>
      <c r="I3567" t="s">
        <v>202</v>
      </c>
    </row>
    <row r="3568" spans="1:9" x14ac:dyDescent="0.3">
      <c r="A3568" t="str">
        <f>"08186898"</f>
        <v>08186898</v>
      </c>
      <c r="B3568" t="s">
        <v>7076</v>
      </c>
      <c r="C3568" t="str">
        <f t="shared" si="263"/>
        <v>706</v>
      </c>
      <c r="D3568" t="s">
        <v>28</v>
      </c>
      <c r="E3568" t="s">
        <v>23</v>
      </c>
      <c r="F3568" t="s">
        <v>23</v>
      </c>
      <c r="G3568" t="s">
        <v>6792</v>
      </c>
      <c r="H3568" t="str">
        <f>"9499"</f>
        <v>9499</v>
      </c>
      <c r="I3568" t="s">
        <v>31</v>
      </c>
    </row>
    <row r="3569" spans="1:9" x14ac:dyDescent="0.3">
      <c r="A3569" t="str">
        <f>"02422131"</f>
        <v>02422131</v>
      </c>
      <c r="B3569" t="s">
        <v>7077</v>
      </c>
      <c r="C3569" t="str">
        <f t="shared" si="263"/>
        <v>706</v>
      </c>
      <c r="D3569" t="s">
        <v>28</v>
      </c>
      <c r="E3569" t="s">
        <v>23</v>
      </c>
      <c r="F3569" t="s">
        <v>23</v>
      </c>
      <c r="G3569" t="s">
        <v>3352</v>
      </c>
      <c r="H3569" t="str">
        <f>"9499"</f>
        <v>9499</v>
      </c>
      <c r="I3569" t="s">
        <v>31</v>
      </c>
    </row>
    <row r="3570" spans="1:9" x14ac:dyDescent="0.3">
      <c r="A3570" t="str">
        <f>"22687530"</f>
        <v>22687530</v>
      </c>
      <c r="B3570" t="s">
        <v>7078</v>
      </c>
      <c r="C3570" t="str">
        <f t="shared" si="263"/>
        <v>706</v>
      </c>
      <c r="D3570" t="s">
        <v>28</v>
      </c>
      <c r="E3570" t="s">
        <v>52</v>
      </c>
      <c r="F3570" t="s">
        <v>920</v>
      </c>
      <c r="G3570" t="s">
        <v>7079</v>
      </c>
      <c r="H3570" t="str">
        <f>"9499"</f>
        <v>9499</v>
      </c>
      <c r="I3570" t="s">
        <v>31</v>
      </c>
    </row>
    <row r="3571" spans="1:9" x14ac:dyDescent="0.3">
      <c r="A3571" t="str">
        <f>"07882980"</f>
        <v>07882980</v>
      </c>
      <c r="B3571" t="s">
        <v>7080</v>
      </c>
      <c r="C3571" t="str">
        <f>"161"</f>
        <v>161</v>
      </c>
      <c r="D3571" t="s">
        <v>152</v>
      </c>
      <c r="E3571" t="s">
        <v>83</v>
      </c>
      <c r="F3571" t="s">
        <v>175</v>
      </c>
      <c r="G3571" t="s">
        <v>7081</v>
      </c>
      <c r="H3571" t="str">
        <f>"94994"</f>
        <v>94994</v>
      </c>
      <c r="I3571" t="s">
        <v>7082</v>
      </c>
    </row>
    <row r="3572" spans="1:9" x14ac:dyDescent="0.3">
      <c r="A3572" t="str">
        <f>"60382872"</f>
        <v>60382872</v>
      </c>
      <c r="B3572" t="s">
        <v>7083</v>
      </c>
      <c r="C3572" t="str">
        <f t="shared" ref="C3572:C3601" si="265">"706"</f>
        <v>706</v>
      </c>
      <c r="D3572" t="s">
        <v>28</v>
      </c>
      <c r="E3572" t="s">
        <v>83</v>
      </c>
      <c r="F3572" t="s">
        <v>130</v>
      </c>
      <c r="G3572" t="s">
        <v>7084</v>
      </c>
      <c r="H3572" t="str">
        <f>"94999"</f>
        <v>94999</v>
      </c>
      <c r="I3572" t="s">
        <v>202</v>
      </c>
    </row>
    <row r="3573" spans="1:9" x14ac:dyDescent="0.3">
      <c r="A3573" t="str">
        <f>"26643367"</f>
        <v>26643367</v>
      </c>
      <c r="B3573" t="s">
        <v>7085</v>
      </c>
      <c r="C3573" t="str">
        <f t="shared" si="265"/>
        <v>706</v>
      </c>
      <c r="D3573" t="s">
        <v>28</v>
      </c>
      <c r="E3573" t="s">
        <v>52</v>
      </c>
      <c r="F3573" t="s">
        <v>65</v>
      </c>
      <c r="G3573" t="s">
        <v>7086</v>
      </c>
      <c r="H3573" t="str">
        <f>"9499"</f>
        <v>9499</v>
      </c>
      <c r="I3573" t="s">
        <v>31</v>
      </c>
    </row>
    <row r="3574" spans="1:9" x14ac:dyDescent="0.3">
      <c r="A3574" t="str">
        <f>"44740476"</f>
        <v>44740476</v>
      </c>
      <c r="B3574" t="s">
        <v>7087</v>
      </c>
      <c r="C3574" t="str">
        <f t="shared" si="265"/>
        <v>706</v>
      </c>
      <c r="D3574" t="s">
        <v>28</v>
      </c>
      <c r="E3574" t="s">
        <v>29</v>
      </c>
      <c r="F3574" t="s">
        <v>29</v>
      </c>
      <c r="G3574" t="s">
        <v>7088</v>
      </c>
      <c r="H3574" t="str">
        <f>"9499"</f>
        <v>9499</v>
      </c>
      <c r="I3574" t="s">
        <v>31</v>
      </c>
    </row>
    <row r="3575" spans="1:9" x14ac:dyDescent="0.3">
      <c r="A3575" t="str">
        <f>"02450861"</f>
        <v>02450861</v>
      </c>
      <c r="B3575" t="s">
        <v>7089</v>
      </c>
      <c r="C3575" t="str">
        <f t="shared" si="265"/>
        <v>706</v>
      </c>
      <c r="D3575" t="s">
        <v>28</v>
      </c>
      <c r="E3575" t="s">
        <v>29</v>
      </c>
      <c r="F3575" t="s">
        <v>29</v>
      </c>
      <c r="G3575" t="s">
        <v>7090</v>
      </c>
      <c r="H3575" t="str">
        <f>"9499"</f>
        <v>9499</v>
      </c>
      <c r="I3575" t="s">
        <v>31</v>
      </c>
    </row>
    <row r="3576" spans="1:9" x14ac:dyDescent="0.3">
      <c r="A3576" t="str">
        <f>"65469623"</f>
        <v>65469623</v>
      </c>
      <c r="B3576" t="s">
        <v>7091</v>
      </c>
      <c r="C3576" t="str">
        <f t="shared" si="265"/>
        <v>706</v>
      </c>
      <c r="D3576" t="s">
        <v>28</v>
      </c>
      <c r="E3576" t="s">
        <v>29</v>
      </c>
      <c r="F3576" t="s">
        <v>1654</v>
      </c>
      <c r="G3576" t="s">
        <v>7092</v>
      </c>
      <c r="H3576" t="str">
        <f>"88"</f>
        <v>88</v>
      </c>
      <c r="I3576" t="s">
        <v>154</v>
      </c>
    </row>
    <row r="3577" spans="1:9" x14ac:dyDescent="0.3">
      <c r="A3577" t="str">
        <f>"17448212"</f>
        <v>17448212</v>
      </c>
      <c r="B3577" t="s">
        <v>7093</v>
      </c>
      <c r="C3577" t="str">
        <f t="shared" si="265"/>
        <v>706</v>
      </c>
      <c r="D3577" t="s">
        <v>28</v>
      </c>
      <c r="E3577" t="s">
        <v>52</v>
      </c>
      <c r="F3577" t="s">
        <v>73</v>
      </c>
      <c r="G3577" t="s">
        <v>7094</v>
      </c>
      <c r="H3577" t="str">
        <f>"9499"</f>
        <v>9499</v>
      </c>
      <c r="I3577" t="s">
        <v>31</v>
      </c>
    </row>
    <row r="3578" spans="1:9" x14ac:dyDescent="0.3">
      <c r="A3578" t="str">
        <f>"01819780"</f>
        <v>01819780</v>
      </c>
      <c r="B3578" t="s">
        <v>7095</v>
      </c>
      <c r="C3578" t="str">
        <f t="shared" si="265"/>
        <v>706</v>
      </c>
      <c r="D3578" t="s">
        <v>28</v>
      </c>
      <c r="E3578" t="s">
        <v>29</v>
      </c>
      <c r="F3578" t="s">
        <v>390</v>
      </c>
      <c r="G3578" t="s">
        <v>7096</v>
      </c>
      <c r="H3578" t="str">
        <f>"94999"</f>
        <v>94999</v>
      </c>
      <c r="I3578" t="s">
        <v>202</v>
      </c>
    </row>
    <row r="3579" spans="1:9" x14ac:dyDescent="0.3">
      <c r="A3579" t="str">
        <f>"05297311"</f>
        <v>05297311</v>
      </c>
      <c r="B3579" t="s">
        <v>7097</v>
      </c>
      <c r="C3579" t="str">
        <f t="shared" si="265"/>
        <v>706</v>
      </c>
      <c r="D3579" t="s">
        <v>28</v>
      </c>
      <c r="E3579" t="s">
        <v>23</v>
      </c>
      <c r="F3579" t="s">
        <v>23</v>
      </c>
      <c r="G3579" t="s">
        <v>7098</v>
      </c>
      <c r="H3579" t="str">
        <f t="shared" ref="H3579:H3583" si="266">"9499"</f>
        <v>9499</v>
      </c>
      <c r="I3579" t="s">
        <v>31</v>
      </c>
    </row>
    <row r="3580" spans="1:9" x14ac:dyDescent="0.3">
      <c r="A3580" t="str">
        <f>"21718890"</f>
        <v>21718890</v>
      </c>
      <c r="B3580" t="s">
        <v>7099</v>
      </c>
      <c r="C3580" t="str">
        <f t="shared" si="265"/>
        <v>706</v>
      </c>
      <c r="D3580" t="s">
        <v>28</v>
      </c>
      <c r="E3580" t="s">
        <v>23</v>
      </c>
      <c r="F3580" t="s">
        <v>99</v>
      </c>
      <c r="G3580" t="s">
        <v>309</v>
      </c>
      <c r="H3580" t="str">
        <f t="shared" si="266"/>
        <v>9499</v>
      </c>
      <c r="I3580" t="s">
        <v>31</v>
      </c>
    </row>
    <row r="3581" spans="1:9" x14ac:dyDescent="0.3">
      <c r="A3581" t="str">
        <f>"22835091"</f>
        <v>22835091</v>
      </c>
      <c r="B3581" t="s">
        <v>7100</v>
      </c>
      <c r="C3581" t="str">
        <f t="shared" si="265"/>
        <v>706</v>
      </c>
      <c r="D3581" t="s">
        <v>28</v>
      </c>
      <c r="E3581" t="s">
        <v>23</v>
      </c>
      <c r="F3581" t="s">
        <v>350</v>
      </c>
      <c r="G3581" t="s">
        <v>7101</v>
      </c>
      <c r="H3581" t="str">
        <f t="shared" si="266"/>
        <v>9499</v>
      </c>
      <c r="I3581" t="s">
        <v>31</v>
      </c>
    </row>
    <row r="3582" spans="1:9" x14ac:dyDescent="0.3">
      <c r="A3582" t="str">
        <f>"26534703"</f>
        <v>26534703</v>
      </c>
      <c r="B3582" t="s">
        <v>7102</v>
      </c>
      <c r="C3582" t="str">
        <f t="shared" si="265"/>
        <v>706</v>
      </c>
      <c r="D3582" t="s">
        <v>28</v>
      </c>
      <c r="E3582" t="s">
        <v>29</v>
      </c>
      <c r="F3582" t="s">
        <v>29</v>
      </c>
      <c r="G3582" t="s">
        <v>7103</v>
      </c>
      <c r="H3582" t="str">
        <f t="shared" si="266"/>
        <v>9499</v>
      </c>
      <c r="I3582" t="s">
        <v>31</v>
      </c>
    </row>
    <row r="3583" spans="1:9" x14ac:dyDescent="0.3">
      <c r="A3583" t="str">
        <f>"27031195"</f>
        <v>27031195</v>
      </c>
      <c r="B3583" t="s">
        <v>7104</v>
      </c>
      <c r="C3583" t="str">
        <f t="shared" si="265"/>
        <v>706</v>
      </c>
      <c r="D3583" t="s">
        <v>28</v>
      </c>
      <c r="E3583" t="s">
        <v>52</v>
      </c>
      <c r="F3583" t="s">
        <v>52</v>
      </c>
      <c r="G3583" t="s">
        <v>7105</v>
      </c>
      <c r="H3583" t="str">
        <f t="shared" si="266"/>
        <v>9499</v>
      </c>
      <c r="I3583" t="s">
        <v>31</v>
      </c>
    </row>
    <row r="3584" spans="1:9" x14ac:dyDescent="0.3">
      <c r="A3584" t="str">
        <f>"06507247"</f>
        <v>06507247</v>
      </c>
      <c r="B3584" t="s">
        <v>7106</v>
      </c>
      <c r="C3584" t="str">
        <f t="shared" si="265"/>
        <v>706</v>
      </c>
      <c r="D3584" t="s">
        <v>28</v>
      </c>
      <c r="E3584" t="s">
        <v>23</v>
      </c>
      <c r="F3584" t="s">
        <v>68</v>
      </c>
      <c r="G3584" t="s">
        <v>7107</v>
      </c>
      <c r="H3584" t="str">
        <f>"94996"</f>
        <v>94996</v>
      </c>
      <c r="I3584" t="s">
        <v>47</v>
      </c>
    </row>
    <row r="3585" spans="1:11" x14ac:dyDescent="0.3">
      <c r="A3585" t="str">
        <f>"22828630"</f>
        <v>22828630</v>
      </c>
      <c r="B3585" t="s">
        <v>7108</v>
      </c>
      <c r="C3585" t="str">
        <f t="shared" si="265"/>
        <v>706</v>
      </c>
      <c r="D3585" t="s">
        <v>28</v>
      </c>
      <c r="E3585" t="s">
        <v>52</v>
      </c>
      <c r="F3585" t="s">
        <v>739</v>
      </c>
      <c r="G3585" t="s">
        <v>7109</v>
      </c>
      <c r="H3585" t="str">
        <f>"9499"</f>
        <v>9499</v>
      </c>
      <c r="I3585" t="s">
        <v>31</v>
      </c>
    </row>
    <row r="3586" spans="1:11" x14ac:dyDescent="0.3">
      <c r="A3586" t="str">
        <f>"21148244"</f>
        <v>21148244</v>
      </c>
      <c r="B3586" t="s">
        <v>7110</v>
      </c>
      <c r="C3586" t="str">
        <f t="shared" si="265"/>
        <v>706</v>
      </c>
      <c r="D3586" t="s">
        <v>28</v>
      </c>
      <c r="E3586" t="s">
        <v>83</v>
      </c>
      <c r="F3586" t="s">
        <v>881</v>
      </c>
      <c r="G3586" t="s">
        <v>7111</v>
      </c>
      <c r="H3586" t="str">
        <f>"94991"</f>
        <v>94991</v>
      </c>
      <c r="I3586" t="s">
        <v>433</v>
      </c>
    </row>
    <row r="3587" spans="1:11" x14ac:dyDescent="0.3">
      <c r="A3587" t="str">
        <f>"03825671"</f>
        <v>03825671</v>
      </c>
      <c r="B3587" t="s">
        <v>7112</v>
      </c>
      <c r="C3587" t="str">
        <f t="shared" si="265"/>
        <v>706</v>
      </c>
      <c r="D3587" t="s">
        <v>28</v>
      </c>
      <c r="E3587" t="s">
        <v>29</v>
      </c>
      <c r="F3587" t="s">
        <v>1004</v>
      </c>
      <c r="G3587" t="s">
        <v>2365</v>
      </c>
      <c r="H3587" t="str">
        <f>"9499"</f>
        <v>9499</v>
      </c>
      <c r="I3587" t="s">
        <v>31</v>
      </c>
    </row>
    <row r="3588" spans="1:11" x14ac:dyDescent="0.3">
      <c r="A3588" t="str">
        <f>"26558823"</f>
        <v>26558823</v>
      </c>
      <c r="B3588" t="s">
        <v>7113</v>
      </c>
      <c r="C3588" t="str">
        <f t="shared" si="265"/>
        <v>706</v>
      </c>
      <c r="D3588" t="s">
        <v>28</v>
      </c>
      <c r="E3588" t="s">
        <v>83</v>
      </c>
      <c r="F3588" t="s">
        <v>409</v>
      </c>
      <c r="G3588" t="s">
        <v>5756</v>
      </c>
      <c r="H3588" t="str">
        <f>"9499"</f>
        <v>9499</v>
      </c>
      <c r="I3588" t="s">
        <v>31</v>
      </c>
    </row>
    <row r="3589" spans="1:11" x14ac:dyDescent="0.3">
      <c r="A3589" t="str">
        <f>"02919974"</f>
        <v>02919974</v>
      </c>
      <c r="B3589" t="s">
        <v>7114</v>
      </c>
      <c r="C3589" t="str">
        <f t="shared" si="265"/>
        <v>706</v>
      </c>
      <c r="D3589" t="s">
        <v>28</v>
      </c>
      <c r="E3589" t="s">
        <v>83</v>
      </c>
      <c r="F3589" t="s">
        <v>175</v>
      </c>
      <c r="G3589" t="s">
        <v>3966</v>
      </c>
      <c r="H3589" t="str">
        <f>"9499"</f>
        <v>9499</v>
      </c>
      <c r="I3589" t="s">
        <v>31</v>
      </c>
      <c r="J3589" t="s">
        <v>146</v>
      </c>
      <c r="K3589" t="s">
        <v>163</v>
      </c>
    </row>
    <row r="3590" spans="1:11" x14ac:dyDescent="0.3">
      <c r="A3590" t="str">
        <f>"04412672"</f>
        <v>04412672</v>
      </c>
      <c r="B3590" t="s">
        <v>7115</v>
      </c>
      <c r="C3590" t="str">
        <f t="shared" si="265"/>
        <v>706</v>
      </c>
      <c r="D3590" t="s">
        <v>28</v>
      </c>
      <c r="E3590" t="s">
        <v>83</v>
      </c>
      <c r="F3590" t="s">
        <v>83</v>
      </c>
      <c r="G3590" t="s">
        <v>7116</v>
      </c>
      <c r="H3590" t="str">
        <f>"88999"</f>
        <v>88999</v>
      </c>
      <c r="I3590" t="s">
        <v>354</v>
      </c>
    </row>
    <row r="3591" spans="1:11" x14ac:dyDescent="0.3">
      <c r="A3591" t="str">
        <f>"06556728"</f>
        <v>06556728</v>
      </c>
      <c r="B3591" t="s">
        <v>7117</v>
      </c>
      <c r="C3591" t="str">
        <f t="shared" si="265"/>
        <v>706</v>
      </c>
      <c r="D3591" t="s">
        <v>28</v>
      </c>
      <c r="E3591" t="s">
        <v>52</v>
      </c>
      <c r="F3591" t="s">
        <v>113</v>
      </c>
      <c r="G3591" t="s">
        <v>7118</v>
      </c>
      <c r="H3591" t="str">
        <f>"94991"</f>
        <v>94991</v>
      </c>
      <c r="I3591" t="s">
        <v>433</v>
      </c>
    </row>
    <row r="3592" spans="1:11" x14ac:dyDescent="0.3">
      <c r="A3592" t="str">
        <f>"22870211"</f>
        <v>22870211</v>
      </c>
      <c r="B3592" t="s">
        <v>7119</v>
      </c>
      <c r="C3592" t="str">
        <f t="shared" si="265"/>
        <v>706</v>
      </c>
      <c r="D3592" t="s">
        <v>28</v>
      </c>
      <c r="E3592" t="s">
        <v>52</v>
      </c>
      <c r="F3592" t="s">
        <v>612</v>
      </c>
      <c r="G3592" t="s">
        <v>4450</v>
      </c>
      <c r="H3592" t="str">
        <f>"9499"</f>
        <v>9499</v>
      </c>
      <c r="I3592" t="s">
        <v>31</v>
      </c>
    </row>
    <row r="3593" spans="1:11" x14ac:dyDescent="0.3">
      <c r="A3593" t="str">
        <f>"08218609"</f>
        <v>08218609</v>
      </c>
      <c r="B3593" t="s">
        <v>7120</v>
      </c>
      <c r="C3593" t="str">
        <f t="shared" si="265"/>
        <v>706</v>
      </c>
      <c r="D3593" t="s">
        <v>28</v>
      </c>
      <c r="E3593" t="s">
        <v>83</v>
      </c>
      <c r="F3593" t="s">
        <v>480</v>
      </c>
      <c r="G3593" t="s">
        <v>7121</v>
      </c>
      <c r="H3593" t="str">
        <f>"94996"</f>
        <v>94996</v>
      </c>
      <c r="I3593" t="s">
        <v>47</v>
      </c>
    </row>
    <row r="3594" spans="1:11" x14ac:dyDescent="0.3">
      <c r="A3594" t="str">
        <f>"22822097"</f>
        <v>22822097</v>
      </c>
      <c r="B3594" t="s">
        <v>7122</v>
      </c>
      <c r="C3594" t="str">
        <f t="shared" si="265"/>
        <v>706</v>
      </c>
      <c r="D3594" t="s">
        <v>28</v>
      </c>
      <c r="E3594" t="s">
        <v>29</v>
      </c>
      <c r="F3594" t="s">
        <v>271</v>
      </c>
      <c r="G3594" t="s">
        <v>1606</v>
      </c>
      <c r="H3594" t="str">
        <f>"9499"</f>
        <v>9499</v>
      </c>
      <c r="I3594" t="s">
        <v>31</v>
      </c>
    </row>
    <row r="3595" spans="1:11" x14ac:dyDescent="0.3">
      <c r="A3595" t="str">
        <f>"26553821"</f>
        <v>26553821</v>
      </c>
      <c r="B3595" t="s">
        <v>7123</v>
      </c>
      <c r="C3595" t="str">
        <f t="shared" si="265"/>
        <v>706</v>
      </c>
      <c r="D3595" t="s">
        <v>28</v>
      </c>
      <c r="E3595" t="s">
        <v>23</v>
      </c>
      <c r="F3595" t="s">
        <v>107</v>
      </c>
      <c r="G3595" t="s">
        <v>4418</v>
      </c>
      <c r="H3595" t="str">
        <f>"9499"</f>
        <v>9499</v>
      </c>
      <c r="I3595" t="s">
        <v>31</v>
      </c>
    </row>
    <row r="3596" spans="1:11" x14ac:dyDescent="0.3">
      <c r="A3596" t="str">
        <f>"22728724"</f>
        <v>22728724</v>
      </c>
      <c r="B3596" t="s">
        <v>7124</v>
      </c>
      <c r="C3596" t="str">
        <f t="shared" si="265"/>
        <v>706</v>
      </c>
      <c r="D3596" t="s">
        <v>28</v>
      </c>
      <c r="E3596" t="s">
        <v>23</v>
      </c>
      <c r="F3596" t="s">
        <v>245</v>
      </c>
      <c r="G3596" t="s">
        <v>7125</v>
      </c>
      <c r="H3596" t="str">
        <f>"9499"</f>
        <v>9499</v>
      </c>
      <c r="I3596" t="s">
        <v>31</v>
      </c>
    </row>
    <row r="3597" spans="1:11" x14ac:dyDescent="0.3">
      <c r="A3597" t="str">
        <f>"05117844"</f>
        <v>05117844</v>
      </c>
      <c r="B3597" t="s">
        <v>7126</v>
      </c>
      <c r="C3597" t="str">
        <f t="shared" si="265"/>
        <v>706</v>
      </c>
      <c r="D3597" t="s">
        <v>28</v>
      </c>
      <c r="E3597" t="s">
        <v>52</v>
      </c>
      <c r="F3597" t="s">
        <v>52</v>
      </c>
      <c r="G3597" t="s">
        <v>7127</v>
      </c>
      <c r="H3597" t="str">
        <f>"94991"</f>
        <v>94991</v>
      </c>
      <c r="I3597" t="s">
        <v>433</v>
      </c>
    </row>
    <row r="3598" spans="1:11" x14ac:dyDescent="0.3">
      <c r="A3598" t="str">
        <f>"22753940"</f>
        <v>22753940</v>
      </c>
      <c r="B3598" t="s">
        <v>7128</v>
      </c>
      <c r="C3598" t="str">
        <f t="shared" si="265"/>
        <v>706</v>
      </c>
      <c r="D3598" t="s">
        <v>28</v>
      </c>
      <c r="E3598" t="s">
        <v>23</v>
      </c>
      <c r="F3598" t="s">
        <v>23</v>
      </c>
      <c r="G3598" t="s">
        <v>7129</v>
      </c>
      <c r="H3598" t="str">
        <f>"9499"</f>
        <v>9499</v>
      </c>
      <c r="I3598" t="s">
        <v>31</v>
      </c>
    </row>
    <row r="3599" spans="1:11" x14ac:dyDescent="0.3">
      <c r="A3599" t="str">
        <f>"70238952"</f>
        <v>70238952</v>
      </c>
      <c r="B3599" t="s">
        <v>7130</v>
      </c>
      <c r="C3599" t="str">
        <f t="shared" si="265"/>
        <v>706</v>
      </c>
      <c r="D3599" t="s">
        <v>28</v>
      </c>
      <c r="E3599" t="s">
        <v>29</v>
      </c>
      <c r="F3599" t="s">
        <v>195</v>
      </c>
      <c r="G3599" t="s">
        <v>7131</v>
      </c>
      <c r="H3599" t="str">
        <f>"9499"</f>
        <v>9499</v>
      </c>
      <c r="I3599" t="s">
        <v>31</v>
      </c>
    </row>
    <row r="3600" spans="1:11" x14ac:dyDescent="0.3">
      <c r="A3600" t="str">
        <f>"06515061"</f>
        <v>06515061</v>
      </c>
      <c r="B3600" t="s">
        <v>7132</v>
      </c>
      <c r="C3600" t="str">
        <f t="shared" si="265"/>
        <v>706</v>
      </c>
      <c r="D3600" t="s">
        <v>28</v>
      </c>
      <c r="E3600" t="s">
        <v>52</v>
      </c>
      <c r="F3600" t="s">
        <v>2400</v>
      </c>
      <c r="G3600" t="s">
        <v>7133</v>
      </c>
      <c r="H3600" t="str">
        <f>"9499"</f>
        <v>9499</v>
      </c>
      <c r="I3600" t="s">
        <v>31</v>
      </c>
    </row>
    <row r="3601" spans="1:12" x14ac:dyDescent="0.3">
      <c r="A3601" t="str">
        <f>"01180975"</f>
        <v>01180975</v>
      </c>
      <c r="B3601" t="s">
        <v>7134</v>
      </c>
      <c r="C3601" t="str">
        <f t="shared" si="265"/>
        <v>706</v>
      </c>
      <c r="D3601" t="s">
        <v>28</v>
      </c>
      <c r="E3601" t="s">
        <v>23</v>
      </c>
      <c r="F3601" t="s">
        <v>23</v>
      </c>
      <c r="G3601" t="s">
        <v>7135</v>
      </c>
      <c r="H3601" t="str">
        <f>"94991"</f>
        <v>94991</v>
      </c>
      <c r="I3601" t="s">
        <v>433</v>
      </c>
    </row>
    <row r="3602" spans="1:12" x14ac:dyDescent="0.3">
      <c r="A3602" t="str">
        <f>"22331255"</f>
        <v>22331255</v>
      </c>
      <c r="B3602" t="s">
        <v>7136</v>
      </c>
      <c r="C3602" t="str">
        <f>"118"</f>
        <v>118</v>
      </c>
      <c r="D3602" t="s">
        <v>337</v>
      </c>
      <c r="E3602" t="s">
        <v>83</v>
      </c>
      <c r="F3602" t="s">
        <v>183</v>
      </c>
      <c r="G3602" t="s">
        <v>7137</v>
      </c>
      <c r="H3602" t="str">
        <f>"9499"</f>
        <v>9499</v>
      </c>
      <c r="I3602" t="s">
        <v>31</v>
      </c>
    </row>
    <row r="3603" spans="1:12" x14ac:dyDescent="0.3">
      <c r="A3603" t="str">
        <f>"17963834"</f>
        <v>17963834</v>
      </c>
      <c r="B3603" t="s">
        <v>7138</v>
      </c>
      <c r="C3603" t="str">
        <f t="shared" ref="C3603:C3623" si="267">"706"</f>
        <v>706</v>
      </c>
      <c r="D3603" t="s">
        <v>28</v>
      </c>
      <c r="E3603" t="s">
        <v>52</v>
      </c>
      <c r="F3603" t="s">
        <v>234</v>
      </c>
      <c r="G3603" t="s">
        <v>1414</v>
      </c>
      <c r="H3603" t="str">
        <f>"9499"</f>
        <v>9499</v>
      </c>
      <c r="I3603" t="s">
        <v>31</v>
      </c>
      <c r="J3603" t="s">
        <v>115</v>
      </c>
    </row>
    <row r="3604" spans="1:12" x14ac:dyDescent="0.3">
      <c r="A3604" t="str">
        <f>"27046702"</f>
        <v>27046702</v>
      </c>
      <c r="B3604" t="s">
        <v>7139</v>
      </c>
      <c r="C3604" t="str">
        <f t="shared" si="267"/>
        <v>706</v>
      </c>
      <c r="D3604" t="s">
        <v>28</v>
      </c>
      <c r="E3604" t="s">
        <v>23</v>
      </c>
      <c r="F3604" t="s">
        <v>23</v>
      </c>
      <c r="G3604" t="s">
        <v>7140</v>
      </c>
      <c r="H3604" t="str">
        <f>"9499"</f>
        <v>9499</v>
      </c>
      <c r="I3604" t="s">
        <v>31</v>
      </c>
    </row>
    <row r="3605" spans="1:12" x14ac:dyDescent="0.3">
      <c r="A3605" t="str">
        <f>"02875721"</f>
        <v>02875721</v>
      </c>
      <c r="B3605" t="s">
        <v>7141</v>
      </c>
      <c r="C3605" t="str">
        <f t="shared" si="267"/>
        <v>706</v>
      </c>
      <c r="D3605" t="s">
        <v>28</v>
      </c>
      <c r="E3605" t="s">
        <v>23</v>
      </c>
      <c r="F3605" t="s">
        <v>1631</v>
      </c>
      <c r="G3605" t="s">
        <v>7142</v>
      </c>
      <c r="H3605" t="str">
        <f>"9499"</f>
        <v>9499</v>
      </c>
      <c r="I3605" t="s">
        <v>31</v>
      </c>
      <c r="J3605" t="s">
        <v>238</v>
      </c>
      <c r="K3605" t="s">
        <v>159</v>
      </c>
      <c r="L3605" t="s">
        <v>146</v>
      </c>
    </row>
    <row r="3606" spans="1:12" x14ac:dyDescent="0.3">
      <c r="A3606" t="str">
        <f>"07712375"</f>
        <v>07712375</v>
      </c>
      <c r="B3606" t="s">
        <v>7143</v>
      </c>
      <c r="C3606" t="str">
        <f t="shared" si="267"/>
        <v>706</v>
      </c>
      <c r="D3606" t="s">
        <v>28</v>
      </c>
      <c r="E3606" t="s">
        <v>83</v>
      </c>
      <c r="F3606" t="s">
        <v>873</v>
      </c>
      <c r="G3606" t="s">
        <v>7144</v>
      </c>
      <c r="H3606" t="str">
        <f>"93190"</f>
        <v>93190</v>
      </c>
      <c r="I3606" t="s">
        <v>59</v>
      </c>
    </row>
    <row r="3607" spans="1:12" x14ac:dyDescent="0.3">
      <c r="A3607" t="str">
        <f>"46308067"</f>
        <v>46308067</v>
      </c>
      <c r="B3607" t="s">
        <v>7145</v>
      </c>
      <c r="C3607" t="str">
        <f t="shared" si="267"/>
        <v>706</v>
      </c>
      <c r="D3607" t="s">
        <v>28</v>
      </c>
      <c r="E3607" t="s">
        <v>23</v>
      </c>
      <c r="F3607" t="s">
        <v>23</v>
      </c>
      <c r="G3607" t="s">
        <v>2465</v>
      </c>
      <c r="H3607" t="str">
        <f>"90030"</f>
        <v>90030</v>
      </c>
      <c r="I3607" t="s">
        <v>1252</v>
      </c>
    </row>
    <row r="3608" spans="1:12" x14ac:dyDescent="0.3">
      <c r="A3608" t="str">
        <f>"27033180"</f>
        <v>27033180</v>
      </c>
      <c r="B3608" t="s">
        <v>7146</v>
      </c>
      <c r="C3608" t="str">
        <f t="shared" si="267"/>
        <v>706</v>
      </c>
      <c r="D3608" t="s">
        <v>28</v>
      </c>
      <c r="E3608" t="s">
        <v>23</v>
      </c>
      <c r="F3608" t="s">
        <v>23</v>
      </c>
      <c r="G3608" t="s">
        <v>7147</v>
      </c>
      <c r="H3608" t="str">
        <f>"9499"</f>
        <v>9499</v>
      </c>
      <c r="I3608" t="s">
        <v>31</v>
      </c>
    </row>
    <row r="3609" spans="1:12" x14ac:dyDescent="0.3">
      <c r="A3609" t="str">
        <f>"26679132"</f>
        <v>26679132</v>
      </c>
      <c r="B3609" t="s">
        <v>7148</v>
      </c>
      <c r="C3609" t="str">
        <f t="shared" si="267"/>
        <v>706</v>
      </c>
      <c r="D3609" t="s">
        <v>28</v>
      </c>
      <c r="E3609" t="s">
        <v>52</v>
      </c>
      <c r="F3609" t="s">
        <v>113</v>
      </c>
      <c r="G3609" t="s">
        <v>7149</v>
      </c>
      <c r="H3609" t="str">
        <f>"9499"</f>
        <v>9499</v>
      </c>
      <c r="I3609" t="s">
        <v>31</v>
      </c>
    </row>
    <row r="3610" spans="1:12" x14ac:dyDescent="0.3">
      <c r="A3610" t="str">
        <f>"17644275"</f>
        <v>17644275</v>
      </c>
      <c r="B3610" t="s">
        <v>7150</v>
      </c>
      <c r="C3610" t="str">
        <f t="shared" si="267"/>
        <v>706</v>
      </c>
      <c r="D3610" t="s">
        <v>28</v>
      </c>
      <c r="E3610" t="s">
        <v>29</v>
      </c>
      <c r="F3610" t="s">
        <v>195</v>
      </c>
      <c r="G3610" t="s">
        <v>7151</v>
      </c>
      <c r="H3610" t="str">
        <f>"88910"</f>
        <v>88910</v>
      </c>
      <c r="I3610" t="s">
        <v>221</v>
      </c>
    </row>
    <row r="3611" spans="1:12" x14ac:dyDescent="0.3">
      <c r="A3611" t="str">
        <f>"01438158"</f>
        <v>01438158</v>
      </c>
      <c r="B3611" t="s">
        <v>7152</v>
      </c>
      <c r="C3611" t="str">
        <f t="shared" si="267"/>
        <v>706</v>
      </c>
      <c r="D3611" t="s">
        <v>28</v>
      </c>
      <c r="E3611" t="s">
        <v>29</v>
      </c>
      <c r="F3611" t="s">
        <v>1569</v>
      </c>
      <c r="G3611" t="s">
        <v>7153</v>
      </c>
      <c r="H3611" t="str">
        <f>"94995"</f>
        <v>94995</v>
      </c>
      <c r="I3611" t="s">
        <v>232</v>
      </c>
    </row>
    <row r="3612" spans="1:12" x14ac:dyDescent="0.3">
      <c r="A3612" t="str">
        <f>"65766571"</f>
        <v>65766571</v>
      </c>
      <c r="B3612" t="s">
        <v>7154</v>
      </c>
      <c r="C3612" t="str">
        <f t="shared" si="267"/>
        <v>706</v>
      </c>
      <c r="D3612" t="s">
        <v>28</v>
      </c>
      <c r="E3612" t="s">
        <v>52</v>
      </c>
      <c r="F3612" t="s">
        <v>379</v>
      </c>
      <c r="G3612" t="s">
        <v>7155</v>
      </c>
      <c r="H3612" t="str">
        <f>"94991"</f>
        <v>94991</v>
      </c>
      <c r="I3612" t="s">
        <v>433</v>
      </c>
    </row>
    <row r="3613" spans="1:12" x14ac:dyDescent="0.3">
      <c r="A3613" t="str">
        <f>"21194823"</f>
        <v>21194823</v>
      </c>
      <c r="B3613" t="s">
        <v>7156</v>
      </c>
      <c r="C3613" t="str">
        <f t="shared" si="267"/>
        <v>706</v>
      </c>
      <c r="D3613" t="s">
        <v>28</v>
      </c>
      <c r="E3613" t="s">
        <v>29</v>
      </c>
      <c r="F3613" t="s">
        <v>195</v>
      </c>
      <c r="G3613" t="s">
        <v>7157</v>
      </c>
      <c r="H3613" t="str">
        <f>"9499"</f>
        <v>9499</v>
      </c>
      <c r="I3613" t="s">
        <v>31</v>
      </c>
    </row>
    <row r="3614" spans="1:12" x14ac:dyDescent="0.3">
      <c r="A3614" t="str">
        <f>"10942823"</f>
        <v>10942823</v>
      </c>
      <c r="B3614" t="s">
        <v>7158</v>
      </c>
      <c r="C3614" t="str">
        <f t="shared" si="267"/>
        <v>706</v>
      </c>
      <c r="D3614" t="s">
        <v>28</v>
      </c>
      <c r="E3614" t="s">
        <v>52</v>
      </c>
      <c r="F3614" t="s">
        <v>379</v>
      </c>
      <c r="G3614" t="s">
        <v>7159</v>
      </c>
      <c r="H3614" t="str">
        <f>"94991"</f>
        <v>94991</v>
      </c>
      <c r="I3614" t="s">
        <v>433</v>
      </c>
    </row>
    <row r="3615" spans="1:12" x14ac:dyDescent="0.3">
      <c r="A3615" t="str">
        <f>"01257544"</f>
        <v>01257544</v>
      </c>
      <c r="B3615" t="s">
        <v>7160</v>
      </c>
      <c r="C3615" t="str">
        <f t="shared" si="267"/>
        <v>706</v>
      </c>
      <c r="D3615" t="s">
        <v>28</v>
      </c>
      <c r="E3615" t="s">
        <v>23</v>
      </c>
      <c r="F3615" t="s">
        <v>23</v>
      </c>
      <c r="G3615" t="s">
        <v>7161</v>
      </c>
      <c r="H3615" t="str">
        <f>"94991"</f>
        <v>94991</v>
      </c>
      <c r="I3615" t="s">
        <v>433</v>
      </c>
    </row>
    <row r="3616" spans="1:12" x14ac:dyDescent="0.3">
      <c r="A3616" t="str">
        <f>"08326592"</f>
        <v>08326592</v>
      </c>
      <c r="B3616" t="s">
        <v>7162</v>
      </c>
      <c r="C3616" t="str">
        <f t="shared" si="267"/>
        <v>706</v>
      </c>
      <c r="D3616" t="s">
        <v>28</v>
      </c>
      <c r="E3616" t="s">
        <v>23</v>
      </c>
      <c r="F3616" t="s">
        <v>23</v>
      </c>
      <c r="G3616" t="s">
        <v>3796</v>
      </c>
      <c r="H3616" t="str">
        <f>"9499"</f>
        <v>9499</v>
      </c>
      <c r="I3616" t="s">
        <v>31</v>
      </c>
      <c r="J3616" t="s">
        <v>258</v>
      </c>
    </row>
    <row r="3617" spans="1:9" x14ac:dyDescent="0.3">
      <c r="A3617" t="str">
        <f>"66545480"</f>
        <v>66545480</v>
      </c>
      <c r="B3617" t="s">
        <v>7163</v>
      </c>
      <c r="C3617" t="str">
        <f t="shared" si="267"/>
        <v>706</v>
      </c>
      <c r="D3617" t="s">
        <v>28</v>
      </c>
      <c r="E3617" t="s">
        <v>83</v>
      </c>
      <c r="F3617" t="s">
        <v>83</v>
      </c>
      <c r="G3617" t="s">
        <v>7164</v>
      </c>
      <c r="H3617" t="str">
        <f>"9499"</f>
        <v>9499</v>
      </c>
      <c r="I3617" t="s">
        <v>31</v>
      </c>
    </row>
    <row r="3618" spans="1:9" x14ac:dyDescent="0.3">
      <c r="A3618" t="str">
        <f>"27006093"</f>
        <v>27006093</v>
      </c>
      <c r="B3618" t="s">
        <v>7165</v>
      </c>
      <c r="C3618" t="str">
        <f t="shared" si="267"/>
        <v>706</v>
      </c>
      <c r="D3618" t="s">
        <v>28</v>
      </c>
      <c r="E3618" t="s">
        <v>52</v>
      </c>
      <c r="F3618" t="s">
        <v>113</v>
      </c>
      <c r="G3618" t="s">
        <v>4210</v>
      </c>
      <c r="H3618" t="str">
        <f>"9499"</f>
        <v>9499</v>
      </c>
      <c r="I3618" t="s">
        <v>31</v>
      </c>
    </row>
    <row r="3619" spans="1:9" x14ac:dyDescent="0.3">
      <c r="A3619" t="str">
        <f>"48473707"</f>
        <v>48473707</v>
      </c>
      <c r="B3619" t="s">
        <v>7166</v>
      </c>
      <c r="C3619" t="str">
        <f t="shared" si="267"/>
        <v>706</v>
      </c>
      <c r="D3619" t="s">
        <v>28</v>
      </c>
      <c r="E3619" t="s">
        <v>23</v>
      </c>
      <c r="F3619" t="s">
        <v>23</v>
      </c>
      <c r="G3619" t="s">
        <v>3157</v>
      </c>
      <c r="H3619" t="str">
        <f>"9499"</f>
        <v>9499</v>
      </c>
      <c r="I3619" t="s">
        <v>31</v>
      </c>
    </row>
    <row r="3620" spans="1:9" x14ac:dyDescent="0.3">
      <c r="A3620" t="str">
        <f>"22719946"</f>
        <v>22719946</v>
      </c>
      <c r="B3620" t="s">
        <v>7167</v>
      </c>
      <c r="C3620" t="str">
        <f t="shared" si="267"/>
        <v>706</v>
      </c>
      <c r="D3620" t="s">
        <v>28</v>
      </c>
      <c r="E3620" t="s">
        <v>83</v>
      </c>
      <c r="F3620" t="s">
        <v>183</v>
      </c>
      <c r="G3620" t="s">
        <v>3150</v>
      </c>
      <c r="H3620" t="str">
        <f>"9499"</f>
        <v>9499</v>
      </c>
      <c r="I3620" t="s">
        <v>31</v>
      </c>
    </row>
    <row r="3621" spans="1:9" x14ac:dyDescent="0.3">
      <c r="A3621" t="str">
        <f>"02156661"</f>
        <v>02156661</v>
      </c>
      <c r="B3621" t="s">
        <v>7168</v>
      </c>
      <c r="C3621" t="str">
        <f t="shared" si="267"/>
        <v>706</v>
      </c>
      <c r="D3621" t="s">
        <v>28</v>
      </c>
      <c r="E3621" t="s">
        <v>23</v>
      </c>
      <c r="F3621" t="s">
        <v>23</v>
      </c>
      <c r="G3621" t="s">
        <v>91</v>
      </c>
      <c r="H3621" t="str">
        <f>"94993"</f>
        <v>94993</v>
      </c>
      <c r="I3621" t="s">
        <v>50</v>
      </c>
    </row>
    <row r="3622" spans="1:9" x14ac:dyDescent="0.3">
      <c r="A3622" t="str">
        <f>"22844171"</f>
        <v>22844171</v>
      </c>
      <c r="B3622" t="s">
        <v>7169</v>
      </c>
      <c r="C3622" t="str">
        <f t="shared" si="267"/>
        <v>706</v>
      </c>
      <c r="D3622" t="s">
        <v>28</v>
      </c>
      <c r="E3622" t="s">
        <v>52</v>
      </c>
      <c r="F3622" t="s">
        <v>52</v>
      </c>
      <c r="G3622" t="s">
        <v>7170</v>
      </c>
      <c r="H3622" t="str">
        <f>"94996"</f>
        <v>94996</v>
      </c>
      <c r="I3622" t="s">
        <v>47</v>
      </c>
    </row>
    <row r="3623" spans="1:9" x14ac:dyDescent="0.3">
      <c r="A3623" t="str">
        <f>"64122433"</f>
        <v>64122433</v>
      </c>
      <c r="B3623" t="s">
        <v>7171</v>
      </c>
      <c r="C3623" t="str">
        <f t="shared" si="267"/>
        <v>706</v>
      </c>
      <c r="D3623" t="s">
        <v>28</v>
      </c>
      <c r="E3623" t="s">
        <v>29</v>
      </c>
      <c r="F3623" t="s">
        <v>29</v>
      </c>
      <c r="G3623" t="s">
        <v>7172</v>
      </c>
      <c r="H3623" t="str">
        <f>"94991"</f>
        <v>94991</v>
      </c>
      <c r="I3623" t="s">
        <v>433</v>
      </c>
    </row>
    <row r="3624" spans="1:9" x14ac:dyDescent="0.3">
      <c r="A3624" t="str">
        <f>"04585551"</f>
        <v>04585551</v>
      </c>
      <c r="B3624" t="s">
        <v>7173</v>
      </c>
      <c r="C3624" t="str">
        <f>"736"</f>
        <v>736</v>
      </c>
      <c r="D3624" t="s">
        <v>22</v>
      </c>
      <c r="E3624" t="s">
        <v>23</v>
      </c>
      <c r="F3624" t="s">
        <v>793</v>
      </c>
      <c r="G3624" t="s">
        <v>7174</v>
      </c>
      <c r="H3624" t="str">
        <f>"94991"</f>
        <v>94991</v>
      </c>
      <c r="I3624" t="s">
        <v>433</v>
      </c>
    </row>
    <row r="3625" spans="1:9" x14ac:dyDescent="0.3">
      <c r="A3625" t="str">
        <f>"06692737"</f>
        <v>06692737</v>
      </c>
      <c r="B3625" t="s">
        <v>7175</v>
      </c>
      <c r="C3625" t="str">
        <f t="shared" ref="C3625:C3648" si="268">"706"</f>
        <v>706</v>
      </c>
      <c r="D3625" t="s">
        <v>28</v>
      </c>
      <c r="E3625" t="s">
        <v>83</v>
      </c>
      <c r="F3625" t="s">
        <v>183</v>
      </c>
      <c r="G3625" t="s">
        <v>7176</v>
      </c>
      <c r="H3625" t="str">
        <f>"94993"</f>
        <v>94993</v>
      </c>
      <c r="I3625" t="s">
        <v>50</v>
      </c>
    </row>
    <row r="3626" spans="1:9" x14ac:dyDescent="0.3">
      <c r="A3626" t="str">
        <f>"22764551"</f>
        <v>22764551</v>
      </c>
      <c r="B3626" t="s">
        <v>7177</v>
      </c>
      <c r="C3626" t="str">
        <f t="shared" si="268"/>
        <v>706</v>
      </c>
      <c r="D3626" t="s">
        <v>28</v>
      </c>
      <c r="E3626" t="s">
        <v>83</v>
      </c>
      <c r="F3626" t="s">
        <v>83</v>
      </c>
      <c r="G3626" t="s">
        <v>7178</v>
      </c>
      <c r="H3626" t="str">
        <f>"94991"</f>
        <v>94991</v>
      </c>
      <c r="I3626" t="s">
        <v>433</v>
      </c>
    </row>
    <row r="3627" spans="1:9" x14ac:dyDescent="0.3">
      <c r="A3627" t="str">
        <f>"02358221"</f>
        <v>02358221</v>
      </c>
      <c r="B3627" t="s">
        <v>7179</v>
      </c>
      <c r="C3627" t="str">
        <f t="shared" si="268"/>
        <v>706</v>
      </c>
      <c r="D3627" t="s">
        <v>28</v>
      </c>
      <c r="E3627" t="s">
        <v>23</v>
      </c>
      <c r="F3627" t="s">
        <v>23</v>
      </c>
      <c r="G3627" t="s">
        <v>348</v>
      </c>
      <c r="H3627" t="str">
        <f>"9499"</f>
        <v>9499</v>
      </c>
      <c r="I3627" t="s">
        <v>31</v>
      </c>
    </row>
    <row r="3628" spans="1:9" x14ac:dyDescent="0.3">
      <c r="A3628" t="str">
        <f>"22724516"</f>
        <v>22724516</v>
      </c>
      <c r="B3628" t="s">
        <v>7180</v>
      </c>
      <c r="C3628" t="str">
        <f t="shared" si="268"/>
        <v>706</v>
      </c>
      <c r="D3628" t="s">
        <v>28</v>
      </c>
      <c r="E3628" t="s">
        <v>29</v>
      </c>
      <c r="F3628" t="s">
        <v>117</v>
      </c>
      <c r="G3628" t="s">
        <v>7181</v>
      </c>
      <c r="H3628" t="str">
        <f>"9499"</f>
        <v>9499</v>
      </c>
      <c r="I3628" t="s">
        <v>31</v>
      </c>
    </row>
    <row r="3629" spans="1:9" x14ac:dyDescent="0.3">
      <c r="A3629" t="str">
        <f>"22664149"</f>
        <v>22664149</v>
      </c>
      <c r="B3629" t="s">
        <v>7182</v>
      </c>
      <c r="C3629" t="str">
        <f t="shared" si="268"/>
        <v>706</v>
      </c>
      <c r="D3629" t="s">
        <v>28</v>
      </c>
      <c r="E3629" t="s">
        <v>29</v>
      </c>
      <c r="F3629" t="s">
        <v>117</v>
      </c>
      <c r="G3629" t="s">
        <v>7183</v>
      </c>
      <c r="H3629" t="str">
        <f>"9499"</f>
        <v>9499</v>
      </c>
      <c r="I3629" t="s">
        <v>31</v>
      </c>
    </row>
    <row r="3630" spans="1:9" x14ac:dyDescent="0.3">
      <c r="A3630" t="str">
        <f>"22846689"</f>
        <v>22846689</v>
      </c>
      <c r="B3630" t="s">
        <v>7184</v>
      </c>
      <c r="C3630" t="str">
        <f t="shared" si="268"/>
        <v>706</v>
      </c>
      <c r="D3630" t="s">
        <v>28</v>
      </c>
      <c r="E3630" t="s">
        <v>29</v>
      </c>
      <c r="F3630" t="s">
        <v>29</v>
      </c>
      <c r="G3630" t="s">
        <v>7185</v>
      </c>
      <c r="H3630" t="str">
        <f>"94996"</f>
        <v>94996</v>
      </c>
      <c r="I3630" t="s">
        <v>47</v>
      </c>
    </row>
    <row r="3631" spans="1:9" x14ac:dyDescent="0.3">
      <c r="A3631" t="str">
        <f>"65325621"</f>
        <v>65325621</v>
      </c>
      <c r="B3631" t="s">
        <v>7186</v>
      </c>
      <c r="C3631" t="str">
        <f t="shared" si="268"/>
        <v>706</v>
      </c>
      <c r="D3631" t="s">
        <v>28</v>
      </c>
      <c r="E3631" t="s">
        <v>52</v>
      </c>
      <c r="F3631" t="s">
        <v>612</v>
      </c>
      <c r="G3631" t="s">
        <v>7187</v>
      </c>
      <c r="H3631" t="str">
        <f>"9499"</f>
        <v>9499</v>
      </c>
      <c r="I3631" t="s">
        <v>31</v>
      </c>
    </row>
    <row r="3632" spans="1:9" x14ac:dyDescent="0.3">
      <c r="A3632" t="str">
        <f>"19488815"</f>
        <v>19488815</v>
      </c>
      <c r="B3632" t="s">
        <v>7188</v>
      </c>
      <c r="C3632" t="str">
        <f t="shared" si="268"/>
        <v>706</v>
      </c>
      <c r="D3632" t="s">
        <v>28</v>
      </c>
      <c r="E3632" t="s">
        <v>23</v>
      </c>
      <c r="F3632" t="s">
        <v>245</v>
      </c>
      <c r="G3632" t="s">
        <v>7189</v>
      </c>
      <c r="H3632" t="str">
        <f>"9499"</f>
        <v>9499</v>
      </c>
      <c r="I3632" t="s">
        <v>31</v>
      </c>
    </row>
    <row r="3633" spans="1:9" x14ac:dyDescent="0.3">
      <c r="A3633" t="str">
        <f>"22869824"</f>
        <v>22869824</v>
      </c>
      <c r="B3633" t="s">
        <v>7190</v>
      </c>
      <c r="C3633" t="str">
        <f t="shared" si="268"/>
        <v>706</v>
      </c>
      <c r="D3633" t="s">
        <v>28</v>
      </c>
      <c r="E3633" t="s">
        <v>23</v>
      </c>
      <c r="F3633" t="s">
        <v>245</v>
      </c>
      <c r="G3633" t="s">
        <v>7191</v>
      </c>
      <c r="H3633" t="str">
        <f>"9499"</f>
        <v>9499</v>
      </c>
      <c r="I3633" t="s">
        <v>31</v>
      </c>
    </row>
    <row r="3634" spans="1:9" x14ac:dyDescent="0.3">
      <c r="A3634" t="str">
        <f>"22762868"</f>
        <v>22762868</v>
      </c>
      <c r="B3634" t="s">
        <v>7192</v>
      </c>
      <c r="C3634" t="str">
        <f t="shared" si="268"/>
        <v>706</v>
      </c>
      <c r="D3634" t="s">
        <v>28</v>
      </c>
      <c r="E3634" t="s">
        <v>23</v>
      </c>
      <c r="F3634" t="s">
        <v>24</v>
      </c>
      <c r="G3634" t="s">
        <v>7193</v>
      </c>
      <c r="H3634" t="str">
        <f>"9499"</f>
        <v>9499</v>
      </c>
      <c r="I3634" t="s">
        <v>31</v>
      </c>
    </row>
    <row r="3635" spans="1:9" x14ac:dyDescent="0.3">
      <c r="A3635" t="str">
        <f>"22820671"</f>
        <v>22820671</v>
      </c>
      <c r="B3635" t="s">
        <v>7194</v>
      </c>
      <c r="C3635" t="str">
        <f t="shared" si="268"/>
        <v>706</v>
      </c>
      <c r="D3635" t="s">
        <v>28</v>
      </c>
      <c r="E3635" t="s">
        <v>23</v>
      </c>
      <c r="F3635" t="s">
        <v>23</v>
      </c>
      <c r="G3635" t="s">
        <v>7048</v>
      </c>
      <c r="H3635" t="str">
        <f>"94999"</f>
        <v>94999</v>
      </c>
      <c r="I3635" t="s">
        <v>202</v>
      </c>
    </row>
    <row r="3636" spans="1:9" x14ac:dyDescent="0.3">
      <c r="A3636" t="str">
        <f>"10853022"</f>
        <v>10853022</v>
      </c>
      <c r="B3636" t="s">
        <v>7195</v>
      </c>
      <c r="C3636" t="str">
        <f t="shared" si="268"/>
        <v>706</v>
      </c>
      <c r="D3636" t="s">
        <v>28</v>
      </c>
      <c r="E3636" t="s">
        <v>23</v>
      </c>
      <c r="F3636" t="s">
        <v>1492</v>
      </c>
      <c r="G3636" t="s">
        <v>7196</v>
      </c>
      <c r="H3636" t="str">
        <f>"9499"</f>
        <v>9499</v>
      </c>
      <c r="I3636" t="s">
        <v>31</v>
      </c>
    </row>
    <row r="3637" spans="1:9" x14ac:dyDescent="0.3">
      <c r="A3637" t="str">
        <f>"10734414"</f>
        <v>10734414</v>
      </c>
      <c r="B3637" t="s">
        <v>7197</v>
      </c>
      <c r="C3637" t="str">
        <f t="shared" si="268"/>
        <v>706</v>
      </c>
      <c r="D3637" t="s">
        <v>28</v>
      </c>
      <c r="E3637" t="s">
        <v>29</v>
      </c>
      <c r="F3637" t="s">
        <v>38</v>
      </c>
      <c r="G3637" t="s">
        <v>7198</v>
      </c>
      <c r="H3637" t="str">
        <f>"9499"</f>
        <v>9499</v>
      </c>
      <c r="I3637" t="s">
        <v>31</v>
      </c>
    </row>
    <row r="3638" spans="1:9" x14ac:dyDescent="0.3">
      <c r="A3638" t="str">
        <f>"05155088"</f>
        <v>05155088</v>
      </c>
      <c r="B3638" t="s">
        <v>7199</v>
      </c>
      <c r="C3638" t="str">
        <f t="shared" si="268"/>
        <v>706</v>
      </c>
      <c r="D3638" t="s">
        <v>28</v>
      </c>
      <c r="E3638" t="s">
        <v>29</v>
      </c>
      <c r="F3638" t="s">
        <v>38</v>
      </c>
      <c r="G3638" t="s">
        <v>7200</v>
      </c>
      <c r="H3638" t="str">
        <f>"9499"</f>
        <v>9499</v>
      </c>
      <c r="I3638" t="s">
        <v>31</v>
      </c>
    </row>
    <row r="3639" spans="1:9" x14ac:dyDescent="0.3">
      <c r="A3639" t="str">
        <f>"02022311"</f>
        <v>02022311</v>
      </c>
      <c r="B3639" t="s">
        <v>7201</v>
      </c>
      <c r="C3639" t="str">
        <f t="shared" si="268"/>
        <v>706</v>
      </c>
      <c r="D3639" t="s">
        <v>28</v>
      </c>
      <c r="E3639" t="s">
        <v>29</v>
      </c>
      <c r="F3639" t="s">
        <v>38</v>
      </c>
      <c r="G3639" t="s">
        <v>7202</v>
      </c>
      <c r="H3639" t="str">
        <f>"9499"</f>
        <v>9499</v>
      </c>
      <c r="I3639" t="s">
        <v>31</v>
      </c>
    </row>
    <row r="3640" spans="1:9" x14ac:dyDescent="0.3">
      <c r="A3640" t="str">
        <f>"22734007"</f>
        <v>22734007</v>
      </c>
      <c r="B3640" t="s">
        <v>7203</v>
      </c>
      <c r="C3640" t="str">
        <f t="shared" si="268"/>
        <v>706</v>
      </c>
      <c r="D3640" t="s">
        <v>28</v>
      </c>
      <c r="E3640" t="s">
        <v>29</v>
      </c>
      <c r="F3640" t="s">
        <v>38</v>
      </c>
      <c r="G3640" t="s">
        <v>7204</v>
      </c>
      <c r="H3640" t="str">
        <f>"93110"</f>
        <v>93110</v>
      </c>
      <c r="I3640" t="s">
        <v>92</v>
      </c>
    </row>
    <row r="3641" spans="1:9" x14ac:dyDescent="0.3">
      <c r="A3641" t="str">
        <f>"26566371"</f>
        <v>26566371</v>
      </c>
      <c r="B3641" t="s">
        <v>7205</v>
      </c>
      <c r="C3641" t="str">
        <f t="shared" si="268"/>
        <v>706</v>
      </c>
      <c r="D3641" t="s">
        <v>28</v>
      </c>
      <c r="E3641" t="s">
        <v>23</v>
      </c>
      <c r="F3641" t="s">
        <v>23</v>
      </c>
      <c r="G3641" t="s">
        <v>7206</v>
      </c>
      <c r="H3641" t="str">
        <f>"9499"</f>
        <v>9499</v>
      </c>
      <c r="I3641" t="s">
        <v>31</v>
      </c>
    </row>
    <row r="3642" spans="1:9" x14ac:dyDescent="0.3">
      <c r="A3642" t="str">
        <f>"22901426"</f>
        <v>22901426</v>
      </c>
      <c r="B3642" t="s">
        <v>7207</v>
      </c>
      <c r="C3642" t="str">
        <f t="shared" si="268"/>
        <v>706</v>
      </c>
      <c r="D3642" t="s">
        <v>28</v>
      </c>
      <c r="E3642" t="s">
        <v>23</v>
      </c>
      <c r="F3642" t="s">
        <v>141</v>
      </c>
      <c r="G3642" t="s">
        <v>5107</v>
      </c>
      <c r="H3642" t="str">
        <f>"94993"</f>
        <v>94993</v>
      </c>
      <c r="I3642" t="s">
        <v>50</v>
      </c>
    </row>
    <row r="3643" spans="1:9" x14ac:dyDescent="0.3">
      <c r="A3643" t="str">
        <f>"03545750"</f>
        <v>03545750</v>
      </c>
      <c r="B3643" t="s">
        <v>7208</v>
      </c>
      <c r="C3643" t="str">
        <f t="shared" si="268"/>
        <v>706</v>
      </c>
      <c r="D3643" t="s">
        <v>28</v>
      </c>
      <c r="E3643" t="s">
        <v>29</v>
      </c>
      <c r="F3643" t="s">
        <v>195</v>
      </c>
      <c r="G3643" t="s">
        <v>7209</v>
      </c>
      <c r="H3643" t="str">
        <f>"9499"</f>
        <v>9499</v>
      </c>
      <c r="I3643" t="s">
        <v>31</v>
      </c>
    </row>
    <row r="3644" spans="1:9" x14ac:dyDescent="0.3">
      <c r="A3644" t="str">
        <f>"22756591"</f>
        <v>22756591</v>
      </c>
      <c r="B3644" t="s">
        <v>7210</v>
      </c>
      <c r="C3644" t="str">
        <f t="shared" si="268"/>
        <v>706</v>
      </c>
      <c r="D3644" t="s">
        <v>28</v>
      </c>
      <c r="E3644" t="s">
        <v>23</v>
      </c>
      <c r="F3644" t="s">
        <v>24</v>
      </c>
      <c r="G3644" t="s">
        <v>7211</v>
      </c>
      <c r="H3644" t="str">
        <f>"94993"</f>
        <v>94993</v>
      </c>
      <c r="I3644" t="s">
        <v>50</v>
      </c>
    </row>
    <row r="3645" spans="1:9" x14ac:dyDescent="0.3">
      <c r="A3645" t="str">
        <f>"26577038"</f>
        <v>26577038</v>
      </c>
      <c r="B3645" t="s">
        <v>7212</v>
      </c>
      <c r="C3645" t="str">
        <f t="shared" si="268"/>
        <v>706</v>
      </c>
      <c r="D3645" t="s">
        <v>28</v>
      </c>
      <c r="E3645" t="s">
        <v>52</v>
      </c>
      <c r="F3645" t="s">
        <v>178</v>
      </c>
      <c r="G3645" t="s">
        <v>7213</v>
      </c>
      <c r="H3645" t="str">
        <f>"94993"</f>
        <v>94993</v>
      </c>
      <c r="I3645" t="s">
        <v>50</v>
      </c>
    </row>
    <row r="3646" spans="1:9" x14ac:dyDescent="0.3">
      <c r="A3646" t="str">
        <f>"70820856"</f>
        <v>70820856</v>
      </c>
      <c r="B3646" t="s">
        <v>7214</v>
      </c>
      <c r="C3646" t="str">
        <f t="shared" si="268"/>
        <v>706</v>
      </c>
      <c r="D3646" t="s">
        <v>28</v>
      </c>
      <c r="E3646" t="s">
        <v>52</v>
      </c>
      <c r="F3646" t="s">
        <v>52</v>
      </c>
      <c r="G3646" t="s">
        <v>7215</v>
      </c>
      <c r="H3646" t="str">
        <f>"93120"</f>
        <v>93120</v>
      </c>
      <c r="I3646" t="s">
        <v>54</v>
      </c>
    </row>
    <row r="3647" spans="1:9" x14ac:dyDescent="0.3">
      <c r="A3647" t="str">
        <f>"61715883"</f>
        <v>61715883</v>
      </c>
      <c r="B3647" t="s">
        <v>7216</v>
      </c>
      <c r="C3647" t="str">
        <f t="shared" si="268"/>
        <v>706</v>
      </c>
      <c r="D3647" t="s">
        <v>28</v>
      </c>
      <c r="E3647" t="s">
        <v>23</v>
      </c>
      <c r="F3647" t="s">
        <v>23</v>
      </c>
      <c r="G3647" t="s">
        <v>204</v>
      </c>
      <c r="H3647" t="str">
        <f>"93120"</f>
        <v>93120</v>
      </c>
      <c r="I3647" t="s">
        <v>54</v>
      </c>
    </row>
    <row r="3648" spans="1:9" x14ac:dyDescent="0.3">
      <c r="A3648" t="str">
        <f>"08494240"</f>
        <v>08494240</v>
      </c>
      <c r="B3648" t="s">
        <v>7217</v>
      </c>
      <c r="C3648" t="str">
        <f t="shared" si="268"/>
        <v>706</v>
      </c>
      <c r="D3648" t="s">
        <v>28</v>
      </c>
      <c r="E3648" t="s">
        <v>23</v>
      </c>
      <c r="F3648" t="s">
        <v>99</v>
      </c>
      <c r="G3648" t="s">
        <v>7218</v>
      </c>
      <c r="H3648" t="str">
        <f>"93190"</f>
        <v>93190</v>
      </c>
      <c r="I3648" t="s">
        <v>59</v>
      </c>
    </row>
    <row r="3649" spans="1:13" x14ac:dyDescent="0.3">
      <c r="A3649" t="str">
        <f>"28636945"</f>
        <v>28636945</v>
      </c>
      <c r="B3649" t="s">
        <v>7219</v>
      </c>
      <c r="C3649" t="str">
        <f>"141"</f>
        <v>141</v>
      </c>
      <c r="D3649" t="s">
        <v>112</v>
      </c>
      <c r="E3649" t="s">
        <v>29</v>
      </c>
      <c r="F3649" t="s">
        <v>29</v>
      </c>
      <c r="G3649" t="s">
        <v>7220</v>
      </c>
      <c r="H3649" t="str">
        <f>"855"</f>
        <v>855</v>
      </c>
      <c r="I3649" t="s">
        <v>146</v>
      </c>
      <c r="J3649" t="s">
        <v>261</v>
      </c>
    </row>
    <row r="3650" spans="1:13" x14ac:dyDescent="0.3">
      <c r="A3650" t="str">
        <f>"22760407"</f>
        <v>22760407</v>
      </c>
      <c r="B3650" t="s">
        <v>7221</v>
      </c>
      <c r="C3650" t="str">
        <f t="shared" ref="C3650:C3676" si="269">"706"</f>
        <v>706</v>
      </c>
      <c r="D3650" t="s">
        <v>28</v>
      </c>
      <c r="E3650" t="s">
        <v>83</v>
      </c>
      <c r="F3650" t="s">
        <v>83</v>
      </c>
      <c r="G3650" t="s">
        <v>557</v>
      </c>
      <c r="H3650" t="str">
        <f>"93190"</f>
        <v>93190</v>
      </c>
      <c r="I3650" t="s">
        <v>59</v>
      </c>
    </row>
    <row r="3651" spans="1:13" x14ac:dyDescent="0.3">
      <c r="A3651" t="str">
        <f>"22726039"</f>
        <v>22726039</v>
      </c>
      <c r="B3651" t="s">
        <v>7222</v>
      </c>
      <c r="C3651" t="str">
        <f t="shared" si="269"/>
        <v>706</v>
      </c>
      <c r="D3651" t="s">
        <v>28</v>
      </c>
      <c r="E3651" t="s">
        <v>83</v>
      </c>
      <c r="F3651" t="s">
        <v>227</v>
      </c>
      <c r="G3651" t="s">
        <v>7223</v>
      </c>
      <c r="H3651" t="str">
        <f>"9499"</f>
        <v>9499</v>
      </c>
      <c r="I3651" t="s">
        <v>31</v>
      </c>
    </row>
    <row r="3652" spans="1:13" x14ac:dyDescent="0.3">
      <c r="A3652" t="str">
        <f>"22753222"</f>
        <v>22753222</v>
      </c>
      <c r="B3652" t="s">
        <v>7224</v>
      </c>
      <c r="C3652" t="str">
        <f t="shared" si="269"/>
        <v>706</v>
      </c>
      <c r="D3652" t="s">
        <v>28</v>
      </c>
      <c r="E3652" t="s">
        <v>29</v>
      </c>
      <c r="F3652" t="s">
        <v>29</v>
      </c>
      <c r="G3652" t="s">
        <v>7225</v>
      </c>
      <c r="H3652" t="str">
        <f>"93190"</f>
        <v>93190</v>
      </c>
      <c r="I3652" t="s">
        <v>59</v>
      </c>
    </row>
    <row r="3653" spans="1:13" x14ac:dyDescent="0.3">
      <c r="A3653" t="str">
        <f>"07297696"</f>
        <v>07297696</v>
      </c>
      <c r="B3653" t="s">
        <v>7226</v>
      </c>
      <c r="C3653" t="str">
        <f t="shared" si="269"/>
        <v>706</v>
      </c>
      <c r="D3653" t="s">
        <v>28</v>
      </c>
      <c r="E3653" t="s">
        <v>83</v>
      </c>
      <c r="F3653" t="s">
        <v>183</v>
      </c>
      <c r="G3653" t="s">
        <v>7227</v>
      </c>
      <c r="H3653" t="str">
        <f>"9499"</f>
        <v>9499</v>
      </c>
      <c r="I3653" t="s">
        <v>31</v>
      </c>
      <c r="J3653" t="s">
        <v>161</v>
      </c>
      <c r="K3653" t="s">
        <v>163</v>
      </c>
      <c r="L3653" t="s">
        <v>59</v>
      </c>
      <c r="M3653" t="s">
        <v>209</v>
      </c>
    </row>
    <row r="3654" spans="1:13" x14ac:dyDescent="0.3">
      <c r="A3654" t="str">
        <f>"14042690"</f>
        <v>14042690</v>
      </c>
      <c r="B3654" t="s">
        <v>7228</v>
      </c>
      <c r="C3654" t="str">
        <f t="shared" si="269"/>
        <v>706</v>
      </c>
      <c r="D3654" t="s">
        <v>28</v>
      </c>
      <c r="E3654" t="s">
        <v>52</v>
      </c>
      <c r="F3654" t="s">
        <v>2078</v>
      </c>
      <c r="G3654" t="s">
        <v>7229</v>
      </c>
      <c r="H3654" t="str">
        <f>"9499"</f>
        <v>9499</v>
      </c>
      <c r="I3654" t="s">
        <v>31</v>
      </c>
    </row>
    <row r="3655" spans="1:13" x14ac:dyDescent="0.3">
      <c r="A3655" t="str">
        <f>"23268468"</f>
        <v>23268468</v>
      </c>
      <c r="B3655" t="s">
        <v>7230</v>
      </c>
      <c r="C3655" t="str">
        <f t="shared" si="269"/>
        <v>706</v>
      </c>
      <c r="D3655" t="s">
        <v>28</v>
      </c>
      <c r="E3655" t="s">
        <v>52</v>
      </c>
      <c r="F3655" t="s">
        <v>1894</v>
      </c>
      <c r="G3655" t="s">
        <v>1895</v>
      </c>
      <c r="H3655" t="str">
        <f>"9499"</f>
        <v>9499</v>
      </c>
      <c r="I3655" t="s">
        <v>31</v>
      </c>
      <c r="J3655" t="s">
        <v>258</v>
      </c>
      <c r="K3655" t="s">
        <v>2069</v>
      </c>
      <c r="L3655" t="s">
        <v>161</v>
      </c>
    </row>
    <row r="3656" spans="1:13" x14ac:dyDescent="0.3">
      <c r="A3656" t="str">
        <f>"22878114"</f>
        <v>22878114</v>
      </c>
      <c r="B3656" t="s">
        <v>7231</v>
      </c>
      <c r="C3656" t="str">
        <f t="shared" si="269"/>
        <v>706</v>
      </c>
      <c r="D3656" t="s">
        <v>28</v>
      </c>
      <c r="E3656" t="s">
        <v>83</v>
      </c>
      <c r="F3656" t="s">
        <v>83</v>
      </c>
      <c r="G3656" t="s">
        <v>7232</v>
      </c>
      <c r="H3656" t="str">
        <f>"94995"</f>
        <v>94995</v>
      </c>
      <c r="I3656" t="s">
        <v>232</v>
      </c>
    </row>
    <row r="3657" spans="1:13" x14ac:dyDescent="0.3">
      <c r="A3657" t="str">
        <f>"65270037"</f>
        <v>65270037</v>
      </c>
      <c r="B3657" t="s">
        <v>7233</v>
      </c>
      <c r="C3657" t="str">
        <f t="shared" si="269"/>
        <v>706</v>
      </c>
      <c r="D3657" t="s">
        <v>28</v>
      </c>
      <c r="E3657" t="s">
        <v>83</v>
      </c>
      <c r="F3657" t="s">
        <v>1000</v>
      </c>
      <c r="G3657" t="s">
        <v>1000</v>
      </c>
      <c r="H3657" t="str">
        <f t="shared" ref="H3657:H3662" si="270">"9499"</f>
        <v>9499</v>
      </c>
      <c r="I3657" t="s">
        <v>31</v>
      </c>
    </row>
    <row r="3658" spans="1:13" x14ac:dyDescent="0.3">
      <c r="A3658" t="str">
        <f>"67010849"</f>
        <v>67010849</v>
      </c>
      <c r="B3658" t="s">
        <v>7234</v>
      </c>
      <c r="C3658" t="str">
        <f t="shared" si="269"/>
        <v>706</v>
      </c>
      <c r="D3658" t="s">
        <v>28</v>
      </c>
      <c r="E3658" t="s">
        <v>83</v>
      </c>
      <c r="F3658" t="s">
        <v>3513</v>
      </c>
      <c r="G3658" t="s">
        <v>5594</v>
      </c>
      <c r="H3658" t="str">
        <f t="shared" si="270"/>
        <v>9499</v>
      </c>
      <c r="I3658" t="s">
        <v>31</v>
      </c>
    </row>
    <row r="3659" spans="1:13" x14ac:dyDescent="0.3">
      <c r="A3659" t="str">
        <f>"22838775"</f>
        <v>22838775</v>
      </c>
      <c r="B3659" t="s">
        <v>7235</v>
      </c>
      <c r="C3659" t="str">
        <f t="shared" si="269"/>
        <v>706</v>
      </c>
      <c r="D3659" t="s">
        <v>28</v>
      </c>
      <c r="E3659" t="s">
        <v>83</v>
      </c>
      <c r="F3659" t="s">
        <v>537</v>
      </c>
      <c r="G3659" t="s">
        <v>7236</v>
      </c>
      <c r="H3659" t="str">
        <f t="shared" si="270"/>
        <v>9499</v>
      </c>
      <c r="I3659" t="s">
        <v>31</v>
      </c>
    </row>
    <row r="3660" spans="1:13" x14ac:dyDescent="0.3">
      <c r="A3660" t="str">
        <f>"65325851"</f>
        <v>65325851</v>
      </c>
      <c r="B3660" t="s">
        <v>7237</v>
      </c>
      <c r="C3660" t="str">
        <f t="shared" si="269"/>
        <v>706</v>
      </c>
      <c r="D3660" t="s">
        <v>28</v>
      </c>
      <c r="E3660" t="s">
        <v>52</v>
      </c>
      <c r="F3660" t="s">
        <v>65</v>
      </c>
      <c r="G3660" t="s">
        <v>65</v>
      </c>
      <c r="H3660" t="str">
        <f t="shared" si="270"/>
        <v>9499</v>
      </c>
      <c r="I3660" t="s">
        <v>31</v>
      </c>
    </row>
    <row r="3661" spans="1:13" x14ac:dyDescent="0.3">
      <c r="A3661" t="str">
        <f>"04385250"</f>
        <v>04385250</v>
      </c>
      <c r="B3661" t="s">
        <v>7238</v>
      </c>
      <c r="C3661" t="str">
        <f t="shared" si="269"/>
        <v>706</v>
      </c>
      <c r="D3661" t="s">
        <v>28</v>
      </c>
      <c r="E3661" t="s">
        <v>29</v>
      </c>
      <c r="F3661" t="s">
        <v>876</v>
      </c>
      <c r="G3661" t="s">
        <v>5416</v>
      </c>
      <c r="H3661" t="str">
        <f t="shared" si="270"/>
        <v>9499</v>
      </c>
      <c r="I3661" t="s">
        <v>31</v>
      </c>
    </row>
    <row r="3662" spans="1:13" x14ac:dyDescent="0.3">
      <c r="A3662" t="str">
        <f>"01317598"</f>
        <v>01317598</v>
      </c>
      <c r="B3662" t="s">
        <v>7239</v>
      </c>
      <c r="C3662" t="str">
        <f t="shared" si="269"/>
        <v>706</v>
      </c>
      <c r="D3662" t="s">
        <v>28</v>
      </c>
      <c r="E3662" t="s">
        <v>83</v>
      </c>
      <c r="F3662" t="s">
        <v>1425</v>
      </c>
      <c r="G3662" t="s">
        <v>7240</v>
      </c>
      <c r="H3662" t="str">
        <f t="shared" si="270"/>
        <v>9499</v>
      </c>
      <c r="I3662" t="s">
        <v>31</v>
      </c>
    </row>
    <row r="3663" spans="1:13" x14ac:dyDescent="0.3">
      <c r="A3663" t="str">
        <f>"19293321"</f>
        <v>19293321</v>
      </c>
      <c r="B3663" t="s">
        <v>7241</v>
      </c>
      <c r="C3663" t="str">
        <f t="shared" si="269"/>
        <v>706</v>
      </c>
      <c r="D3663" t="s">
        <v>28</v>
      </c>
      <c r="E3663" t="s">
        <v>29</v>
      </c>
      <c r="F3663" t="s">
        <v>1004</v>
      </c>
      <c r="G3663" t="s">
        <v>2365</v>
      </c>
      <c r="H3663" t="str">
        <f>"93190"</f>
        <v>93190</v>
      </c>
      <c r="I3663" t="s">
        <v>59</v>
      </c>
      <c r="J3663" t="s">
        <v>31</v>
      </c>
      <c r="K3663" t="s">
        <v>1604</v>
      </c>
    </row>
    <row r="3664" spans="1:13" x14ac:dyDescent="0.3">
      <c r="A3664" t="str">
        <f>"19390921"</f>
        <v>19390921</v>
      </c>
      <c r="B3664" t="s">
        <v>7242</v>
      </c>
      <c r="C3664" t="str">
        <f t="shared" si="269"/>
        <v>706</v>
      </c>
      <c r="D3664" t="s">
        <v>28</v>
      </c>
      <c r="E3664" t="s">
        <v>83</v>
      </c>
      <c r="F3664" t="s">
        <v>5486</v>
      </c>
      <c r="G3664" t="s">
        <v>7243</v>
      </c>
      <c r="H3664" t="str">
        <f>"93190"</f>
        <v>93190</v>
      </c>
      <c r="I3664" t="s">
        <v>59</v>
      </c>
    </row>
    <row r="3665" spans="1:11" x14ac:dyDescent="0.3">
      <c r="A3665" t="str">
        <f>"26638169"</f>
        <v>26638169</v>
      </c>
      <c r="B3665" t="s">
        <v>7244</v>
      </c>
      <c r="C3665" t="str">
        <f t="shared" si="269"/>
        <v>706</v>
      </c>
      <c r="D3665" t="s">
        <v>28</v>
      </c>
      <c r="E3665" t="s">
        <v>23</v>
      </c>
      <c r="F3665" t="s">
        <v>141</v>
      </c>
      <c r="G3665" t="s">
        <v>7245</v>
      </c>
      <c r="H3665" t="str">
        <f t="shared" ref="H3665:H3672" si="271">"9499"</f>
        <v>9499</v>
      </c>
      <c r="I3665" t="s">
        <v>31</v>
      </c>
    </row>
    <row r="3666" spans="1:11" x14ac:dyDescent="0.3">
      <c r="A3666" t="str">
        <f>"49158333"</f>
        <v>49158333</v>
      </c>
      <c r="B3666" t="s">
        <v>7246</v>
      </c>
      <c r="C3666" t="str">
        <f t="shared" si="269"/>
        <v>706</v>
      </c>
      <c r="D3666" t="s">
        <v>28</v>
      </c>
      <c r="E3666" t="s">
        <v>23</v>
      </c>
      <c r="F3666" t="s">
        <v>721</v>
      </c>
      <c r="G3666" t="s">
        <v>7247</v>
      </c>
      <c r="H3666" t="str">
        <f t="shared" si="271"/>
        <v>9499</v>
      </c>
      <c r="I3666" t="s">
        <v>31</v>
      </c>
    </row>
    <row r="3667" spans="1:11" x14ac:dyDescent="0.3">
      <c r="A3667" t="str">
        <f>"21052212"</f>
        <v>21052212</v>
      </c>
      <c r="B3667" t="s">
        <v>7248</v>
      </c>
      <c r="C3667" t="str">
        <f t="shared" si="269"/>
        <v>706</v>
      </c>
      <c r="D3667" t="s">
        <v>28</v>
      </c>
      <c r="E3667" t="s">
        <v>52</v>
      </c>
      <c r="F3667" t="s">
        <v>2400</v>
      </c>
      <c r="G3667" t="s">
        <v>7249</v>
      </c>
      <c r="H3667" t="str">
        <f t="shared" si="271"/>
        <v>9499</v>
      </c>
      <c r="I3667" t="s">
        <v>31</v>
      </c>
    </row>
    <row r="3668" spans="1:11" x14ac:dyDescent="0.3">
      <c r="A3668" t="str">
        <f>"07241275"</f>
        <v>07241275</v>
      </c>
      <c r="B3668" t="s">
        <v>7250</v>
      </c>
      <c r="C3668" t="str">
        <f t="shared" si="269"/>
        <v>706</v>
      </c>
      <c r="D3668" t="s">
        <v>28</v>
      </c>
      <c r="E3668" t="s">
        <v>23</v>
      </c>
      <c r="F3668" t="s">
        <v>978</v>
      </c>
      <c r="G3668" t="s">
        <v>4674</v>
      </c>
      <c r="H3668" t="str">
        <f t="shared" si="271"/>
        <v>9499</v>
      </c>
      <c r="I3668" t="s">
        <v>31</v>
      </c>
    </row>
    <row r="3669" spans="1:11" x14ac:dyDescent="0.3">
      <c r="A3669" t="str">
        <f>"22717153"</f>
        <v>22717153</v>
      </c>
      <c r="B3669" t="s">
        <v>7251</v>
      </c>
      <c r="C3669" t="str">
        <f t="shared" si="269"/>
        <v>706</v>
      </c>
      <c r="D3669" t="s">
        <v>28</v>
      </c>
      <c r="E3669" t="s">
        <v>83</v>
      </c>
      <c r="F3669" t="s">
        <v>84</v>
      </c>
      <c r="G3669" t="s">
        <v>7252</v>
      </c>
      <c r="H3669" t="str">
        <f t="shared" si="271"/>
        <v>9499</v>
      </c>
      <c r="I3669" t="s">
        <v>31</v>
      </c>
    </row>
    <row r="3670" spans="1:11" x14ac:dyDescent="0.3">
      <c r="A3670" t="str">
        <f>"62832069"</f>
        <v>62832069</v>
      </c>
      <c r="B3670" t="s">
        <v>7253</v>
      </c>
      <c r="C3670" t="str">
        <f t="shared" si="269"/>
        <v>706</v>
      </c>
      <c r="D3670" t="s">
        <v>28</v>
      </c>
      <c r="E3670" t="s">
        <v>52</v>
      </c>
      <c r="F3670" t="s">
        <v>344</v>
      </c>
      <c r="G3670" t="s">
        <v>344</v>
      </c>
      <c r="H3670" t="str">
        <f t="shared" si="271"/>
        <v>9499</v>
      </c>
      <c r="I3670" t="s">
        <v>31</v>
      </c>
    </row>
    <row r="3671" spans="1:11" x14ac:dyDescent="0.3">
      <c r="A3671" t="str">
        <f>"48471810"</f>
        <v>48471810</v>
      </c>
      <c r="B3671" t="s">
        <v>7254</v>
      </c>
      <c r="C3671" t="str">
        <f t="shared" si="269"/>
        <v>706</v>
      </c>
      <c r="D3671" t="s">
        <v>28</v>
      </c>
      <c r="E3671" t="s">
        <v>23</v>
      </c>
      <c r="F3671" t="s">
        <v>1877</v>
      </c>
      <c r="G3671" t="s">
        <v>7255</v>
      </c>
      <c r="H3671" t="str">
        <f t="shared" si="271"/>
        <v>9499</v>
      </c>
      <c r="I3671" t="s">
        <v>31</v>
      </c>
      <c r="J3671" t="s">
        <v>2536</v>
      </c>
    </row>
    <row r="3672" spans="1:11" x14ac:dyDescent="0.3">
      <c r="A3672" t="str">
        <f>"02707365"</f>
        <v>02707365</v>
      </c>
      <c r="B3672" t="s">
        <v>7256</v>
      </c>
      <c r="C3672" t="str">
        <f t="shared" si="269"/>
        <v>706</v>
      </c>
      <c r="D3672" t="s">
        <v>28</v>
      </c>
      <c r="E3672" t="s">
        <v>52</v>
      </c>
      <c r="F3672" t="s">
        <v>920</v>
      </c>
      <c r="G3672" t="s">
        <v>5305</v>
      </c>
      <c r="H3672" t="str">
        <f t="shared" si="271"/>
        <v>9499</v>
      </c>
      <c r="I3672" t="s">
        <v>31</v>
      </c>
    </row>
    <row r="3673" spans="1:11" x14ac:dyDescent="0.3">
      <c r="A3673" t="str">
        <f>"06411371"</f>
        <v>06411371</v>
      </c>
      <c r="B3673" t="s">
        <v>7257</v>
      </c>
      <c r="C3673" t="str">
        <f t="shared" si="269"/>
        <v>706</v>
      </c>
      <c r="D3673" t="s">
        <v>28</v>
      </c>
      <c r="E3673" t="s">
        <v>83</v>
      </c>
      <c r="F3673" t="s">
        <v>1545</v>
      </c>
      <c r="G3673" t="s">
        <v>2410</v>
      </c>
      <c r="H3673" t="str">
        <f>"94991"</f>
        <v>94991</v>
      </c>
      <c r="I3673" t="s">
        <v>433</v>
      </c>
      <c r="J3673" t="s">
        <v>209</v>
      </c>
      <c r="K3673" t="s">
        <v>161</v>
      </c>
    </row>
    <row r="3674" spans="1:11" x14ac:dyDescent="0.3">
      <c r="A3674" t="str">
        <f>"22847383"</f>
        <v>22847383</v>
      </c>
      <c r="B3674" t="s">
        <v>7258</v>
      </c>
      <c r="C3674" t="str">
        <f t="shared" si="269"/>
        <v>706</v>
      </c>
      <c r="D3674" t="s">
        <v>28</v>
      </c>
      <c r="E3674" t="s">
        <v>23</v>
      </c>
      <c r="F3674" t="s">
        <v>23</v>
      </c>
      <c r="G3674" t="s">
        <v>1143</v>
      </c>
      <c r="H3674" t="str">
        <f>"9499"</f>
        <v>9499</v>
      </c>
      <c r="I3674" t="s">
        <v>31</v>
      </c>
    </row>
    <row r="3675" spans="1:11" x14ac:dyDescent="0.3">
      <c r="A3675" t="str">
        <f>"27022331"</f>
        <v>27022331</v>
      </c>
      <c r="B3675" t="s">
        <v>7259</v>
      </c>
      <c r="C3675" t="str">
        <f t="shared" si="269"/>
        <v>706</v>
      </c>
      <c r="D3675" t="s">
        <v>28</v>
      </c>
      <c r="E3675" t="s">
        <v>23</v>
      </c>
      <c r="F3675" t="s">
        <v>99</v>
      </c>
      <c r="G3675" t="s">
        <v>7260</v>
      </c>
      <c r="H3675" t="str">
        <f>"94993"</f>
        <v>94993</v>
      </c>
      <c r="I3675" t="s">
        <v>50</v>
      </c>
    </row>
    <row r="3676" spans="1:11" x14ac:dyDescent="0.3">
      <c r="A3676" t="str">
        <f>"26664623"</f>
        <v>26664623</v>
      </c>
      <c r="B3676" t="s">
        <v>7261</v>
      </c>
      <c r="C3676" t="str">
        <f t="shared" si="269"/>
        <v>706</v>
      </c>
      <c r="D3676" t="s">
        <v>28</v>
      </c>
      <c r="E3676" t="s">
        <v>23</v>
      </c>
      <c r="F3676" t="s">
        <v>23</v>
      </c>
      <c r="G3676" t="s">
        <v>7262</v>
      </c>
      <c r="H3676" t="str">
        <f>"9499"</f>
        <v>9499</v>
      </c>
      <c r="I3676" t="s">
        <v>31</v>
      </c>
    </row>
    <row r="3677" spans="1:11" x14ac:dyDescent="0.3">
      <c r="A3677" t="str">
        <f>"62180011"</f>
        <v>62180011</v>
      </c>
      <c r="B3677" t="s">
        <v>7263</v>
      </c>
      <c r="C3677" t="str">
        <f t="shared" ref="C3677:C3740" si="272">"722"</f>
        <v>722</v>
      </c>
      <c r="D3677" t="s">
        <v>315</v>
      </c>
      <c r="E3677" t="s">
        <v>23</v>
      </c>
      <c r="F3677" t="s">
        <v>975</v>
      </c>
      <c r="G3677" t="s">
        <v>7264</v>
      </c>
      <c r="H3677" t="str">
        <f t="shared" ref="H3677:H3740" si="273">"94910"</f>
        <v>94910</v>
      </c>
      <c r="I3677" t="s">
        <v>316</v>
      </c>
    </row>
    <row r="3678" spans="1:11" x14ac:dyDescent="0.3">
      <c r="A3678" t="str">
        <f>"73633402"</f>
        <v>73633402</v>
      </c>
      <c r="B3678" t="s">
        <v>7265</v>
      </c>
      <c r="C3678" t="str">
        <f t="shared" si="272"/>
        <v>722</v>
      </c>
      <c r="D3678" t="s">
        <v>315</v>
      </c>
      <c r="E3678" t="s">
        <v>52</v>
      </c>
      <c r="F3678" t="s">
        <v>362</v>
      </c>
      <c r="G3678" t="s">
        <v>7266</v>
      </c>
      <c r="H3678" t="str">
        <f t="shared" si="273"/>
        <v>94910</v>
      </c>
      <c r="I3678" t="s">
        <v>316</v>
      </c>
    </row>
    <row r="3679" spans="1:11" x14ac:dyDescent="0.3">
      <c r="A3679" t="str">
        <f>"46998497"</f>
        <v>46998497</v>
      </c>
      <c r="B3679" t="s">
        <v>7267</v>
      </c>
      <c r="C3679" t="str">
        <f t="shared" si="272"/>
        <v>722</v>
      </c>
      <c r="D3679" t="s">
        <v>315</v>
      </c>
      <c r="E3679" t="s">
        <v>83</v>
      </c>
      <c r="F3679" t="s">
        <v>520</v>
      </c>
      <c r="G3679" t="s">
        <v>7268</v>
      </c>
      <c r="H3679" t="str">
        <f t="shared" si="273"/>
        <v>94910</v>
      </c>
      <c r="I3679" t="s">
        <v>316</v>
      </c>
    </row>
    <row r="3680" spans="1:11" x14ac:dyDescent="0.3">
      <c r="A3680" t="str">
        <f>"46254978"</f>
        <v>46254978</v>
      </c>
      <c r="B3680" t="s">
        <v>7269</v>
      </c>
      <c r="C3680" t="str">
        <f t="shared" si="272"/>
        <v>722</v>
      </c>
      <c r="D3680" t="s">
        <v>315</v>
      </c>
      <c r="E3680" t="s">
        <v>52</v>
      </c>
      <c r="F3680" t="s">
        <v>1170</v>
      </c>
      <c r="G3680" t="s">
        <v>7270</v>
      </c>
      <c r="H3680" t="str">
        <f t="shared" si="273"/>
        <v>94910</v>
      </c>
      <c r="I3680" t="s">
        <v>316</v>
      </c>
    </row>
    <row r="3681" spans="1:9" x14ac:dyDescent="0.3">
      <c r="A3681" t="str">
        <f>"46256423"</f>
        <v>46256423</v>
      </c>
      <c r="B3681" t="s">
        <v>7271</v>
      </c>
      <c r="C3681" t="str">
        <f t="shared" si="272"/>
        <v>722</v>
      </c>
      <c r="D3681" t="s">
        <v>315</v>
      </c>
      <c r="E3681" t="s">
        <v>52</v>
      </c>
      <c r="F3681" t="s">
        <v>80</v>
      </c>
      <c r="G3681" t="s">
        <v>7272</v>
      </c>
      <c r="H3681" t="str">
        <f t="shared" si="273"/>
        <v>94910</v>
      </c>
      <c r="I3681" t="s">
        <v>316</v>
      </c>
    </row>
    <row r="3682" spans="1:9" x14ac:dyDescent="0.3">
      <c r="A3682" t="str">
        <f>"47930471"</f>
        <v>47930471</v>
      </c>
      <c r="B3682" t="s">
        <v>7273</v>
      </c>
      <c r="C3682" t="str">
        <f t="shared" si="272"/>
        <v>722</v>
      </c>
      <c r="D3682" t="s">
        <v>315</v>
      </c>
      <c r="E3682" t="s">
        <v>83</v>
      </c>
      <c r="F3682" t="s">
        <v>175</v>
      </c>
      <c r="G3682" t="s">
        <v>7274</v>
      </c>
      <c r="H3682" t="str">
        <f t="shared" si="273"/>
        <v>94910</v>
      </c>
      <c r="I3682" t="s">
        <v>316</v>
      </c>
    </row>
    <row r="3683" spans="1:9" x14ac:dyDescent="0.3">
      <c r="A3683" t="str">
        <f>"46257969"</f>
        <v>46257969</v>
      </c>
      <c r="B3683" t="s">
        <v>7275</v>
      </c>
      <c r="C3683" t="str">
        <f t="shared" si="272"/>
        <v>722</v>
      </c>
      <c r="D3683" t="s">
        <v>315</v>
      </c>
      <c r="E3683" t="s">
        <v>52</v>
      </c>
      <c r="F3683" t="s">
        <v>960</v>
      </c>
      <c r="G3683" t="s">
        <v>7276</v>
      </c>
      <c r="H3683" t="str">
        <f t="shared" si="273"/>
        <v>94910</v>
      </c>
      <c r="I3683" t="s">
        <v>316</v>
      </c>
    </row>
    <row r="3684" spans="1:9" x14ac:dyDescent="0.3">
      <c r="A3684" t="str">
        <f>"47930462"</f>
        <v>47930462</v>
      </c>
      <c r="B3684" t="s">
        <v>7277</v>
      </c>
      <c r="C3684" t="str">
        <f t="shared" si="272"/>
        <v>722</v>
      </c>
      <c r="D3684" t="s">
        <v>315</v>
      </c>
      <c r="E3684" t="s">
        <v>83</v>
      </c>
      <c r="F3684" t="s">
        <v>5378</v>
      </c>
      <c r="G3684" t="s">
        <v>7278</v>
      </c>
      <c r="H3684" t="str">
        <f t="shared" si="273"/>
        <v>94910</v>
      </c>
      <c r="I3684" t="s">
        <v>316</v>
      </c>
    </row>
    <row r="3685" spans="1:9" x14ac:dyDescent="0.3">
      <c r="A3685" t="str">
        <f>"46256431"</f>
        <v>46256431</v>
      </c>
      <c r="B3685" t="s">
        <v>7279</v>
      </c>
      <c r="C3685" t="str">
        <f t="shared" si="272"/>
        <v>722</v>
      </c>
      <c r="D3685" t="s">
        <v>315</v>
      </c>
      <c r="E3685" t="s">
        <v>52</v>
      </c>
      <c r="F3685" t="s">
        <v>612</v>
      </c>
      <c r="G3685" t="s">
        <v>7280</v>
      </c>
      <c r="H3685" t="str">
        <f t="shared" si="273"/>
        <v>94910</v>
      </c>
      <c r="I3685" t="s">
        <v>316</v>
      </c>
    </row>
    <row r="3686" spans="1:9" x14ac:dyDescent="0.3">
      <c r="A3686" t="str">
        <f>"46257926"</f>
        <v>46257926</v>
      </c>
      <c r="B3686" t="s">
        <v>7281</v>
      </c>
      <c r="C3686" t="str">
        <f t="shared" si="272"/>
        <v>722</v>
      </c>
      <c r="D3686" t="s">
        <v>315</v>
      </c>
      <c r="E3686" t="s">
        <v>52</v>
      </c>
      <c r="F3686" t="s">
        <v>781</v>
      </c>
      <c r="G3686" t="s">
        <v>7282</v>
      </c>
      <c r="H3686" t="str">
        <f t="shared" si="273"/>
        <v>94910</v>
      </c>
      <c r="I3686" t="s">
        <v>316</v>
      </c>
    </row>
    <row r="3687" spans="1:9" x14ac:dyDescent="0.3">
      <c r="A3687" t="str">
        <f>"46257888"</f>
        <v>46257888</v>
      </c>
      <c r="B3687" t="s">
        <v>7283</v>
      </c>
      <c r="C3687" t="str">
        <f t="shared" si="272"/>
        <v>722</v>
      </c>
      <c r="D3687" t="s">
        <v>315</v>
      </c>
      <c r="E3687" t="s">
        <v>52</v>
      </c>
      <c r="F3687" t="s">
        <v>488</v>
      </c>
      <c r="G3687" t="s">
        <v>7284</v>
      </c>
      <c r="H3687" t="str">
        <f t="shared" si="273"/>
        <v>94910</v>
      </c>
      <c r="I3687" t="s">
        <v>316</v>
      </c>
    </row>
    <row r="3688" spans="1:9" x14ac:dyDescent="0.3">
      <c r="A3688" t="str">
        <f>"48739685"</f>
        <v>48739685</v>
      </c>
      <c r="B3688" t="s">
        <v>7285</v>
      </c>
      <c r="C3688" t="str">
        <f t="shared" si="272"/>
        <v>722</v>
      </c>
      <c r="D3688" t="s">
        <v>315</v>
      </c>
      <c r="E3688" t="s">
        <v>29</v>
      </c>
      <c r="F3688" t="s">
        <v>5168</v>
      </c>
      <c r="G3688" t="s">
        <v>7286</v>
      </c>
      <c r="H3688" t="str">
        <f t="shared" si="273"/>
        <v>94910</v>
      </c>
      <c r="I3688" t="s">
        <v>316</v>
      </c>
    </row>
    <row r="3689" spans="1:9" x14ac:dyDescent="0.3">
      <c r="A3689" t="str">
        <f>"48471658"</f>
        <v>48471658</v>
      </c>
      <c r="B3689" t="s">
        <v>7287</v>
      </c>
      <c r="C3689" t="str">
        <f t="shared" si="272"/>
        <v>722</v>
      </c>
      <c r="D3689" t="s">
        <v>315</v>
      </c>
      <c r="E3689" t="s">
        <v>23</v>
      </c>
      <c r="F3689" t="s">
        <v>3449</v>
      </c>
      <c r="G3689" t="s">
        <v>6432</v>
      </c>
      <c r="H3689" t="str">
        <f t="shared" si="273"/>
        <v>94910</v>
      </c>
      <c r="I3689" t="s">
        <v>316</v>
      </c>
    </row>
    <row r="3690" spans="1:9" x14ac:dyDescent="0.3">
      <c r="A3690" t="str">
        <f>"65823095"</f>
        <v>65823095</v>
      </c>
      <c r="B3690" t="s">
        <v>7288</v>
      </c>
      <c r="C3690" t="str">
        <f t="shared" si="272"/>
        <v>722</v>
      </c>
      <c r="D3690" t="s">
        <v>315</v>
      </c>
      <c r="E3690" t="s">
        <v>23</v>
      </c>
      <c r="F3690" t="s">
        <v>975</v>
      </c>
      <c r="G3690" t="s">
        <v>7264</v>
      </c>
      <c r="H3690" t="str">
        <f t="shared" si="273"/>
        <v>94910</v>
      </c>
      <c r="I3690" t="s">
        <v>316</v>
      </c>
    </row>
    <row r="3691" spans="1:9" x14ac:dyDescent="0.3">
      <c r="A3691" t="str">
        <f>"46998250"</f>
        <v>46998250</v>
      </c>
      <c r="B3691" t="s">
        <v>7289</v>
      </c>
      <c r="C3691" t="str">
        <f t="shared" si="272"/>
        <v>722</v>
      </c>
      <c r="D3691" t="s">
        <v>315</v>
      </c>
      <c r="E3691" t="s">
        <v>83</v>
      </c>
      <c r="F3691" t="s">
        <v>881</v>
      </c>
      <c r="G3691" t="s">
        <v>7290</v>
      </c>
      <c r="H3691" t="str">
        <f t="shared" si="273"/>
        <v>94910</v>
      </c>
      <c r="I3691" t="s">
        <v>316</v>
      </c>
    </row>
    <row r="3692" spans="1:9" x14ac:dyDescent="0.3">
      <c r="A3692" t="str">
        <f>"48471097"</f>
        <v>48471097</v>
      </c>
      <c r="B3692" t="s">
        <v>7291</v>
      </c>
      <c r="C3692" t="str">
        <f t="shared" si="272"/>
        <v>722</v>
      </c>
      <c r="D3692" t="s">
        <v>315</v>
      </c>
      <c r="E3692" t="s">
        <v>23</v>
      </c>
      <c r="F3692" t="s">
        <v>3332</v>
      </c>
      <c r="G3692" t="s">
        <v>7292</v>
      </c>
      <c r="H3692" t="str">
        <f t="shared" si="273"/>
        <v>94910</v>
      </c>
      <c r="I3692" t="s">
        <v>316</v>
      </c>
    </row>
    <row r="3693" spans="1:9" x14ac:dyDescent="0.3">
      <c r="A3693" t="str">
        <f>"48489026"</f>
        <v>48489026</v>
      </c>
      <c r="B3693" t="s">
        <v>7293</v>
      </c>
      <c r="C3693" t="str">
        <f t="shared" si="272"/>
        <v>722</v>
      </c>
      <c r="D3693" t="s">
        <v>315</v>
      </c>
      <c r="E3693" t="s">
        <v>52</v>
      </c>
      <c r="F3693" t="s">
        <v>631</v>
      </c>
      <c r="G3693" t="s">
        <v>7294</v>
      </c>
      <c r="H3693" t="str">
        <f t="shared" si="273"/>
        <v>94910</v>
      </c>
      <c r="I3693" t="s">
        <v>316</v>
      </c>
    </row>
    <row r="3694" spans="1:9" x14ac:dyDescent="0.3">
      <c r="A3694" t="str">
        <f>"46256440"</f>
        <v>46256440</v>
      </c>
      <c r="B3694" t="s">
        <v>7295</v>
      </c>
      <c r="C3694" t="str">
        <f t="shared" si="272"/>
        <v>722</v>
      </c>
      <c r="D3694" t="s">
        <v>315</v>
      </c>
      <c r="E3694" t="s">
        <v>52</v>
      </c>
      <c r="F3694" t="s">
        <v>1773</v>
      </c>
      <c r="G3694" t="s">
        <v>7296</v>
      </c>
      <c r="H3694" t="str">
        <f t="shared" si="273"/>
        <v>94910</v>
      </c>
      <c r="I3694" t="s">
        <v>316</v>
      </c>
    </row>
    <row r="3695" spans="1:9" x14ac:dyDescent="0.3">
      <c r="A3695" t="str">
        <f>"46257845"</f>
        <v>46257845</v>
      </c>
      <c r="B3695" t="s">
        <v>7297</v>
      </c>
      <c r="C3695" t="str">
        <f t="shared" si="272"/>
        <v>722</v>
      </c>
      <c r="D3695" t="s">
        <v>315</v>
      </c>
      <c r="E3695" t="s">
        <v>52</v>
      </c>
      <c r="F3695" t="s">
        <v>344</v>
      </c>
      <c r="G3695" t="s">
        <v>7298</v>
      </c>
      <c r="H3695" t="str">
        <f t="shared" si="273"/>
        <v>94910</v>
      </c>
      <c r="I3695" t="s">
        <v>316</v>
      </c>
    </row>
    <row r="3696" spans="1:9" x14ac:dyDescent="0.3">
      <c r="A3696" t="str">
        <f>"47930241"</f>
        <v>47930241</v>
      </c>
      <c r="B3696" t="s">
        <v>7299</v>
      </c>
      <c r="C3696" t="str">
        <f t="shared" si="272"/>
        <v>722</v>
      </c>
      <c r="D3696" t="s">
        <v>315</v>
      </c>
      <c r="E3696" t="s">
        <v>83</v>
      </c>
      <c r="F3696" t="s">
        <v>175</v>
      </c>
      <c r="G3696" t="s">
        <v>1466</v>
      </c>
      <c r="H3696" t="str">
        <f t="shared" si="273"/>
        <v>94910</v>
      </c>
      <c r="I3696" t="s">
        <v>316</v>
      </c>
    </row>
    <row r="3697" spans="1:9" x14ac:dyDescent="0.3">
      <c r="A3697" t="str">
        <f>"46998209"</f>
        <v>46998209</v>
      </c>
      <c r="B3697" t="s">
        <v>7300</v>
      </c>
      <c r="C3697" t="str">
        <f t="shared" si="272"/>
        <v>722</v>
      </c>
      <c r="D3697" t="s">
        <v>315</v>
      </c>
      <c r="E3697" t="s">
        <v>83</v>
      </c>
      <c r="F3697" t="s">
        <v>4562</v>
      </c>
      <c r="G3697" t="s">
        <v>7301</v>
      </c>
      <c r="H3697" t="str">
        <f t="shared" si="273"/>
        <v>94910</v>
      </c>
      <c r="I3697" t="s">
        <v>316</v>
      </c>
    </row>
    <row r="3698" spans="1:9" x14ac:dyDescent="0.3">
      <c r="A3698" t="str">
        <f>"45211647"</f>
        <v>45211647</v>
      </c>
      <c r="B3698" t="s">
        <v>7302</v>
      </c>
      <c r="C3698" t="str">
        <f t="shared" si="272"/>
        <v>722</v>
      </c>
      <c r="D3698" t="s">
        <v>315</v>
      </c>
      <c r="E3698" t="s">
        <v>29</v>
      </c>
      <c r="F3698" t="s">
        <v>1473</v>
      </c>
      <c r="G3698" t="s">
        <v>7303</v>
      </c>
      <c r="H3698" t="str">
        <f t="shared" si="273"/>
        <v>94910</v>
      </c>
      <c r="I3698" t="s">
        <v>316</v>
      </c>
    </row>
    <row r="3699" spans="1:9" x14ac:dyDescent="0.3">
      <c r="A3699" t="str">
        <f>"18189415"</f>
        <v>18189415</v>
      </c>
      <c r="B3699" t="s">
        <v>7304</v>
      </c>
      <c r="C3699" t="str">
        <f t="shared" si="272"/>
        <v>722</v>
      </c>
      <c r="D3699" t="s">
        <v>315</v>
      </c>
      <c r="E3699" t="s">
        <v>83</v>
      </c>
      <c r="F3699" t="s">
        <v>480</v>
      </c>
      <c r="G3699" t="s">
        <v>7305</v>
      </c>
      <c r="H3699" t="str">
        <f t="shared" si="273"/>
        <v>94910</v>
      </c>
      <c r="I3699" t="s">
        <v>316</v>
      </c>
    </row>
    <row r="3700" spans="1:9" x14ac:dyDescent="0.3">
      <c r="A3700" t="str">
        <f>"46998403"</f>
        <v>46998403</v>
      </c>
      <c r="B3700" t="s">
        <v>7306</v>
      </c>
      <c r="C3700" t="str">
        <f t="shared" si="272"/>
        <v>722</v>
      </c>
      <c r="D3700" t="s">
        <v>315</v>
      </c>
      <c r="E3700" t="s">
        <v>83</v>
      </c>
      <c r="F3700" t="s">
        <v>5317</v>
      </c>
      <c r="G3700" t="s">
        <v>7307</v>
      </c>
      <c r="H3700" t="str">
        <f t="shared" si="273"/>
        <v>94910</v>
      </c>
      <c r="I3700" t="s">
        <v>316</v>
      </c>
    </row>
    <row r="3701" spans="1:9" x14ac:dyDescent="0.3">
      <c r="A3701" t="str">
        <f>"47997974"</f>
        <v>47997974</v>
      </c>
      <c r="B3701" t="s">
        <v>7308</v>
      </c>
      <c r="C3701" t="str">
        <f t="shared" si="272"/>
        <v>722</v>
      </c>
      <c r="D3701" t="s">
        <v>315</v>
      </c>
      <c r="E3701" t="s">
        <v>29</v>
      </c>
      <c r="F3701" t="s">
        <v>670</v>
      </c>
      <c r="G3701" t="s">
        <v>7309</v>
      </c>
      <c r="H3701" t="str">
        <f t="shared" si="273"/>
        <v>94910</v>
      </c>
      <c r="I3701" t="s">
        <v>316</v>
      </c>
    </row>
    <row r="3702" spans="1:9" x14ac:dyDescent="0.3">
      <c r="A3702" t="str">
        <f>"46256458"</f>
        <v>46256458</v>
      </c>
      <c r="B3702" t="s">
        <v>7310</v>
      </c>
      <c r="C3702" t="str">
        <f t="shared" si="272"/>
        <v>722</v>
      </c>
      <c r="D3702" t="s">
        <v>315</v>
      </c>
      <c r="E3702" t="s">
        <v>52</v>
      </c>
      <c r="F3702" t="s">
        <v>1788</v>
      </c>
      <c r="G3702" t="s">
        <v>7311</v>
      </c>
      <c r="H3702" t="str">
        <f t="shared" si="273"/>
        <v>94910</v>
      </c>
      <c r="I3702" t="s">
        <v>316</v>
      </c>
    </row>
    <row r="3703" spans="1:9" x14ac:dyDescent="0.3">
      <c r="A3703" t="str">
        <f>"48739499"</f>
        <v>48739499</v>
      </c>
      <c r="B3703" t="s">
        <v>7312</v>
      </c>
      <c r="C3703" t="str">
        <f t="shared" si="272"/>
        <v>722</v>
      </c>
      <c r="D3703" t="s">
        <v>315</v>
      </c>
      <c r="E3703" t="s">
        <v>29</v>
      </c>
      <c r="F3703" t="s">
        <v>503</v>
      </c>
      <c r="G3703" t="s">
        <v>7313</v>
      </c>
      <c r="H3703" t="str">
        <f t="shared" si="273"/>
        <v>94910</v>
      </c>
      <c r="I3703" t="s">
        <v>316</v>
      </c>
    </row>
    <row r="3704" spans="1:9" x14ac:dyDescent="0.3">
      <c r="A3704" t="str">
        <f>"48471208"</f>
        <v>48471208</v>
      </c>
      <c r="B3704" t="s">
        <v>7314</v>
      </c>
      <c r="C3704" t="str">
        <f t="shared" si="272"/>
        <v>722</v>
      </c>
      <c r="D3704" t="s">
        <v>315</v>
      </c>
      <c r="E3704" t="s">
        <v>23</v>
      </c>
      <c r="F3704" t="s">
        <v>245</v>
      </c>
      <c r="G3704" t="s">
        <v>7315</v>
      </c>
      <c r="H3704" t="str">
        <f t="shared" si="273"/>
        <v>94910</v>
      </c>
      <c r="I3704" t="s">
        <v>316</v>
      </c>
    </row>
    <row r="3705" spans="1:9" x14ac:dyDescent="0.3">
      <c r="A3705" t="str">
        <f>"48739430"</f>
        <v>48739430</v>
      </c>
      <c r="B3705" t="s">
        <v>7316</v>
      </c>
      <c r="C3705" t="str">
        <f t="shared" si="272"/>
        <v>722</v>
      </c>
      <c r="D3705" t="s">
        <v>315</v>
      </c>
      <c r="E3705" t="s">
        <v>29</v>
      </c>
      <c r="F3705" t="s">
        <v>1796</v>
      </c>
      <c r="G3705" t="s">
        <v>7317</v>
      </c>
      <c r="H3705" t="str">
        <f t="shared" si="273"/>
        <v>94910</v>
      </c>
      <c r="I3705" t="s">
        <v>316</v>
      </c>
    </row>
    <row r="3706" spans="1:9" x14ac:dyDescent="0.3">
      <c r="A3706" t="str">
        <f>"48471623"</f>
        <v>48471623</v>
      </c>
      <c r="B3706" t="s">
        <v>7318</v>
      </c>
      <c r="C3706" t="str">
        <f t="shared" si="272"/>
        <v>722</v>
      </c>
      <c r="D3706" t="s">
        <v>315</v>
      </c>
      <c r="E3706" t="s">
        <v>23</v>
      </c>
      <c r="F3706" t="s">
        <v>1418</v>
      </c>
      <c r="G3706" t="s">
        <v>7319</v>
      </c>
      <c r="H3706" t="str">
        <f t="shared" si="273"/>
        <v>94910</v>
      </c>
      <c r="I3706" t="s">
        <v>316</v>
      </c>
    </row>
    <row r="3707" spans="1:9" x14ac:dyDescent="0.3">
      <c r="A3707" t="str">
        <f>"48489000"</f>
        <v>48489000</v>
      </c>
      <c r="B3707" t="s">
        <v>7320</v>
      </c>
      <c r="C3707" t="str">
        <f t="shared" si="272"/>
        <v>722</v>
      </c>
      <c r="D3707" t="s">
        <v>315</v>
      </c>
      <c r="E3707" t="s">
        <v>52</v>
      </c>
      <c r="F3707" t="s">
        <v>65</v>
      </c>
      <c r="G3707" t="s">
        <v>4391</v>
      </c>
      <c r="H3707" t="str">
        <f t="shared" si="273"/>
        <v>94910</v>
      </c>
      <c r="I3707" t="s">
        <v>316</v>
      </c>
    </row>
    <row r="3708" spans="1:9" x14ac:dyDescent="0.3">
      <c r="A3708" t="str">
        <f>"47930217"</f>
        <v>47930217</v>
      </c>
      <c r="B3708" t="s">
        <v>7321</v>
      </c>
      <c r="C3708" t="str">
        <f t="shared" si="272"/>
        <v>722</v>
      </c>
      <c r="D3708" t="s">
        <v>315</v>
      </c>
      <c r="E3708" t="s">
        <v>83</v>
      </c>
      <c r="F3708" t="s">
        <v>183</v>
      </c>
      <c r="G3708" t="s">
        <v>7322</v>
      </c>
      <c r="H3708" t="str">
        <f t="shared" si="273"/>
        <v>94910</v>
      </c>
      <c r="I3708" t="s">
        <v>316</v>
      </c>
    </row>
    <row r="3709" spans="1:9" x14ac:dyDescent="0.3">
      <c r="A3709" t="str">
        <f>"47997966"</f>
        <v>47997966</v>
      </c>
      <c r="B3709" t="s">
        <v>7323</v>
      </c>
      <c r="C3709" t="str">
        <f t="shared" si="272"/>
        <v>722</v>
      </c>
      <c r="D3709" t="s">
        <v>315</v>
      </c>
      <c r="E3709" t="s">
        <v>29</v>
      </c>
      <c r="F3709" t="s">
        <v>775</v>
      </c>
      <c r="G3709" t="s">
        <v>7324</v>
      </c>
      <c r="H3709" t="str">
        <f t="shared" si="273"/>
        <v>94910</v>
      </c>
      <c r="I3709" t="s">
        <v>316</v>
      </c>
    </row>
    <row r="3710" spans="1:9" x14ac:dyDescent="0.3">
      <c r="A3710" t="str">
        <f>"46307869"</f>
        <v>46307869</v>
      </c>
      <c r="B3710" t="s">
        <v>7325</v>
      </c>
      <c r="C3710" t="str">
        <f t="shared" si="272"/>
        <v>722</v>
      </c>
      <c r="D3710" t="s">
        <v>315</v>
      </c>
      <c r="E3710" t="s">
        <v>23</v>
      </c>
      <c r="F3710" t="s">
        <v>1953</v>
      </c>
      <c r="G3710" t="s">
        <v>7326</v>
      </c>
      <c r="H3710" t="str">
        <f t="shared" si="273"/>
        <v>94910</v>
      </c>
      <c r="I3710" t="s">
        <v>316</v>
      </c>
    </row>
    <row r="3711" spans="1:9" x14ac:dyDescent="0.3">
      <c r="A3711" t="str">
        <f>"46256466"</f>
        <v>46256466</v>
      </c>
      <c r="B3711" t="s">
        <v>7327</v>
      </c>
      <c r="C3711" t="str">
        <f t="shared" si="272"/>
        <v>722</v>
      </c>
      <c r="D3711" t="s">
        <v>315</v>
      </c>
      <c r="E3711" t="s">
        <v>52</v>
      </c>
      <c r="F3711" t="s">
        <v>2078</v>
      </c>
      <c r="G3711" t="s">
        <v>7328</v>
      </c>
      <c r="H3711" t="str">
        <f t="shared" si="273"/>
        <v>94910</v>
      </c>
      <c r="I3711" t="s">
        <v>316</v>
      </c>
    </row>
    <row r="3712" spans="1:9" x14ac:dyDescent="0.3">
      <c r="A3712" t="str">
        <f>"48739481"</f>
        <v>48739481</v>
      </c>
      <c r="B3712" t="s">
        <v>7329</v>
      </c>
      <c r="C3712" t="str">
        <f t="shared" si="272"/>
        <v>722</v>
      </c>
      <c r="D3712" t="s">
        <v>315</v>
      </c>
      <c r="E3712" t="s">
        <v>29</v>
      </c>
      <c r="F3712" t="s">
        <v>653</v>
      </c>
      <c r="G3712" t="s">
        <v>7330</v>
      </c>
      <c r="H3712" t="str">
        <f t="shared" si="273"/>
        <v>94910</v>
      </c>
      <c r="I3712" t="s">
        <v>316</v>
      </c>
    </row>
    <row r="3713" spans="1:9" x14ac:dyDescent="0.3">
      <c r="A3713" t="str">
        <f>"46998314"</f>
        <v>46998314</v>
      </c>
      <c r="B3713" t="s">
        <v>7331</v>
      </c>
      <c r="C3713" t="str">
        <f t="shared" si="272"/>
        <v>722</v>
      </c>
      <c r="D3713" t="s">
        <v>315</v>
      </c>
      <c r="E3713" t="s">
        <v>83</v>
      </c>
      <c r="F3713" t="s">
        <v>4374</v>
      </c>
      <c r="G3713" t="s">
        <v>7332</v>
      </c>
      <c r="H3713" t="str">
        <f t="shared" si="273"/>
        <v>94910</v>
      </c>
      <c r="I3713" t="s">
        <v>316</v>
      </c>
    </row>
    <row r="3714" spans="1:9" x14ac:dyDescent="0.3">
      <c r="A3714" t="str">
        <f>"48739502"</f>
        <v>48739502</v>
      </c>
      <c r="B3714" t="s">
        <v>7333</v>
      </c>
      <c r="C3714" t="str">
        <f t="shared" si="272"/>
        <v>722</v>
      </c>
      <c r="D3714" t="s">
        <v>315</v>
      </c>
      <c r="E3714" t="s">
        <v>29</v>
      </c>
      <c r="F3714" t="s">
        <v>1810</v>
      </c>
      <c r="G3714" t="s">
        <v>7334</v>
      </c>
      <c r="H3714" t="str">
        <f t="shared" si="273"/>
        <v>94910</v>
      </c>
      <c r="I3714" t="s">
        <v>316</v>
      </c>
    </row>
    <row r="3715" spans="1:9" x14ac:dyDescent="0.3">
      <c r="A3715" t="str">
        <f>"46256474"</f>
        <v>46256474</v>
      </c>
      <c r="B3715" t="s">
        <v>7335</v>
      </c>
      <c r="C3715" t="str">
        <f t="shared" si="272"/>
        <v>722</v>
      </c>
      <c r="D3715" t="s">
        <v>315</v>
      </c>
      <c r="E3715" t="s">
        <v>52</v>
      </c>
      <c r="F3715" t="s">
        <v>1257</v>
      </c>
      <c r="G3715" t="s">
        <v>7336</v>
      </c>
      <c r="H3715" t="str">
        <f t="shared" si="273"/>
        <v>94910</v>
      </c>
      <c r="I3715" t="s">
        <v>316</v>
      </c>
    </row>
    <row r="3716" spans="1:9" x14ac:dyDescent="0.3">
      <c r="A3716" t="str">
        <f>"18189857"</f>
        <v>18189857</v>
      </c>
      <c r="B3716" t="s">
        <v>7337</v>
      </c>
      <c r="C3716" t="str">
        <f t="shared" si="272"/>
        <v>722</v>
      </c>
      <c r="D3716" t="s">
        <v>315</v>
      </c>
      <c r="E3716" t="s">
        <v>83</v>
      </c>
      <c r="F3716" t="s">
        <v>83</v>
      </c>
      <c r="G3716" t="s">
        <v>6444</v>
      </c>
      <c r="H3716" t="str">
        <f t="shared" si="273"/>
        <v>94910</v>
      </c>
      <c r="I3716" t="s">
        <v>316</v>
      </c>
    </row>
    <row r="3717" spans="1:9" x14ac:dyDescent="0.3">
      <c r="A3717" t="str">
        <f>"46998357"</f>
        <v>46998357</v>
      </c>
      <c r="B3717" t="s">
        <v>7338</v>
      </c>
      <c r="C3717" t="str">
        <f t="shared" si="272"/>
        <v>722</v>
      </c>
      <c r="D3717" t="s">
        <v>315</v>
      </c>
      <c r="E3717" t="s">
        <v>83</v>
      </c>
      <c r="F3717" t="s">
        <v>537</v>
      </c>
      <c r="G3717" t="s">
        <v>6446</v>
      </c>
      <c r="H3717" t="str">
        <f t="shared" si="273"/>
        <v>94910</v>
      </c>
      <c r="I3717" t="s">
        <v>316</v>
      </c>
    </row>
    <row r="3718" spans="1:9" x14ac:dyDescent="0.3">
      <c r="A3718" t="str">
        <f>"46254960"</f>
        <v>46254960</v>
      </c>
      <c r="B3718" t="s">
        <v>7339</v>
      </c>
      <c r="C3718" t="str">
        <f t="shared" si="272"/>
        <v>722</v>
      </c>
      <c r="D3718" t="s">
        <v>315</v>
      </c>
      <c r="E3718" t="s">
        <v>52</v>
      </c>
      <c r="F3718" t="s">
        <v>3833</v>
      </c>
      <c r="G3718" t="s">
        <v>7340</v>
      </c>
      <c r="H3718" t="str">
        <f t="shared" si="273"/>
        <v>94910</v>
      </c>
      <c r="I3718" t="s">
        <v>316</v>
      </c>
    </row>
    <row r="3719" spans="1:9" x14ac:dyDescent="0.3">
      <c r="A3719" t="str">
        <f>"48739715"</f>
        <v>48739715</v>
      </c>
      <c r="B3719" t="s">
        <v>7341</v>
      </c>
      <c r="C3719" t="str">
        <f t="shared" si="272"/>
        <v>722</v>
      </c>
      <c r="D3719" t="s">
        <v>315</v>
      </c>
      <c r="E3719" t="s">
        <v>29</v>
      </c>
      <c r="F3719" t="s">
        <v>1654</v>
      </c>
      <c r="G3719" t="s">
        <v>7342</v>
      </c>
      <c r="H3719" t="str">
        <f t="shared" si="273"/>
        <v>94910</v>
      </c>
      <c r="I3719" t="s">
        <v>316</v>
      </c>
    </row>
    <row r="3720" spans="1:9" x14ac:dyDescent="0.3">
      <c r="A3720" t="str">
        <f>"48471666"</f>
        <v>48471666</v>
      </c>
      <c r="B3720" t="s">
        <v>7343</v>
      </c>
      <c r="C3720" t="str">
        <f t="shared" si="272"/>
        <v>722</v>
      </c>
      <c r="D3720" t="s">
        <v>315</v>
      </c>
      <c r="E3720" t="s">
        <v>23</v>
      </c>
      <c r="F3720" t="s">
        <v>1657</v>
      </c>
      <c r="G3720" t="s">
        <v>7344</v>
      </c>
      <c r="H3720" t="str">
        <f t="shared" si="273"/>
        <v>94910</v>
      </c>
      <c r="I3720" t="s">
        <v>316</v>
      </c>
    </row>
    <row r="3721" spans="1:9" x14ac:dyDescent="0.3">
      <c r="A3721" t="str">
        <f>"46257951"</f>
        <v>46257951</v>
      </c>
      <c r="B3721" t="s">
        <v>7345</v>
      </c>
      <c r="C3721" t="str">
        <f t="shared" si="272"/>
        <v>722</v>
      </c>
      <c r="D3721" t="s">
        <v>315</v>
      </c>
      <c r="E3721" t="s">
        <v>52</v>
      </c>
      <c r="F3721" t="s">
        <v>1229</v>
      </c>
      <c r="G3721" t="s">
        <v>7346</v>
      </c>
      <c r="H3721" t="str">
        <f t="shared" si="273"/>
        <v>94910</v>
      </c>
      <c r="I3721" t="s">
        <v>316</v>
      </c>
    </row>
    <row r="3722" spans="1:9" x14ac:dyDescent="0.3">
      <c r="A3722" t="str">
        <f>"46254986"</f>
        <v>46254986</v>
      </c>
      <c r="B3722" t="s">
        <v>7347</v>
      </c>
      <c r="C3722" t="str">
        <f t="shared" si="272"/>
        <v>722</v>
      </c>
      <c r="D3722" t="s">
        <v>315</v>
      </c>
      <c r="E3722" t="s">
        <v>52</v>
      </c>
      <c r="F3722" t="s">
        <v>1229</v>
      </c>
      <c r="G3722" t="s">
        <v>7346</v>
      </c>
      <c r="H3722" t="str">
        <f t="shared" si="273"/>
        <v>94910</v>
      </c>
      <c r="I3722" t="s">
        <v>316</v>
      </c>
    </row>
    <row r="3723" spans="1:9" x14ac:dyDescent="0.3">
      <c r="A3723" t="str">
        <f>"48471674"</f>
        <v>48471674</v>
      </c>
      <c r="B3723" t="s">
        <v>7348</v>
      </c>
      <c r="C3723" t="str">
        <f t="shared" si="272"/>
        <v>722</v>
      </c>
      <c r="D3723" t="s">
        <v>315</v>
      </c>
      <c r="E3723" t="s">
        <v>23</v>
      </c>
      <c r="F3723" t="s">
        <v>1555</v>
      </c>
      <c r="G3723" t="s">
        <v>7349</v>
      </c>
      <c r="H3723" t="str">
        <f t="shared" si="273"/>
        <v>94910</v>
      </c>
      <c r="I3723" t="s">
        <v>316</v>
      </c>
    </row>
    <row r="3724" spans="1:9" x14ac:dyDescent="0.3">
      <c r="A3724" t="str">
        <f>"48471682"</f>
        <v>48471682</v>
      </c>
      <c r="B3724" t="s">
        <v>7350</v>
      </c>
      <c r="C3724" t="str">
        <f t="shared" si="272"/>
        <v>722</v>
      </c>
      <c r="D3724" t="s">
        <v>315</v>
      </c>
      <c r="E3724" t="s">
        <v>23</v>
      </c>
      <c r="F3724" t="s">
        <v>4156</v>
      </c>
      <c r="G3724" t="s">
        <v>7351</v>
      </c>
      <c r="H3724" t="str">
        <f t="shared" si="273"/>
        <v>94910</v>
      </c>
      <c r="I3724" t="s">
        <v>316</v>
      </c>
    </row>
    <row r="3725" spans="1:9" x14ac:dyDescent="0.3">
      <c r="A3725" t="str">
        <f>"47658363"</f>
        <v>47658363</v>
      </c>
      <c r="B3725" t="s">
        <v>7352</v>
      </c>
      <c r="C3725" t="str">
        <f t="shared" si="272"/>
        <v>722</v>
      </c>
      <c r="D3725" t="s">
        <v>315</v>
      </c>
      <c r="E3725" t="s">
        <v>29</v>
      </c>
      <c r="F3725" t="s">
        <v>271</v>
      </c>
      <c r="G3725" t="s">
        <v>7353</v>
      </c>
      <c r="H3725" t="str">
        <f t="shared" si="273"/>
        <v>94910</v>
      </c>
      <c r="I3725" t="s">
        <v>316</v>
      </c>
    </row>
    <row r="3726" spans="1:9" x14ac:dyDescent="0.3">
      <c r="A3726" t="str">
        <f>"46256482"</f>
        <v>46256482</v>
      </c>
      <c r="B3726" t="s">
        <v>7354</v>
      </c>
      <c r="C3726" t="str">
        <f t="shared" si="272"/>
        <v>722</v>
      </c>
      <c r="D3726" t="s">
        <v>315</v>
      </c>
      <c r="E3726" t="s">
        <v>52</v>
      </c>
      <c r="F3726" t="s">
        <v>2038</v>
      </c>
      <c r="G3726" t="s">
        <v>7355</v>
      </c>
      <c r="H3726" t="str">
        <f t="shared" si="273"/>
        <v>94910</v>
      </c>
      <c r="I3726" t="s">
        <v>316</v>
      </c>
    </row>
    <row r="3727" spans="1:9" x14ac:dyDescent="0.3">
      <c r="A3727" t="str">
        <f>"46998098"</f>
        <v>46998098</v>
      </c>
      <c r="B3727" t="s">
        <v>7356</v>
      </c>
      <c r="C3727" t="str">
        <f t="shared" si="272"/>
        <v>722</v>
      </c>
      <c r="D3727" t="s">
        <v>315</v>
      </c>
      <c r="E3727" t="s">
        <v>83</v>
      </c>
      <c r="F3727" t="s">
        <v>1425</v>
      </c>
      <c r="G3727" t="s">
        <v>7357</v>
      </c>
      <c r="H3727" t="str">
        <f t="shared" si="273"/>
        <v>94910</v>
      </c>
      <c r="I3727" t="s">
        <v>316</v>
      </c>
    </row>
    <row r="3728" spans="1:9" x14ac:dyDescent="0.3">
      <c r="A3728" t="str">
        <f>"46256491"</f>
        <v>46256491</v>
      </c>
      <c r="B3728" t="s">
        <v>7358</v>
      </c>
      <c r="C3728" t="str">
        <f t="shared" si="272"/>
        <v>722</v>
      </c>
      <c r="D3728" t="s">
        <v>315</v>
      </c>
      <c r="E3728" t="s">
        <v>52</v>
      </c>
      <c r="F3728" t="s">
        <v>1829</v>
      </c>
      <c r="G3728" t="s">
        <v>7359</v>
      </c>
      <c r="H3728" t="str">
        <f t="shared" si="273"/>
        <v>94910</v>
      </c>
      <c r="I3728" t="s">
        <v>316</v>
      </c>
    </row>
    <row r="3729" spans="1:9" x14ac:dyDescent="0.3">
      <c r="A3729" t="str">
        <f>"46257896"</f>
        <v>46257896</v>
      </c>
      <c r="B3729" t="s">
        <v>7360</v>
      </c>
      <c r="C3729" t="str">
        <f t="shared" si="272"/>
        <v>722</v>
      </c>
      <c r="D3729" t="s">
        <v>315</v>
      </c>
      <c r="E3729" t="s">
        <v>52</v>
      </c>
      <c r="F3729" t="s">
        <v>1625</v>
      </c>
      <c r="G3729" t="s">
        <v>7361</v>
      </c>
      <c r="H3729" t="str">
        <f t="shared" si="273"/>
        <v>94910</v>
      </c>
      <c r="I3729" t="s">
        <v>316</v>
      </c>
    </row>
    <row r="3730" spans="1:9" x14ac:dyDescent="0.3">
      <c r="A3730" t="str">
        <f>"46998438"</f>
        <v>46998438</v>
      </c>
      <c r="B3730" t="s">
        <v>7362</v>
      </c>
      <c r="C3730" t="str">
        <f t="shared" si="272"/>
        <v>722</v>
      </c>
      <c r="D3730" t="s">
        <v>315</v>
      </c>
      <c r="E3730" t="s">
        <v>83</v>
      </c>
      <c r="F3730" t="s">
        <v>230</v>
      </c>
      <c r="G3730" t="s">
        <v>7363</v>
      </c>
      <c r="H3730" t="str">
        <f t="shared" si="273"/>
        <v>94910</v>
      </c>
      <c r="I3730" t="s">
        <v>316</v>
      </c>
    </row>
    <row r="3731" spans="1:9" x14ac:dyDescent="0.3">
      <c r="A3731" t="str">
        <f>"48489042"</f>
        <v>48489042</v>
      </c>
      <c r="B3731" t="s">
        <v>7364</v>
      </c>
      <c r="C3731" t="str">
        <f t="shared" si="272"/>
        <v>722</v>
      </c>
      <c r="D3731" t="s">
        <v>315</v>
      </c>
      <c r="E3731" t="s">
        <v>52</v>
      </c>
      <c r="F3731" t="s">
        <v>234</v>
      </c>
      <c r="G3731" t="s">
        <v>7365</v>
      </c>
      <c r="H3731" t="str">
        <f t="shared" si="273"/>
        <v>94910</v>
      </c>
      <c r="I3731" t="s">
        <v>316</v>
      </c>
    </row>
    <row r="3732" spans="1:9" x14ac:dyDescent="0.3">
      <c r="A3732" t="str">
        <f>"60382856"</f>
        <v>60382856</v>
      </c>
      <c r="B3732" t="s">
        <v>7366</v>
      </c>
      <c r="C3732" t="str">
        <f t="shared" si="272"/>
        <v>722</v>
      </c>
      <c r="D3732" t="s">
        <v>315</v>
      </c>
      <c r="E3732" t="s">
        <v>83</v>
      </c>
      <c r="F3732" t="s">
        <v>1532</v>
      </c>
      <c r="G3732" t="s">
        <v>7367</v>
      </c>
      <c r="H3732" t="str">
        <f t="shared" si="273"/>
        <v>94910</v>
      </c>
      <c r="I3732" t="s">
        <v>316</v>
      </c>
    </row>
    <row r="3733" spans="1:9" x14ac:dyDescent="0.3">
      <c r="A3733" t="str">
        <f>"46998331"</f>
        <v>46998331</v>
      </c>
      <c r="B3733" t="s">
        <v>7368</v>
      </c>
      <c r="C3733" t="str">
        <f t="shared" si="272"/>
        <v>722</v>
      </c>
      <c r="D3733" t="s">
        <v>315</v>
      </c>
      <c r="E3733" t="s">
        <v>83</v>
      </c>
      <c r="F3733" t="s">
        <v>409</v>
      </c>
      <c r="G3733" t="s">
        <v>7369</v>
      </c>
      <c r="H3733" t="str">
        <f t="shared" si="273"/>
        <v>94910</v>
      </c>
      <c r="I3733" t="s">
        <v>316</v>
      </c>
    </row>
    <row r="3734" spans="1:9" x14ac:dyDescent="0.3">
      <c r="A3734" t="str">
        <f>"46998381"</f>
        <v>46998381</v>
      </c>
      <c r="B3734" t="s">
        <v>7370</v>
      </c>
      <c r="C3734" t="str">
        <f t="shared" si="272"/>
        <v>722</v>
      </c>
      <c r="D3734" t="s">
        <v>315</v>
      </c>
      <c r="E3734" t="s">
        <v>83</v>
      </c>
      <c r="F3734" t="s">
        <v>4471</v>
      </c>
      <c r="G3734" t="s">
        <v>7371</v>
      </c>
      <c r="H3734" t="str">
        <f t="shared" si="273"/>
        <v>94910</v>
      </c>
      <c r="I3734" t="s">
        <v>316</v>
      </c>
    </row>
    <row r="3735" spans="1:9" x14ac:dyDescent="0.3">
      <c r="A3735" t="str">
        <f>"48739723"</f>
        <v>48739723</v>
      </c>
      <c r="B3735" t="s">
        <v>7372</v>
      </c>
      <c r="C3735" t="str">
        <f t="shared" si="272"/>
        <v>722</v>
      </c>
      <c r="D3735" t="s">
        <v>315</v>
      </c>
      <c r="E3735" t="s">
        <v>29</v>
      </c>
      <c r="F3735" t="s">
        <v>135</v>
      </c>
      <c r="G3735" t="s">
        <v>7373</v>
      </c>
      <c r="H3735" t="str">
        <f t="shared" si="273"/>
        <v>94910</v>
      </c>
      <c r="I3735" t="s">
        <v>316</v>
      </c>
    </row>
    <row r="3736" spans="1:9" x14ac:dyDescent="0.3">
      <c r="A3736" t="str">
        <f>"46277307"</f>
        <v>46277307</v>
      </c>
      <c r="B3736" t="s">
        <v>7374</v>
      </c>
      <c r="C3736" t="str">
        <f t="shared" si="272"/>
        <v>722</v>
      </c>
      <c r="D3736" t="s">
        <v>315</v>
      </c>
      <c r="E3736" t="s">
        <v>23</v>
      </c>
      <c r="F3736" t="s">
        <v>2706</v>
      </c>
      <c r="G3736" t="s">
        <v>7375</v>
      </c>
      <c r="H3736" t="str">
        <f t="shared" si="273"/>
        <v>94910</v>
      </c>
      <c r="I3736" t="s">
        <v>316</v>
      </c>
    </row>
    <row r="3737" spans="1:9" x14ac:dyDescent="0.3">
      <c r="A3737" t="str">
        <f>"48739448"</f>
        <v>48739448</v>
      </c>
      <c r="B3737" t="s">
        <v>7376</v>
      </c>
      <c r="C3737" t="str">
        <f t="shared" si="272"/>
        <v>722</v>
      </c>
      <c r="D3737" t="s">
        <v>315</v>
      </c>
      <c r="E3737" t="s">
        <v>29</v>
      </c>
      <c r="F3737" t="s">
        <v>702</v>
      </c>
      <c r="G3737" t="s">
        <v>7377</v>
      </c>
      <c r="H3737" t="str">
        <f t="shared" si="273"/>
        <v>94910</v>
      </c>
      <c r="I3737" t="s">
        <v>316</v>
      </c>
    </row>
    <row r="3738" spans="1:9" x14ac:dyDescent="0.3">
      <c r="A3738" t="str">
        <f>"48739464"</f>
        <v>48739464</v>
      </c>
      <c r="B3738" t="s">
        <v>7378</v>
      </c>
      <c r="C3738" t="str">
        <f t="shared" si="272"/>
        <v>722</v>
      </c>
      <c r="D3738" t="s">
        <v>315</v>
      </c>
      <c r="E3738" t="s">
        <v>29</v>
      </c>
      <c r="F3738" t="s">
        <v>676</v>
      </c>
      <c r="G3738" t="s">
        <v>7379</v>
      </c>
      <c r="H3738" t="str">
        <f t="shared" si="273"/>
        <v>94910</v>
      </c>
      <c r="I3738" t="s">
        <v>316</v>
      </c>
    </row>
    <row r="3739" spans="1:9" x14ac:dyDescent="0.3">
      <c r="A3739" t="str">
        <f>"46998322"</f>
        <v>46998322</v>
      </c>
      <c r="B3739" t="s">
        <v>7380</v>
      </c>
      <c r="C3739" t="str">
        <f t="shared" si="272"/>
        <v>722</v>
      </c>
      <c r="D3739" t="s">
        <v>315</v>
      </c>
      <c r="E3739" t="s">
        <v>83</v>
      </c>
      <c r="F3739" t="s">
        <v>1846</v>
      </c>
      <c r="G3739" t="s">
        <v>7381</v>
      </c>
      <c r="H3739" t="str">
        <f t="shared" si="273"/>
        <v>94910</v>
      </c>
      <c r="I3739" t="s">
        <v>316</v>
      </c>
    </row>
    <row r="3740" spans="1:9" x14ac:dyDescent="0.3">
      <c r="A3740" t="str">
        <f>"48739707"</f>
        <v>48739707</v>
      </c>
      <c r="B3740" t="s">
        <v>7382</v>
      </c>
      <c r="C3740" t="str">
        <f t="shared" si="272"/>
        <v>722</v>
      </c>
      <c r="D3740" t="s">
        <v>315</v>
      </c>
      <c r="E3740" t="s">
        <v>29</v>
      </c>
      <c r="F3740" t="s">
        <v>306</v>
      </c>
      <c r="G3740" t="s">
        <v>7383</v>
      </c>
      <c r="H3740" t="str">
        <f t="shared" si="273"/>
        <v>94910</v>
      </c>
      <c r="I3740" t="s">
        <v>316</v>
      </c>
    </row>
    <row r="3741" spans="1:9" x14ac:dyDescent="0.3">
      <c r="A3741" t="str">
        <f>"47930357"</f>
        <v>47930357</v>
      </c>
      <c r="B3741" t="s">
        <v>7384</v>
      </c>
      <c r="C3741" t="str">
        <f t="shared" ref="C3741:C3804" si="274">"722"</f>
        <v>722</v>
      </c>
      <c r="D3741" t="s">
        <v>315</v>
      </c>
      <c r="E3741" t="s">
        <v>83</v>
      </c>
      <c r="F3741" t="s">
        <v>540</v>
      </c>
      <c r="G3741" t="s">
        <v>7385</v>
      </c>
      <c r="H3741" t="str">
        <f t="shared" ref="H3741:H3804" si="275">"94910"</f>
        <v>94910</v>
      </c>
      <c r="I3741" t="s">
        <v>316</v>
      </c>
    </row>
    <row r="3742" spans="1:9" x14ac:dyDescent="0.3">
      <c r="A3742" t="str">
        <f>"46998420"</f>
        <v>46998420</v>
      </c>
      <c r="B3742" t="s">
        <v>7386</v>
      </c>
      <c r="C3742" t="str">
        <f t="shared" si="274"/>
        <v>722</v>
      </c>
      <c r="D3742" t="s">
        <v>315</v>
      </c>
      <c r="E3742" t="s">
        <v>83</v>
      </c>
      <c r="F3742" t="s">
        <v>2423</v>
      </c>
      <c r="G3742" t="s">
        <v>7387</v>
      </c>
      <c r="H3742" t="str">
        <f t="shared" si="275"/>
        <v>94910</v>
      </c>
      <c r="I3742" t="s">
        <v>316</v>
      </c>
    </row>
    <row r="3743" spans="1:9" x14ac:dyDescent="0.3">
      <c r="A3743" t="str">
        <f>"00543080"</f>
        <v>00543080</v>
      </c>
      <c r="B3743" t="s">
        <v>7388</v>
      </c>
      <c r="C3743" t="str">
        <f t="shared" si="274"/>
        <v>722</v>
      </c>
      <c r="D3743" t="s">
        <v>315</v>
      </c>
      <c r="E3743" t="s">
        <v>23</v>
      </c>
      <c r="F3743" t="s">
        <v>99</v>
      </c>
      <c r="G3743" t="s">
        <v>7389</v>
      </c>
      <c r="H3743" t="str">
        <f t="shared" si="275"/>
        <v>94910</v>
      </c>
      <c r="I3743" t="s">
        <v>316</v>
      </c>
    </row>
    <row r="3744" spans="1:9" x14ac:dyDescent="0.3">
      <c r="A3744" t="str">
        <f>"48471691"</f>
        <v>48471691</v>
      </c>
      <c r="B3744" t="s">
        <v>7390</v>
      </c>
      <c r="C3744" t="str">
        <f t="shared" si="274"/>
        <v>722</v>
      </c>
      <c r="D3744" t="s">
        <v>315</v>
      </c>
      <c r="E3744" t="s">
        <v>23</v>
      </c>
      <c r="F3744" t="s">
        <v>35</v>
      </c>
      <c r="G3744" t="s">
        <v>7391</v>
      </c>
      <c r="H3744" t="str">
        <f t="shared" si="275"/>
        <v>94910</v>
      </c>
      <c r="I3744" t="s">
        <v>316</v>
      </c>
    </row>
    <row r="3745" spans="1:9" x14ac:dyDescent="0.3">
      <c r="A3745" t="str">
        <f>"18190341"</f>
        <v>18190341</v>
      </c>
      <c r="B3745" t="s">
        <v>7392</v>
      </c>
      <c r="C3745" t="str">
        <f t="shared" si="274"/>
        <v>722</v>
      </c>
      <c r="D3745" t="s">
        <v>315</v>
      </c>
      <c r="E3745" t="s">
        <v>83</v>
      </c>
      <c r="F3745" t="s">
        <v>130</v>
      </c>
      <c r="G3745" t="s">
        <v>2228</v>
      </c>
      <c r="H3745" t="str">
        <f t="shared" si="275"/>
        <v>94910</v>
      </c>
      <c r="I3745" t="s">
        <v>316</v>
      </c>
    </row>
    <row r="3746" spans="1:9" x14ac:dyDescent="0.3">
      <c r="A3746" t="str">
        <f>"48471780"</f>
        <v>48471780</v>
      </c>
      <c r="B3746" t="s">
        <v>7393</v>
      </c>
      <c r="C3746" t="str">
        <f t="shared" si="274"/>
        <v>722</v>
      </c>
      <c r="D3746" t="s">
        <v>315</v>
      </c>
      <c r="E3746" t="s">
        <v>23</v>
      </c>
      <c r="F3746" t="s">
        <v>2429</v>
      </c>
      <c r="G3746" t="s">
        <v>7394</v>
      </c>
      <c r="H3746" t="str">
        <f t="shared" si="275"/>
        <v>94910</v>
      </c>
      <c r="I3746" t="s">
        <v>316</v>
      </c>
    </row>
    <row r="3747" spans="1:9" x14ac:dyDescent="0.3">
      <c r="A3747" t="str">
        <f>"48471755"</f>
        <v>48471755</v>
      </c>
      <c r="B3747" t="s">
        <v>7395</v>
      </c>
      <c r="C3747" t="str">
        <f t="shared" si="274"/>
        <v>722</v>
      </c>
      <c r="D3747" t="s">
        <v>315</v>
      </c>
      <c r="E3747" t="s">
        <v>23</v>
      </c>
      <c r="F3747" t="s">
        <v>141</v>
      </c>
      <c r="G3747" t="s">
        <v>7396</v>
      </c>
      <c r="H3747" t="str">
        <f t="shared" si="275"/>
        <v>94910</v>
      </c>
      <c r="I3747" t="s">
        <v>316</v>
      </c>
    </row>
    <row r="3748" spans="1:9" x14ac:dyDescent="0.3">
      <c r="A3748" t="str">
        <f>"46257900"</f>
        <v>46257900</v>
      </c>
      <c r="B3748" t="s">
        <v>7397</v>
      </c>
      <c r="C3748" t="str">
        <f t="shared" si="274"/>
        <v>722</v>
      </c>
      <c r="D3748" t="s">
        <v>315</v>
      </c>
      <c r="E3748" t="s">
        <v>52</v>
      </c>
      <c r="F3748" t="s">
        <v>73</v>
      </c>
      <c r="G3748" t="s">
        <v>7398</v>
      </c>
      <c r="H3748" t="str">
        <f t="shared" si="275"/>
        <v>94910</v>
      </c>
      <c r="I3748" t="s">
        <v>316</v>
      </c>
    </row>
    <row r="3749" spans="1:9" x14ac:dyDescent="0.3">
      <c r="A3749" t="str">
        <f>"66599229"</f>
        <v>66599229</v>
      </c>
      <c r="B3749" t="s">
        <v>7399</v>
      </c>
      <c r="C3749" t="str">
        <f t="shared" si="274"/>
        <v>722</v>
      </c>
      <c r="D3749" t="s">
        <v>315</v>
      </c>
      <c r="E3749" t="s">
        <v>23</v>
      </c>
      <c r="F3749" t="s">
        <v>966</v>
      </c>
      <c r="G3749" t="s">
        <v>7400</v>
      </c>
      <c r="H3749" t="str">
        <f t="shared" si="275"/>
        <v>94910</v>
      </c>
      <c r="I3749" t="s">
        <v>316</v>
      </c>
    </row>
    <row r="3750" spans="1:9" x14ac:dyDescent="0.3">
      <c r="A3750" t="str">
        <f>"46256504"</f>
        <v>46256504</v>
      </c>
      <c r="B3750" t="s">
        <v>7401</v>
      </c>
      <c r="C3750" t="str">
        <f t="shared" si="274"/>
        <v>722</v>
      </c>
      <c r="D3750" t="s">
        <v>315</v>
      </c>
      <c r="E3750" t="s">
        <v>52</v>
      </c>
      <c r="F3750" t="s">
        <v>1857</v>
      </c>
      <c r="G3750" t="s">
        <v>7402</v>
      </c>
      <c r="H3750" t="str">
        <f t="shared" si="275"/>
        <v>94910</v>
      </c>
      <c r="I3750" t="s">
        <v>316</v>
      </c>
    </row>
    <row r="3751" spans="1:9" x14ac:dyDescent="0.3">
      <c r="A3751" t="str">
        <f>"46256512"</f>
        <v>46256512</v>
      </c>
      <c r="B3751" t="s">
        <v>7403</v>
      </c>
      <c r="C3751" t="str">
        <f t="shared" si="274"/>
        <v>722</v>
      </c>
      <c r="D3751" t="s">
        <v>315</v>
      </c>
      <c r="E3751" t="s">
        <v>52</v>
      </c>
      <c r="F3751" t="s">
        <v>514</v>
      </c>
      <c r="G3751" t="s">
        <v>7404</v>
      </c>
      <c r="H3751" t="str">
        <f t="shared" si="275"/>
        <v>94910</v>
      </c>
      <c r="I3751" t="s">
        <v>316</v>
      </c>
    </row>
    <row r="3752" spans="1:9" x14ac:dyDescent="0.3">
      <c r="A3752" t="str">
        <f>"47997940"</f>
        <v>47997940</v>
      </c>
      <c r="B3752" t="s">
        <v>7405</v>
      </c>
      <c r="C3752" t="str">
        <f t="shared" si="274"/>
        <v>722</v>
      </c>
      <c r="D3752" t="s">
        <v>315</v>
      </c>
      <c r="E3752" t="s">
        <v>29</v>
      </c>
      <c r="F3752" t="s">
        <v>117</v>
      </c>
      <c r="G3752" t="s">
        <v>7406</v>
      </c>
      <c r="H3752" t="str">
        <f t="shared" si="275"/>
        <v>94910</v>
      </c>
      <c r="I3752" t="s">
        <v>316</v>
      </c>
    </row>
    <row r="3753" spans="1:9" x14ac:dyDescent="0.3">
      <c r="A3753" t="str">
        <f>"46257985"</f>
        <v>46257985</v>
      </c>
      <c r="B3753" t="s">
        <v>7407</v>
      </c>
      <c r="C3753" t="str">
        <f t="shared" si="274"/>
        <v>722</v>
      </c>
      <c r="D3753" t="s">
        <v>315</v>
      </c>
      <c r="E3753" t="s">
        <v>52</v>
      </c>
      <c r="F3753" t="s">
        <v>1676</v>
      </c>
      <c r="G3753" t="s">
        <v>7408</v>
      </c>
      <c r="H3753" t="str">
        <f t="shared" si="275"/>
        <v>94910</v>
      </c>
      <c r="I3753" t="s">
        <v>316</v>
      </c>
    </row>
    <row r="3754" spans="1:9" x14ac:dyDescent="0.3">
      <c r="A3754" t="str">
        <f>"46257977"</f>
        <v>46257977</v>
      </c>
      <c r="B3754" t="s">
        <v>7409</v>
      </c>
      <c r="C3754" t="str">
        <f t="shared" si="274"/>
        <v>722</v>
      </c>
      <c r="D3754" t="s">
        <v>315</v>
      </c>
      <c r="E3754" t="s">
        <v>52</v>
      </c>
      <c r="F3754" t="s">
        <v>334</v>
      </c>
      <c r="G3754" t="s">
        <v>7410</v>
      </c>
      <c r="H3754" t="str">
        <f t="shared" si="275"/>
        <v>94910</v>
      </c>
      <c r="I3754" t="s">
        <v>316</v>
      </c>
    </row>
    <row r="3755" spans="1:9" x14ac:dyDescent="0.3">
      <c r="A3755" t="str">
        <f>"46257861"</f>
        <v>46257861</v>
      </c>
      <c r="B3755" t="s">
        <v>7411</v>
      </c>
      <c r="C3755" t="str">
        <f t="shared" si="274"/>
        <v>722</v>
      </c>
      <c r="D3755" t="s">
        <v>315</v>
      </c>
      <c r="E3755" t="s">
        <v>52</v>
      </c>
      <c r="F3755" t="s">
        <v>1027</v>
      </c>
      <c r="G3755" t="s">
        <v>7412</v>
      </c>
      <c r="H3755" t="str">
        <f t="shared" si="275"/>
        <v>94910</v>
      </c>
      <c r="I3755" t="s">
        <v>316</v>
      </c>
    </row>
    <row r="3756" spans="1:9" x14ac:dyDescent="0.3">
      <c r="A3756" t="str">
        <f>"44125909"</f>
        <v>44125909</v>
      </c>
      <c r="B3756" t="s">
        <v>7413</v>
      </c>
      <c r="C3756" t="str">
        <f t="shared" si="274"/>
        <v>722</v>
      </c>
      <c r="D3756" t="s">
        <v>315</v>
      </c>
      <c r="E3756" t="s">
        <v>23</v>
      </c>
      <c r="F3756" t="s">
        <v>24</v>
      </c>
      <c r="G3756" t="s">
        <v>508</v>
      </c>
      <c r="H3756" t="str">
        <f t="shared" si="275"/>
        <v>94910</v>
      </c>
      <c r="I3756" t="s">
        <v>316</v>
      </c>
    </row>
    <row r="3757" spans="1:9" x14ac:dyDescent="0.3">
      <c r="A3757" t="str">
        <f>"18190359"</f>
        <v>18190359</v>
      </c>
      <c r="B3757" t="s">
        <v>7414</v>
      </c>
      <c r="C3757" t="str">
        <f t="shared" si="274"/>
        <v>722</v>
      </c>
      <c r="D3757" t="s">
        <v>315</v>
      </c>
      <c r="E3757" t="s">
        <v>83</v>
      </c>
      <c r="F3757" t="s">
        <v>1867</v>
      </c>
      <c r="G3757" t="s">
        <v>7415</v>
      </c>
      <c r="H3757" t="str">
        <f t="shared" si="275"/>
        <v>94910</v>
      </c>
      <c r="I3757" t="s">
        <v>316</v>
      </c>
    </row>
    <row r="3758" spans="1:9" x14ac:dyDescent="0.3">
      <c r="A3758" t="str">
        <f>"46998110"</f>
        <v>46998110</v>
      </c>
      <c r="B3758" t="s">
        <v>7416</v>
      </c>
      <c r="C3758" t="str">
        <f t="shared" si="274"/>
        <v>722</v>
      </c>
      <c r="D3758" t="s">
        <v>315</v>
      </c>
      <c r="E3758" t="s">
        <v>83</v>
      </c>
      <c r="F3758" t="s">
        <v>83</v>
      </c>
      <c r="G3758" t="s">
        <v>7417</v>
      </c>
      <c r="H3758" t="str">
        <f t="shared" si="275"/>
        <v>94910</v>
      </c>
      <c r="I3758" t="s">
        <v>316</v>
      </c>
    </row>
    <row r="3759" spans="1:9" x14ac:dyDescent="0.3">
      <c r="A3759" t="str">
        <f>"73633747"</f>
        <v>73633747</v>
      </c>
      <c r="B3759" t="s">
        <v>7418</v>
      </c>
      <c r="C3759" t="str">
        <f t="shared" si="274"/>
        <v>722</v>
      </c>
      <c r="D3759" t="s">
        <v>315</v>
      </c>
      <c r="E3759" t="s">
        <v>23</v>
      </c>
      <c r="F3759" t="s">
        <v>23</v>
      </c>
      <c r="G3759" t="s">
        <v>4758</v>
      </c>
      <c r="H3759" t="str">
        <f t="shared" si="275"/>
        <v>94910</v>
      </c>
      <c r="I3759" t="s">
        <v>316</v>
      </c>
    </row>
    <row r="3760" spans="1:9" x14ac:dyDescent="0.3">
      <c r="A3760" t="str">
        <f>"46256521"</f>
        <v>46256521</v>
      </c>
      <c r="B3760" t="s">
        <v>7419</v>
      </c>
      <c r="C3760" t="str">
        <f t="shared" si="274"/>
        <v>722</v>
      </c>
      <c r="D3760" t="s">
        <v>315</v>
      </c>
      <c r="E3760" t="s">
        <v>52</v>
      </c>
      <c r="F3760" t="s">
        <v>1765</v>
      </c>
      <c r="G3760" t="s">
        <v>7420</v>
      </c>
      <c r="H3760" t="str">
        <f t="shared" si="275"/>
        <v>94910</v>
      </c>
      <c r="I3760" t="s">
        <v>316</v>
      </c>
    </row>
    <row r="3761" spans="1:9" x14ac:dyDescent="0.3">
      <c r="A3761" t="str">
        <f>"46998179"</f>
        <v>46998179</v>
      </c>
      <c r="B3761" t="s">
        <v>7421</v>
      </c>
      <c r="C3761" t="str">
        <f t="shared" si="274"/>
        <v>722</v>
      </c>
      <c r="D3761" t="s">
        <v>315</v>
      </c>
      <c r="E3761" t="s">
        <v>83</v>
      </c>
      <c r="F3761" t="s">
        <v>1627</v>
      </c>
      <c r="G3761" t="s">
        <v>7422</v>
      </c>
      <c r="H3761" t="str">
        <f t="shared" si="275"/>
        <v>94910</v>
      </c>
      <c r="I3761" t="s">
        <v>316</v>
      </c>
    </row>
    <row r="3762" spans="1:9" x14ac:dyDescent="0.3">
      <c r="A3762" t="str">
        <f>"48471763"</f>
        <v>48471763</v>
      </c>
      <c r="B3762" t="s">
        <v>7423</v>
      </c>
      <c r="C3762" t="str">
        <f t="shared" si="274"/>
        <v>722</v>
      </c>
      <c r="D3762" t="s">
        <v>315</v>
      </c>
      <c r="E3762" t="s">
        <v>23</v>
      </c>
      <c r="F3762" t="s">
        <v>978</v>
      </c>
      <c r="G3762" t="s">
        <v>7424</v>
      </c>
      <c r="H3762" t="str">
        <f t="shared" si="275"/>
        <v>94910</v>
      </c>
      <c r="I3762" t="s">
        <v>316</v>
      </c>
    </row>
    <row r="3763" spans="1:9" x14ac:dyDescent="0.3">
      <c r="A3763" t="str">
        <f>"48489018"</f>
        <v>48489018</v>
      </c>
      <c r="B3763" t="s">
        <v>7425</v>
      </c>
      <c r="C3763" t="str">
        <f t="shared" si="274"/>
        <v>722</v>
      </c>
      <c r="D3763" t="s">
        <v>315</v>
      </c>
      <c r="E3763" t="s">
        <v>52</v>
      </c>
      <c r="F3763" t="s">
        <v>1679</v>
      </c>
      <c r="G3763" t="s">
        <v>7426</v>
      </c>
      <c r="H3763" t="str">
        <f t="shared" si="275"/>
        <v>94910</v>
      </c>
      <c r="I3763" t="s">
        <v>316</v>
      </c>
    </row>
    <row r="3764" spans="1:9" x14ac:dyDescent="0.3">
      <c r="A3764" t="str">
        <f>"46257942"</f>
        <v>46257942</v>
      </c>
      <c r="B3764" t="s">
        <v>7427</v>
      </c>
      <c r="C3764" t="str">
        <f t="shared" si="274"/>
        <v>722</v>
      </c>
      <c r="D3764" t="s">
        <v>315</v>
      </c>
      <c r="E3764" t="s">
        <v>52</v>
      </c>
      <c r="F3764" t="s">
        <v>406</v>
      </c>
      <c r="G3764" t="s">
        <v>7428</v>
      </c>
      <c r="H3764" t="str">
        <f t="shared" si="275"/>
        <v>94910</v>
      </c>
      <c r="I3764" t="s">
        <v>316</v>
      </c>
    </row>
    <row r="3765" spans="1:9" x14ac:dyDescent="0.3">
      <c r="A3765" t="str">
        <f>"48739421"</f>
        <v>48739421</v>
      </c>
      <c r="B3765" t="s">
        <v>7429</v>
      </c>
      <c r="C3765" t="str">
        <f t="shared" si="274"/>
        <v>722</v>
      </c>
      <c r="D3765" t="s">
        <v>315</v>
      </c>
      <c r="E3765" t="s">
        <v>29</v>
      </c>
      <c r="F3765" t="s">
        <v>1874</v>
      </c>
      <c r="G3765" t="s">
        <v>7430</v>
      </c>
      <c r="H3765" t="str">
        <f t="shared" si="275"/>
        <v>94910</v>
      </c>
      <c r="I3765" t="s">
        <v>316</v>
      </c>
    </row>
    <row r="3766" spans="1:9" x14ac:dyDescent="0.3">
      <c r="A3766" t="str">
        <f>"48473642"</f>
        <v>48473642</v>
      </c>
      <c r="B3766" t="s">
        <v>7431</v>
      </c>
      <c r="C3766" t="str">
        <f t="shared" si="274"/>
        <v>722</v>
      </c>
      <c r="D3766" t="s">
        <v>315</v>
      </c>
      <c r="E3766" t="s">
        <v>23</v>
      </c>
      <c r="F3766" t="s">
        <v>1877</v>
      </c>
      <c r="G3766" t="s">
        <v>7432</v>
      </c>
      <c r="H3766" t="str">
        <f t="shared" si="275"/>
        <v>94910</v>
      </c>
      <c r="I3766" t="s">
        <v>316</v>
      </c>
    </row>
    <row r="3767" spans="1:9" x14ac:dyDescent="0.3">
      <c r="A3767" t="str">
        <f>"46256539"</f>
        <v>46256539</v>
      </c>
      <c r="B3767" t="s">
        <v>7433</v>
      </c>
      <c r="C3767" t="str">
        <f t="shared" si="274"/>
        <v>722</v>
      </c>
      <c r="D3767" t="s">
        <v>315</v>
      </c>
      <c r="E3767" t="s">
        <v>52</v>
      </c>
      <c r="F3767" t="s">
        <v>1955</v>
      </c>
      <c r="G3767" t="s">
        <v>7434</v>
      </c>
      <c r="H3767" t="str">
        <f t="shared" si="275"/>
        <v>94910</v>
      </c>
      <c r="I3767" t="s">
        <v>316</v>
      </c>
    </row>
    <row r="3768" spans="1:9" x14ac:dyDescent="0.3">
      <c r="A3768" t="str">
        <f>"18190332"</f>
        <v>18190332</v>
      </c>
      <c r="B3768" t="s">
        <v>7435</v>
      </c>
      <c r="C3768" t="str">
        <f t="shared" si="274"/>
        <v>722</v>
      </c>
      <c r="D3768" t="s">
        <v>315</v>
      </c>
      <c r="E3768" t="s">
        <v>83</v>
      </c>
      <c r="F3768" t="s">
        <v>453</v>
      </c>
      <c r="G3768" t="s">
        <v>7436</v>
      </c>
      <c r="H3768" t="str">
        <f t="shared" si="275"/>
        <v>94910</v>
      </c>
      <c r="I3768" t="s">
        <v>316</v>
      </c>
    </row>
    <row r="3769" spans="1:9" x14ac:dyDescent="0.3">
      <c r="A3769" t="str">
        <f>"46998241"</f>
        <v>46998241</v>
      </c>
      <c r="B3769" t="s">
        <v>7437</v>
      </c>
      <c r="C3769" t="str">
        <f t="shared" si="274"/>
        <v>722</v>
      </c>
      <c r="D3769" t="s">
        <v>315</v>
      </c>
      <c r="E3769" t="s">
        <v>83</v>
      </c>
      <c r="F3769" t="s">
        <v>3456</v>
      </c>
      <c r="G3769" t="s">
        <v>7438</v>
      </c>
      <c r="H3769" t="str">
        <f t="shared" si="275"/>
        <v>94910</v>
      </c>
      <c r="I3769" t="s">
        <v>316</v>
      </c>
    </row>
    <row r="3770" spans="1:9" x14ac:dyDescent="0.3">
      <c r="A3770" t="str">
        <f>"48471704"</f>
        <v>48471704</v>
      </c>
      <c r="B3770" t="s">
        <v>7439</v>
      </c>
      <c r="C3770" t="str">
        <f t="shared" si="274"/>
        <v>722</v>
      </c>
      <c r="D3770" t="s">
        <v>315</v>
      </c>
      <c r="E3770" t="s">
        <v>23</v>
      </c>
      <c r="F3770" t="s">
        <v>1880</v>
      </c>
      <c r="G3770" t="s">
        <v>7440</v>
      </c>
      <c r="H3770" t="str">
        <f t="shared" si="275"/>
        <v>94910</v>
      </c>
      <c r="I3770" t="s">
        <v>316</v>
      </c>
    </row>
    <row r="3771" spans="1:9" x14ac:dyDescent="0.3">
      <c r="A3771" t="str">
        <f>"46998268"</f>
        <v>46998268</v>
      </c>
      <c r="B3771" t="s">
        <v>7441</v>
      </c>
      <c r="C3771" t="str">
        <f t="shared" si="274"/>
        <v>722</v>
      </c>
      <c r="D3771" t="s">
        <v>315</v>
      </c>
      <c r="E3771" t="s">
        <v>83</v>
      </c>
      <c r="F3771" t="s">
        <v>873</v>
      </c>
      <c r="G3771" t="s">
        <v>7442</v>
      </c>
      <c r="H3771" t="str">
        <f t="shared" si="275"/>
        <v>94910</v>
      </c>
      <c r="I3771" t="s">
        <v>316</v>
      </c>
    </row>
    <row r="3772" spans="1:9" x14ac:dyDescent="0.3">
      <c r="A3772" t="str">
        <f>"48739405"</f>
        <v>48739405</v>
      </c>
      <c r="B3772" t="s">
        <v>7443</v>
      </c>
      <c r="C3772" t="str">
        <f t="shared" si="274"/>
        <v>722</v>
      </c>
      <c r="D3772" t="s">
        <v>315</v>
      </c>
      <c r="E3772" t="s">
        <v>29</v>
      </c>
      <c r="F3772" t="s">
        <v>1445</v>
      </c>
      <c r="G3772" t="s">
        <v>7444</v>
      </c>
      <c r="H3772" t="str">
        <f t="shared" si="275"/>
        <v>94910</v>
      </c>
      <c r="I3772" t="s">
        <v>316</v>
      </c>
    </row>
    <row r="3773" spans="1:9" x14ac:dyDescent="0.3">
      <c r="A3773" t="str">
        <f>"47930411"</f>
        <v>47930411</v>
      </c>
      <c r="B3773" t="s">
        <v>7445</v>
      </c>
      <c r="C3773" t="str">
        <f t="shared" si="274"/>
        <v>722</v>
      </c>
      <c r="D3773" t="s">
        <v>315</v>
      </c>
      <c r="E3773" t="s">
        <v>83</v>
      </c>
      <c r="F3773" t="s">
        <v>473</v>
      </c>
      <c r="G3773" t="s">
        <v>7446</v>
      </c>
      <c r="H3773" t="str">
        <f t="shared" si="275"/>
        <v>94910</v>
      </c>
      <c r="I3773" t="s">
        <v>316</v>
      </c>
    </row>
    <row r="3774" spans="1:9" x14ac:dyDescent="0.3">
      <c r="A3774" t="str">
        <f>"46998195"</f>
        <v>46998195</v>
      </c>
      <c r="B3774" t="s">
        <v>7447</v>
      </c>
      <c r="C3774" t="str">
        <f t="shared" si="274"/>
        <v>722</v>
      </c>
      <c r="D3774" t="s">
        <v>315</v>
      </c>
      <c r="E3774" t="s">
        <v>83</v>
      </c>
      <c r="F3774" t="s">
        <v>200</v>
      </c>
      <c r="G3774" t="s">
        <v>7448</v>
      </c>
      <c r="H3774" t="str">
        <f t="shared" si="275"/>
        <v>94910</v>
      </c>
      <c r="I3774" t="s">
        <v>316</v>
      </c>
    </row>
    <row r="3775" spans="1:9" x14ac:dyDescent="0.3">
      <c r="A3775" t="str">
        <f>"46998225"</f>
        <v>46998225</v>
      </c>
      <c r="B3775" t="s">
        <v>7449</v>
      </c>
      <c r="C3775" t="str">
        <f t="shared" si="274"/>
        <v>722</v>
      </c>
      <c r="D3775" t="s">
        <v>315</v>
      </c>
      <c r="E3775" t="s">
        <v>83</v>
      </c>
      <c r="F3775" t="s">
        <v>1055</v>
      </c>
      <c r="G3775" t="s">
        <v>7450</v>
      </c>
      <c r="H3775" t="str">
        <f t="shared" si="275"/>
        <v>94910</v>
      </c>
      <c r="I3775" t="s">
        <v>316</v>
      </c>
    </row>
    <row r="3776" spans="1:9" x14ac:dyDescent="0.3">
      <c r="A3776" t="str">
        <f>"47997796"</f>
        <v>47997796</v>
      </c>
      <c r="B3776" t="s">
        <v>7451</v>
      </c>
      <c r="C3776" t="str">
        <f t="shared" si="274"/>
        <v>722</v>
      </c>
      <c r="D3776" t="s">
        <v>315</v>
      </c>
      <c r="E3776" t="s">
        <v>29</v>
      </c>
      <c r="F3776" t="s">
        <v>38</v>
      </c>
      <c r="G3776" t="s">
        <v>7452</v>
      </c>
      <c r="H3776" t="str">
        <f t="shared" si="275"/>
        <v>94910</v>
      </c>
      <c r="I3776" t="s">
        <v>316</v>
      </c>
    </row>
    <row r="3777" spans="1:9" x14ac:dyDescent="0.3">
      <c r="A3777" t="str">
        <f>"46256547"</f>
        <v>46256547</v>
      </c>
      <c r="B3777" t="s">
        <v>7453</v>
      </c>
      <c r="C3777" t="str">
        <f t="shared" si="274"/>
        <v>722</v>
      </c>
      <c r="D3777" t="s">
        <v>315</v>
      </c>
      <c r="E3777" t="s">
        <v>52</v>
      </c>
      <c r="F3777" t="s">
        <v>5296</v>
      </c>
      <c r="G3777" t="s">
        <v>7454</v>
      </c>
      <c r="H3777" t="str">
        <f t="shared" si="275"/>
        <v>94910</v>
      </c>
      <c r="I3777" t="s">
        <v>316</v>
      </c>
    </row>
    <row r="3778" spans="1:9" x14ac:dyDescent="0.3">
      <c r="A3778" t="str">
        <f>"47930250"</f>
        <v>47930250</v>
      </c>
      <c r="B3778" t="s">
        <v>7455</v>
      </c>
      <c r="C3778" t="str">
        <f t="shared" si="274"/>
        <v>722</v>
      </c>
      <c r="D3778" t="s">
        <v>315</v>
      </c>
      <c r="E3778" t="s">
        <v>83</v>
      </c>
      <c r="F3778" t="s">
        <v>227</v>
      </c>
      <c r="G3778" t="s">
        <v>7456</v>
      </c>
      <c r="H3778" t="str">
        <f t="shared" si="275"/>
        <v>94910</v>
      </c>
      <c r="I3778" t="s">
        <v>316</v>
      </c>
    </row>
    <row r="3779" spans="1:9" x14ac:dyDescent="0.3">
      <c r="A3779" t="str">
        <f>"48739413"</f>
        <v>48739413</v>
      </c>
      <c r="B3779" t="s">
        <v>7457</v>
      </c>
      <c r="C3779" t="str">
        <f t="shared" si="274"/>
        <v>722</v>
      </c>
      <c r="D3779" t="s">
        <v>315</v>
      </c>
      <c r="E3779" t="s">
        <v>29</v>
      </c>
      <c r="F3779" t="s">
        <v>2532</v>
      </c>
      <c r="G3779" t="s">
        <v>7458</v>
      </c>
      <c r="H3779" t="str">
        <f t="shared" si="275"/>
        <v>94910</v>
      </c>
      <c r="I3779" t="s">
        <v>316</v>
      </c>
    </row>
    <row r="3780" spans="1:9" x14ac:dyDescent="0.3">
      <c r="A3780" t="str">
        <f>"46998454"</f>
        <v>46998454</v>
      </c>
      <c r="B3780" t="s">
        <v>7459</v>
      </c>
      <c r="C3780" t="str">
        <f t="shared" si="274"/>
        <v>722</v>
      </c>
      <c r="D3780" t="s">
        <v>315</v>
      </c>
      <c r="E3780" t="s">
        <v>83</v>
      </c>
      <c r="F3780" t="s">
        <v>1545</v>
      </c>
      <c r="G3780" t="s">
        <v>7460</v>
      </c>
      <c r="H3780" t="str">
        <f t="shared" si="275"/>
        <v>94910</v>
      </c>
      <c r="I3780" t="s">
        <v>316</v>
      </c>
    </row>
    <row r="3781" spans="1:9" x14ac:dyDescent="0.3">
      <c r="A3781" t="str">
        <f>"48473626"</f>
        <v>48473626</v>
      </c>
      <c r="B3781" t="s">
        <v>7461</v>
      </c>
      <c r="C3781" t="str">
        <f t="shared" si="274"/>
        <v>722</v>
      </c>
      <c r="D3781" t="s">
        <v>315</v>
      </c>
      <c r="E3781" t="s">
        <v>23</v>
      </c>
      <c r="F3781" t="s">
        <v>350</v>
      </c>
      <c r="G3781" t="s">
        <v>7462</v>
      </c>
      <c r="H3781" t="str">
        <f t="shared" si="275"/>
        <v>94910</v>
      </c>
      <c r="I3781" t="s">
        <v>316</v>
      </c>
    </row>
    <row r="3782" spans="1:9" x14ac:dyDescent="0.3">
      <c r="A3782" t="str">
        <f>"00558389"</f>
        <v>00558389</v>
      </c>
      <c r="B3782" t="s">
        <v>7463</v>
      </c>
      <c r="C3782" t="str">
        <f t="shared" si="274"/>
        <v>722</v>
      </c>
      <c r="D3782" t="s">
        <v>315</v>
      </c>
      <c r="E3782" t="s">
        <v>23</v>
      </c>
      <c r="F3782" t="s">
        <v>459</v>
      </c>
      <c r="G3782" t="s">
        <v>1046</v>
      </c>
      <c r="H3782" t="str">
        <f t="shared" si="275"/>
        <v>94910</v>
      </c>
      <c r="I3782" t="s">
        <v>316</v>
      </c>
    </row>
    <row r="3783" spans="1:9" x14ac:dyDescent="0.3">
      <c r="A3783" t="str">
        <f>"48471771"</f>
        <v>48471771</v>
      </c>
      <c r="B3783" t="s">
        <v>7464</v>
      </c>
      <c r="C3783" t="str">
        <f t="shared" si="274"/>
        <v>722</v>
      </c>
      <c r="D3783" t="s">
        <v>315</v>
      </c>
      <c r="E3783" t="s">
        <v>23</v>
      </c>
      <c r="F3783" t="s">
        <v>721</v>
      </c>
      <c r="G3783" t="s">
        <v>7465</v>
      </c>
      <c r="H3783" t="str">
        <f t="shared" si="275"/>
        <v>94910</v>
      </c>
      <c r="I3783" t="s">
        <v>316</v>
      </c>
    </row>
    <row r="3784" spans="1:9" x14ac:dyDescent="0.3">
      <c r="A3784" t="str">
        <f>"46257934"</f>
        <v>46257934</v>
      </c>
      <c r="B3784" t="s">
        <v>7466</v>
      </c>
      <c r="C3784" t="str">
        <f t="shared" si="274"/>
        <v>722</v>
      </c>
      <c r="D3784" t="s">
        <v>315</v>
      </c>
      <c r="E3784" t="s">
        <v>52</v>
      </c>
      <c r="F3784" t="s">
        <v>379</v>
      </c>
      <c r="G3784" t="s">
        <v>7467</v>
      </c>
      <c r="H3784" t="str">
        <f t="shared" si="275"/>
        <v>94910</v>
      </c>
      <c r="I3784" t="s">
        <v>316</v>
      </c>
    </row>
    <row r="3785" spans="1:9" x14ac:dyDescent="0.3">
      <c r="A3785" t="str">
        <f>"46256563"</f>
        <v>46256563</v>
      </c>
      <c r="B3785" t="s">
        <v>7468</v>
      </c>
      <c r="C3785" t="str">
        <f t="shared" si="274"/>
        <v>722</v>
      </c>
      <c r="D3785" t="s">
        <v>315</v>
      </c>
      <c r="E3785" t="s">
        <v>52</v>
      </c>
      <c r="F3785" t="s">
        <v>1894</v>
      </c>
      <c r="G3785" t="s">
        <v>7469</v>
      </c>
      <c r="H3785" t="str">
        <f t="shared" si="275"/>
        <v>94910</v>
      </c>
      <c r="I3785" t="s">
        <v>316</v>
      </c>
    </row>
    <row r="3786" spans="1:9" x14ac:dyDescent="0.3">
      <c r="A3786" t="str">
        <f>"46256571"</f>
        <v>46256571</v>
      </c>
      <c r="B3786" t="s">
        <v>7470</v>
      </c>
      <c r="C3786" t="str">
        <f t="shared" si="274"/>
        <v>722</v>
      </c>
      <c r="D3786" t="s">
        <v>315</v>
      </c>
      <c r="E3786" t="s">
        <v>52</v>
      </c>
      <c r="F3786" t="s">
        <v>864</v>
      </c>
      <c r="G3786" t="s">
        <v>7471</v>
      </c>
      <c r="H3786" t="str">
        <f t="shared" si="275"/>
        <v>94910</v>
      </c>
      <c r="I3786" t="s">
        <v>316</v>
      </c>
    </row>
    <row r="3787" spans="1:9" x14ac:dyDescent="0.3">
      <c r="A3787" t="str">
        <f>"46257853"</f>
        <v>46257853</v>
      </c>
      <c r="B3787" t="s">
        <v>7472</v>
      </c>
      <c r="C3787" t="str">
        <f t="shared" si="274"/>
        <v>722</v>
      </c>
      <c r="D3787" t="s">
        <v>315</v>
      </c>
      <c r="E3787" t="s">
        <v>52</v>
      </c>
      <c r="F3787" t="s">
        <v>5507</v>
      </c>
      <c r="G3787" t="s">
        <v>7473</v>
      </c>
      <c r="H3787" t="str">
        <f t="shared" si="275"/>
        <v>94910</v>
      </c>
      <c r="I3787" t="s">
        <v>316</v>
      </c>
    </row>
    <row r="3788" spans="1:9" x14ac:dyDescent="0.3">
      <c r="A3788" t="str">
        <f>"46998411"</f>
        <v>46998411</v>
      </c>
      <c r="B3788" t="s">
        <v>7474</v>
      </c>
      <c r="C3788" t="str">
        <f t="shared" si="274"/>
        <v>722</v>
      </c>
      <c r="D3788" t="s">
        <v>315</v>
      </c>
      <c r="E3788" t="s">
        <v>83</v>
      </c>
      <c r="F3788" t="s">
        <v>1718</v>
      </c>
      <c r="G3788" t="s">
        <v>7475</v>
      </c>
      <c r="H3788" t="str">
        <f t="shared" si="275"/>
        <v>94910</v>
      </c>
      <c r="I3788" t="s">
        <v>316</v>
      </c>
    </row>
    <row r="3789" spans="1:9" x14ac:dyDescent="0.3">
      <c r="A3789" t="str">
        <f>"40995356"</f>
        <v>40995356</v>
      </c>
      <c r="B3789" t="s">
        <v>7476</v>
      </c>
      <c r="C3789" t="str">
        <f t="shared" si="274"/>
        <v>722</v>
      </c>
      <c r="D3789" t="s">
        <v>315</v>
      </c>
      <c r="E3789" t="s">
        <v>23</v>
      </c>
      <c r="F3789" t="s">
        <v>23</v>
      </c>
      <c r="G3789" t="s">
        <v>7206</v>
      </c>
      <c r="H3789" t="str">
        <f t="shared" si="275"/>
        <v>94910</v>
      </c>
      <c r="I3789" t="s">
        <v>316</v>
      </c>
    </row>
    <row r="3790" spans="1:9" x14ac:dyDescent="0.3">
      <c r="A3790" t="str">
        <f>"65268831"</f>
        <v>65268831</v>
      </c>
      <c r="B3790" t="s">
        <v>7477</v>
      </c>
      <c r="C3790" t="str">
        <f t="shared" si="274"/>
        <v>722</v>
      </c>
      <c r="D3790" t="s">
        <v>315</v>
      </c>
      <c r="E3790" t="s">
        <v>83</v>
      </c>
      <c r="F3790" t="s">
        <v>83</v>
      </c>
      <c r="G3790" t="s">
        <v>4135</v>
      </c>
      <c r="H3790" t="str">
        <f t="shared" si="275"/>
        <v>94910</v>
      </c>
      <c r="I3790" t="s">
        <v>316</v>
      </c>
    </row>
    <row r="3791" spans="1:9" x14ac:dyDescent="0.3">
      <c r="A3791" t="str">
        <f>"48471712"</f>
        <v>48471712</v>
      </c>
      <c r="B3791" t="s">
        <v>7478</v>
      </c>
      <c r="C3791" t="str">
        <f t="shared" si="274"/>
        <v>722</v>
      </c>
      <c r="D3791" t="s">
        <v>315</v>
      </c>
      <c r="E3791" t="s">
        <v>23</v>
      </c>
      <c r="F3791" t="s">
        <v>23</v>
      </c>
      <c r="G3791" t="s">
        <v>7479</v>
      </c>
      <c r="H3791" t="str">
        <f t="shared" si="275"/>
        <v>94910</v>
      </c>
      <c r="I3791" t="s">
        <v>316</v>
      </c>
    </row>
    <row r="3792" spans="1:9" x14ac:dyDescent="0.3">
      <c r="A3792" t="str">
        <f>"67026460"</f>
        <v>67026460</v>
      </c>
      <c r="B3792" t="s">
        <v>7480</v>
      </c>
      <c r="C3792" t="str">
        <f t="shared" si="274"/>
        <v>722</v>
      </c>
      <c r="D3792" t="s">
        <v>315</v>
      </c>
      <c r="E3792" t="s">
        <v>23</v>
      </c>
      <c r="F3792" t="s">
        <v>296</v>
      </c>
      <c r="G3792" t="s">
        <v>7481</v>
      </c>
      <c r="H3792" t="str">
        <f t="shared" si="275"/>
        <v>94910</v>
      </c>
      <c r="I3792" t="s">
        <v>316</v>
      </c>
    </row>
    <row r="3793" spans="1:9" x14ac:dyDescent="0.3">
      <c r="A3793" t="str">
        <f>"46256580"</f>
        <v>46256580</v>
      </c>
      <c r="B3793" t="s">
        <v>7482</v>
      </c>
      <c r="C3793" t="str">
        <f t="shared" si="274"/>
        <v>722</v>
      </c>
      <c r="D3793" t="s">
        <v>315</v>
      </c>
      <c r="E3793" t="s">
        <v>52</v>
      </c>
      <c r="F3793" t="s">
        <v>796</v>
      </c>
      <c r="G3793" t="s">
        <v>7483</v>
      </c>
      <c r="H3793" t="str">
        <f t="shared" si="275"/>
        <v>94910</v>
      </c>
      <c r="I3793" t="s">
        <v>316</v>
      </c>
    </row>
    <row r="3794" spans="1:9" x14ac:dyDescent="0.3">
      <c r="A3794" t="str">
        <f>"46998349"</f>
        <v>46998349</v>
      </c>
      <c r="B3794" t="s">
        <v>7484</v>
      </c>
      <c r="C3794" t="str">
        <f t="shared" si="274"/>
        <v>722</v>
      </c>
      <c r="D3794" t="s">
        <v>315</v>
      </c>
      <c r="E3794" t="s">
        <v>83</v>
      </c>
      <c r="F3794" t="s">
        <v>83</v>
      </c>
      <c r="G3794" t="s">
        <v>7485</v>
      </c>
      <c r="H3794" t="str">
        <f t="shared" si="275"/>
        <v>94910</v>
      </c>
      <c r="I3794" t="s">
        <v>316</v>
      </c>
    </row>
    <row r="3795" spans="1:9" x14ac:dyDescent="0.3">
      <c r="A3795" t="str">
        <f>"46308831"</f>
        <v>46308831</v>
      </c>
      <c r="B3795" t="s">
        <v>7486</v>
      </c>
      <c r="C3795" t="str">
        <f t="shared" si="274"/>
        <v>722</v>
      </c>
      <c r="D3795" t="s">
        <v>315</v>
      </c>
      <c r="E3795" t="s">
        <v>23</v>
      </c>
      <c r="F3795" t="s">
        <v>695</v>
      </c>
      <c r="G3795" t="s">
        <v>7487</v>
      </c>
      <c r="H3795" t="str">
        <f t="shared" si="275"/>
        <v>94910</v>
      </c>
      <c r="I3795" t="s">
        <v>316</v>
      </c>
    </row>
    <row r="3796" spans="1:9" x14ac:dyDescent="0.3">
      <c r="A3796" t="str">
        <f>"48471089"</f>
        <v>48471089</v>
      </c>
      <c r="B3796" t="s">
        <v>7488</v>
      </c>
      <c r="C3796" t="str">
        <f t="shared" si="274"/>
        <v>722</v>
      </c>
      <c r="D3796" t="s">
        <v>315</v>
      </c>
      <c r="E3796" t="s">
        <v>23</v>
      </c>
      <c r="F3796" t="s">
        <v>190</v>
      </c>
      <c r="G3796" t="s">
        <v>7489</v>
      </c>
      <c r="H3796" t="str">
        <f t="shared" si="275"/>
        <v>94910</v>
      </c>
      <c r="I3796" t="s">
        <v>316</v>
      </c>
    </row>
    <row r="3797" spans="1:9" x14ac:dyDescent="0.3">
      <c r="A3797" t="str">
        <f>"46998446"</f>
        <v>46998446</v>
      </c>
      <c r="B3797" t="s">
        <v>7490</v>
      </c>
      <c r="C3797" t="str">
        <f t="shared" si="274"/>
        <v>722</v>
      </c>
      <c r="D3797" t="s">
        <v>315</v>
      </c>
      <c r="E3797" t="s">
        <v>83</v>
      </c>
      <c r="F3797" t="s">
        <v>2748</v>
      </c>
      <c r="G3797" t="s">
        <v>7491</v>
      </c>
      <c r="H3797" t="str">
        <f t="shared" si="275"/>
        <v>94910</v>
      </c>
      <c r="I3797" t="s">
        <v>316</v>
      </c>
    </row>
    <row r="3798" spans="1:9" x14ac:dyDescent="0.3">
      <c r="A3798" t="str">
        <f>"46257918"</f>
        <v>46257918</v>
      </c>
      <c r="B3798" t="s">
        <v>7492</v>
      </c>
      <c r="C3798" t="str">
        <f t="shared" si="274"/>
        <v>722</v>
      </c>
      <c r="D3798" t="s">
        <v>315</v>
      </c>
      <c r="E3798" t="s">
        <v>52</v>
      </c>
      <c r="F3798" t="s">
        <v>52</v>
      </c>
      <c r="G3798" t="s">
        <v>1102</v>
      </c>
      <c r="H3798" t="str">
        <f t="shared" si="275"/>
        <v>94910</v>
      </c>
      <c r="I3798" t="s">
        <v>316</v>
      </c>
    </row>
    <row r="3799" spans="1:9" x14ac:dyDescent="0.3">
      <c r="A3799" t="str">
        <f>"48489034"</f>
        <v>48489034</v>
      </c>
      <c r="B3799" t="s">
        <v>7493</v>
      </c>
      <c r="C3799" t="str">
        <f t="shared" si="274"/>
        <v>722</v>
      </c>
      <c r="D3799" t="s">
        <v>315</v>
      </c>
      <c r="E3799" t="s">
        <v>52</v>
      </c>
      <c r="F3799" t="s">
        <v>52</v>
      </c>
      <c r="G3799" t="s">
        <v>7494</v>
      </c>
      <c r="H3799" t="str">
        <f t="shared" si="275"/>
        <v>94910</v>
      </c>
      <c r="I3799" t="s">
        <v>316</v>
      </c>
    </row>
    <row r="3800" spans="1:9" x14ac:dyDescent="0.3">
      <c r="A3800" t="str">
        <f>"46256598"</f>
        <v>46256598</v>
      </c>
      <c r="B3800" t="s">
        <v>7495</v>
      </c>
      <c r="C3800" t="str">
        <f t="shared" si="274"/>
        <v>722</v>
      </c>
      <c r="D3800" t="s">
        <v>315</v>
      </c>
      <c r="E3800" t="s">
        <v>52</v>
      </c>
      <c r="F3800" t="s">
        <v>113</v>
      </c>
      <c r="G3800" t="s">
        <v>1104</v>
      </c>
      <c r="H3800" t="str">
        <f t="shared" si="275"/>
        <v>94910</v>
      </c>
      <c r="I3800" t="s">
        <v>316</v>
      </c>
    </row>
    <row r="3801" spans="1:9" x14ac:dyDescent="0.3">
      <c r="A3801" t="str">
        <f>"46256601"</f>
        <v>46256601</v>
      </c>
      <c r="B3801" t="s">
        <v>7496</v>
      </c>
      <c r="C3801" t="str">
        <f t="shared" si="274"/>
        <v>722</v>
      </c>
      <c r="D3801" t="s">
        <v>315</v>
      </c>
      <c r="E3801" t="s">
        <v>52</v>
      </c>
      <c r="F3801" t="s">
        <v>113</v>
      </c>
      <c r="G3801" t="s">
        <v>7497</v>
      </c>
      <c r="H3801" t="str">
        <f t="shared" si="275"/>
        <v>94910</v>
      </c>
      <c r="I3801" t="s">
        <v>316</v>
      </c>
    </row>
    <row r="3802" spans="1:9" x14ac:dyDescent="0.3">
      <c r="A3802" t="str">
        <f>"46257993"</f>
        <v>46257993</v>
      </c>
      <c r="B3802" t="s">
        <v>7498</v>
      </c>
      <c r="C3802" t="str">
        <f t="shared" si="274"/>
        <v>722</v>
      </c>
      <c r="D3802" t="s">
        <v>315</v>
      </c>
      <c r="E3802" t="s">
        <v>52</v>
      </c>
      <c r="F3802" t="s">
        <v>94</v>
      </c>
      <c r="G3802" t="s">
        <v>7499</v>
      </c>
      <c r="H3802" t="str">
        <f t="shared" si="275"/>
        <v>94910</v>
      </c>
      <c r="I3802" t="s">
        <v>316</v>
      </c>
    </row>
    <row r="3803" spans="1:9" x14ac:dyDescent="0.3">
      <c r="A3803" t="str">
        <f>"46308385"</f>
        <v>46308385</v>
      </c>
      <c r="B3803" t="s">
        <v>7500</v>
      </c>
      <c r="C3803" t="str">
        <f t="shared" si="274"/>
        <v>722</v>
      </c>
      <c r="D3803" t="s">
        <v>315</v>
      </c>
      <c r="E3803" t="s">
        <v>23</v>
      </c>
      <c r="F3803" t="s">
        <v>1917</v>
      </c>
      <c r="G3803" t="s">
        <v>1918</v>
      </c>
      <c r="H3803" t="str">
        <f t="shared" si="275"/>
        <v>94910</v>
      </c>
      <c r="I3803" t="s">
        <v>316</v>
      </c>
    </row>
    <row r="3804" spans="1:9" x14ac:dyDescent="0.3">
      <c r="A3804" t="str">
        <f>"48739693"</f>
        <v>48739693</v>
      </c>
      <c r="B3804" t="s">
        <v>7501</v>
      </c>
      <c r="C3804" t="str">
        <f t="shared" si="274"/>
        <v>722</v>
      </c>
      <c r="D3804" t="s">
        <v>315</v>
      </c>
      <c r="E3804" t="s">
        <v>29</v>
      </c>
      <c r="F3804" t="s">
        <v>138</v>
      </c>
      <c r="G3804" t="s">
        <v>7502</v>
      </c>
      <c r="H3804" t="str">
        <f t="shared" si="275"/>
        <v>94910</v>
      </c>
      <c r="I3804" t="s">
        <v>316</v>
      </c>
    </row>
    <row r="3805" spans="1:9" x14ac:dyDescent="0.3">
      <c r="A3805" t="str">
        <f>"48739456"</f>
        <v>48739456</v>
      </c>
      <c r="B3805" t="s">
        <v>7503</v>
      </c>
      <c r="C3805" t="str">
        <f t="shared" ref="C3805:C3831" si="276">"722"</f>
        <v>722</v>
      </c>
      <c r="D3805" t="s">
        <v>315</v>
      </c>
      <c r="E3805" t="s">
        <v>29</v>
      </c>
      <c r="F3805" t="s">
        <v>1922</v>
      </c>
      <c r="G3805" t="s">
        <v>7504</v>
      </c>
      <c r="H3805" t="str">
        <f t="shared" ref="H3805:H3831" si="277">"94910"</f>
        <v>94910</v>
      </c>
      <c r="I3805" t="s">
        <v>316</v>
      </c>
    </row>
    <row r="3806" spans="1:9" x14ac:dyDescent="0.3">
      <c r="A3806" t="str">
        <f>"48473634"</f>
        <v>48473634</v>
      </c>
      <c r="B3806" t="s">
        <v>7505</v>
      </c>
      <c r="C3806" t="str">
        <f t="shared" si="276"/>
        <v>722</v>
      </c>
      <c r="D3806" t="s">
        <v>315</v>
      </c>
      <c r="E3806" t="s">
        <v>23</v>
      </c>
      <c r="F3806" t="s">
        <v>107</v>
      </c>
      <c r="G3806" t="s">
        <v>7506</v>
      </c>
      <c r="H3806" t="str">
        <f t="shared" si="277"/>
        <v>94910</v>
      </c>
      <c r="I3806" t="s">
        <v>316</v>
      </c>
    </row>
    <row r="3807" spans="1:9" x14ac:dyDescent="0.3">
      <c r="A3807" t="str">
        <f>"48739677"</f>
        <v>48739677</v>
      </c>
      <c r="B3807" t="s">
        <v>7507</v>
      </c>
      <c r="C3807" t="str">
        <f t="shared" si="276"/>
        <v>722</v>
      </c>
      <c r="D3807" t="s">
        <v>315</v>
      </c>
      <c r="E3807" t="s">
        <v>29</v>
      </c>
      <c r="F3807" t="s">
        <v>195</v>
      </c>
      <c r="G3807" t="s">
        <v>2090</v>
      </c>
      <c r="H3807" t="str">
        <f t="shared" si="277"/>
        <v>94910</v>
      </c>
      <c r="I3807" t="s">
        <v>316</v>
      </c>
    </row>
    <row r="3808" spans="1:9" x14ac:dyDescent="0.3">
      <c r="A3808" t="str">
        <f>"46956484"</f>
        <v>46956484</v>
      </c>
      <c r="B3808" t="s">
        <v>7508</v>
      </c>
      <c r="C3808" t="str">
        <f t="shared" si="276"/>
        <v>722</v>
      </c>
      <c r="D3808" t="s">
        <v>315</v>
      </c>
      <c r="E3808" t="s">
        <v>52</v>
      </c>
      <c r="F3808" t="s">
        <v>362</v>
      </c>
      <c r="G3808" t="s">
        <v>7509</v>
      </c>
      <c r="H3808" t="str">
        <f t="shared" si="277"/>
        <v>94910</v>
      </c>
      <c r="I3808" t="s">
        <v>316</v>
      </c>
    </row>
    <row r="3809" spans="1:9" x14ac:dyDescent="0.3">
      <c r="A3809" t="str">
        <f>"48739511"</f>
        <v>48739511</v>
      </c>
      <c r="B3809" t="s">
        <v>7510</v>
      </c>
      <c r="C3809" t="str">
        <f t="shared" si="276"/>
        <v>722</v>
      </c>
      <c r="D3809" t="s">
        <v>315</v>
      </c>
      <c r="E3809" t="s">
        <v>29</v>
      </c>
      <c r="F3809" t="s">
        <v>1266</v>
      </c>
      <c r="G3809" t="s">
        <v>7511</v>
      </c>
      <c r="H3809" t="str">
        <f t="shared" si="277"/>
        <v>94910</v>
      </c>
      <c r="I3809" t="s">
        <v>316</v>
      </c>
    </row>
    <row r="3810" spans="1:9" x14ac:dyDescent="0.3">
      <c r="A3810" t="str">
        <f>"48471721"</f>
        <v>48471721</v>
      </c>
      <c r="B3810" t="s">
        <v>7512</v>
      </c>
      <c r="C3810" t="str">
        <f t="shared" si="276"/>
        <v>722</v>
      </c>
      <c r="D3810" t="s">
        <v>315</v>
      </c>
      <c r="E3810" t="s">
        <v>23</v>
      </c>
      <c r="F3810" t="s">
        <v>1697</v>
      </c>
      <c r="G3810" t="s">
        <v>7513</v>
      </c>
      <c r="H3810" t="str">
        <f t="shared" si="277"/>
        <v>94910</v>
      </c>
      <c r="I3810" t="s">
        <v>316</v>
      </c>
    </row>
    <row r="3811" spans="1:9" x14ac:dyDescent="0.3">
      <c r="A3811" t="str">
        <f>"48739651"</f>
        <v>48739651</v>
      </c>
      <c r="B3811" t="s">
        <v>7514</v>
      </c>
      <c r="C3811" t="str">
        <f t="shared" si="276"/>
        <v>722</v>
      </c>
      <c r="D3811" t="s">
        <v>315</v>
      </c>
      <c r="E3811" t="s">
        <v>29</v>
      </c>
      <c r="F3811" t="s">
        <v>852</v>
      </c>
      <c r="G3811" t="s">
        <v>7515</v>
      </c>
      <c r="H3811" t="str">
        <f t="shared" si="277"/>
        <v>94910</v>
      </c>
      <c r="I3811" t="s">
        <v>316</v>
      </c>
    </row>
    <row r="3812" spans="1:9" x14ac:dyDescent="0.3">
      <c r="A3812" t="str">
        <f>"48739731"</f>
        <v>48739731</v>
      </c>
      <c r="B3812" t="s">
        <v>7516</v>
      </c>
      <c r="C3812" t="str">
        <f t="shared" si="276"/>
        <v>722</v>
      </c>
      <c r="D3812" t="s">
        <v>315</v>
      </c>
      <c r="E3812" t="s">
        <v>29</v>
      </c>
      <c r="F3812" t="s">
        <v>1590</v>
      </c>
      <c r="G3812" t="s">
        <v>7517</v>
      </c>
      <c r="H3812" t="str">
        <f t="shared" si="277"/>
        <v>94910</v>
      </c>
      <c r="I3812" t="s">
        <v>316</v>
      </c>
    </row>
    <row r="3813" spans="1:9" x14ac:dyDescent="0.3">
      <c r="A3813" t="str">
        <f>"47930454"</f>
        <v>47930454</v>
      </c>
      <c r="B3813" t="s">
        <v>7518</v>
      </c>
      <c r="C3813" t="str">
        <f t="shared" si="276"/>
        <v>722</v>
      </c>
      <c r="D3813" t="s">
        <v>315</v>
      </c>
      <c r="E3813" t="s">
        <v>83</v>
      </c>
      <c r="F3813" t="s">
        <v>4976</v>
      </c>
      <c r="G3813" t="s">
        <v>7519</v>
      </c>
      <c r="H3813" t="str">
        <f t="shared" si="277"/>
        <v>94910</v>
      </c>
      <c r="I3813" t="s">
        <v>316</v>
      </c>
    </row>
    <row r="3814" spans="1:9" x14ac:dyDescent="0.3">
      <c r="A3814" t="str">
        <f>"46307851"</f>
        <v>46307851</v>
      </c>
      <c r="B3814" t="s">
        <v>7520</v>
      </c>
      <c r="C3814" t="str">
        <f t="shared" si="276"/>
        <v>722</v>
      </c>
      <c r="D3814" t="s">
        <v>315</v>
      </c>
      <c r="E3814" t="s">
        <v>23</v>
      </c>
      <c r="F3814" t="s">
        <v>68</v>
      </c>
      <c r="G3814" t="s">
        <v>1110</v>
      </c>
      <c r="H3814" t="str">
        <f t="shared" si="277"/>
        <v>94910</v>
      </c>
      <c r="I3814" t="s">
        <v>316</v>
      </c>
    </row>
    <row r="3815" spans="1:9" x14ac:dyDescent="0.3">
      <c r="A3815" t="str">
        <f>"62181416"</f>
        <v>62181416</v>
      </c>
      <c r="B3815" t="s">
        <v>7521</v>
      </c>
      <c r="C3815" t="str">
        <f t="shared" si="276"/>
        <v>722</v>
      </c>
      <c r="D3815" t="s">
        <v>315</v>
      </c>
      <c r="E3815" t="s">
        <v>23</v>
      </c>
      <c r="F3815" t="s">
        <v>1935</v>
      </c>
      <c r="G3815" t="s">
        <v>7522</v>
      </c>
      <c r="H3815" t="str">
        <f t="shared" si="277"/>
        <v>94910</v>
      </c>
      <c r="I3815" t="s">
        <v>316</v>
      </c>
    </row>
    <row r="3816" spans="1:9" x14ac:dyDescent="0.3">
      <c r="A3816" t="str">
        <f>"46256610"</f>
        <v>46256610</v>
      </c>
      <c r="B3816" t="s">
        <v>7523</v>
      </c>
      <c r="C3816" t="str">
        <f t="shared" si="276"/>
        <v>722</v>
      </c>
      <c r="D3816" t="s">
        <v>315</v>
      </c>
      <c r="E3816" t="s">
        <v>52</v>
      </c>
      <c r="F3816" t="s">
        <v>951</v>
      </c>
      <c r="G3816" t="s">
        <v>7524</v>
      </c>
      <c r="H3816" t="str">
        <f t="shared" si="277"/>
        <v>94910</v>
      </c>
      <c r="I3816" t="s">
        <v>316</v>
      </c>
    </row>
    <row r="3817" spans="1:9" x14ac:dyDescent="0.3">
      <c r="A3817" t="str">
        <f>"48739341"</f>
        <v>48739341</v>
      </c>
      <c r="B3817" t="s">
        <v>7525</v>
      </c>
      <c r="C3817" t="str">
        <f t="shared" si="276"/>
        <v>722</v>
      </c>
      <c r="D3817" t="s">
        <v>315</v>
      </c>
      <c r="E3817" t="s">
        <v>29</v>
      </c>
      <c r="F3817" t="s">
        <v>29</v>
      </c>
      <c r="G3817" t="s">
        <v>1099</v>
      </c>
      <c r="H3817" t="str">
        <f t="shared" si="277"/>
        <v>94910</v>
      </c>
      <c r="I3817" t="s">
        <v>316</v>
      </c>
    </row>
    <row r="3818" spans="1:9" x14ac:dyDescent="0.3">
      <c r="A3818" t="str">
        <f>"46311394"</f>
        <v>46311394</v>
      </c>
      <c r="B3818" t="s">
        <v>7526</v>
      </c>
      <c r="C3818" t="str">
        <f t="shared" si="276"/>
        <v>722</v>
      </c>
      <c r="D3818" t="s">
        <v>315</v>
      </c>
      <c r="E3818" t="s">
        <v>23</v>
      </c>
      <c r="F3818" t="s">
        <v>710</v>
      </c>
      <c r="G3818" t="s">
        <v>7527</v>
      </c>
      <c r="H3818" t="str">
        <f t="shared" si="277"/>
        <v>94910</v>
      </c>
      <c r="I3818" t="s">
        <v>316</v>
      </c>
    </row>
    <row r="3819" spans="1:9" x14ac:dyDescent="0.3">
      <c r="A3819" t="str">
        <f>"46998390"</f>
        <v>46998390</v>
      </c>
      <c r="B3819" t="s">
        <v>7528</v>
      </c>
      <c r="C3819" t="str">
        <f t="shared" si="276"/>
        <v>722</v>
      </c>
      <c r="D3819" t="s">
        <v>315</v>
      </c>
      <c r="E3819" t="s">
        <v>83</v>
      </c>
      <c r="F3819" t="s">
        <v>537</v>
      </c>
      <c r="G3819" t="s">
        <v>7529</v>
      </c>
      <c r="H3819" t="str">
        <f t="shared" si="277"/>
        <v>94910</v>
      </c>
      <c r="I3819" t="s">
        <v>316</v>
      </c>
    </row>
    <row r="3820" spans="1:9" x14ac:dyDescent="0.3">
      <c r="A3820" t="str">
        <f>"48739669"</f>
        <v>48739669</v>
      </c>
      <c r="B3820" t="s">
        <v>7530</v>
      </c>
      <c r="C3820" t="str">
        <f t="shared" si="276"/>
        <v>722</v>
      </c>
      <c r="D3820" t="s">
        <v>315</v>
      </c>
      <c r="E3820" t="s">
        <v>29</v>
      </c>
      <c r="F3820" t="s">
        <v>852</v>
      </c>
      <c r="G3820" t="s">
        <v>1108</v>
      </c>
      <c r="H3820" t="str">
        <f t="shared" si="277"/>
        <v>94910</v>
      </c>
      <c r="I3820" t="s">
        <v>316</v>
      </c>
    </row>
    <row r="3821" spans="1:9" x14ac:dyDescent="0.3">
      <c r="A3821" t="str">
        <f>"18190383"</f>
        <v>18190383</v>
      </c>
      <c r="B3821" t="s">
        <v>7531</v>
      </c>
      <c r="C3821" t="str">
        <f t="shared" si="276"/>
        <v>722</v>
      </c>
      <c r="D3821" t="s">
        <v>315</v>
      </c>
      <c r="E3821" t="s">
        <v>83</v>
      </c>
      <c r="F3821" t="s">
        <v>1635</v>
      </c>
      <c r="G3821" t="s">
        <v>7532</v>
      </c>
      <c r="H3821" t="str">
        <f t="shared" si="277"/>
        <v>94910</v>
      </c>
      <c r="I3821" t="s">
        <v>316</v>
      </c>
    </row>
    <row r="3822" spans="1:9" x14ac:dyDescent="0.3">
      <c r="A3822" t="str">
        <f>"48739472"</f>
        <v>48739472</v>
      </c>
      <c r="B3822" t="s">
        <v>7533</v>
      </c>
      <c r="C3822" t="str">
        <f t="shared" si="276"/>
        <v>722</v>
      </c>
      <c r="D3822" t="s">
        <v>315</v>
      </c>
      <c r="E3822" t="s">
        <v>29</v>
      </c>
      <c r="F3822" t="s">
        <v>544</v>
      </c>
      <c r="G3822" t="s">
        <v>7534</v>
      </c>
      <c r="H3822" t="str">
        <f t="shared" si="277"/>
        <v>94910</v>
      </c>
      <c r="I3822" t="s">
        <v>316</v>
      </c>
    </row>
    <row r="3823" spans="1:9" x14ac:dyDescent="0.3">
      <c r="A3823" t="str">
        <f>"46998306"</f>
        <v>46998306</v>
      </c>
      <c r="B3823" t="s">
        <v>7535</v>
      </c>
      <c r="C3823" t="str">
        <f t="shared" si="276"/>
        <v>722</v>
      </c>
      <c r="D3823" t="s">
        <v>315</v>
      </c>
      <c r="E3823" t="s">
        <v>83</v>
      </c>
      <c r="F3823" t="s">
        <v>944</v>
      </c>
      <c r="G3823" t="s">
        <v>7536</v>
      </c>
      <c r="H3823" t="str">
        <f t="shared" si="277"/>
        <v>94910</v>
      </c>
      <c r="I3823" t="s">
        <v>316</v>
      </c>
    </row>
    <row r="3824" spans="1:9" x14ac:dyDescent="0.3">
      <c r="A3824" t="str">
        <f>"46998128"</f>
        <v>46998128</v>
      </c>
      <c r="B3824" t="s">
        <v>7537</v>
      </c>
      <c r="C3824" t="str">
        <f t="shared" si="276"/>
        <v>722</v>
      </c>
      <c r="D3824" t="s">
        <v>315</v>
      </c>
      <c r="E3824" t="s">
        <v>83</v>
      </c>
      <c r="F3824" t="s">
        <v>83</v>
      </c>
      <c r="G3824" t="s">
        <v>7538</v>
      </c>
      <c r="H3824" t="str">
        <f t="shared" si="277"/>
        <v>94910</v>
      </c>
      <c r="I3824" t="s">
        <v>316</v>
      </c>
    </row>
    <row r="3825" spans="1:9" x14ac:dyDescent="0.3">
      <c r="A3825" t="str">
        <f>"44018762"</f>
        <v>44018762</v>
      </c>
      <c r="B3825" t="s">
        <v>7539</v>
      </c>
      <c r="C3825" t="str">
        <f t="shared" si="276"/>
        <v>722</v>
      </c>
      <c r="D3825" t="s">
        <v>315</v>
      </c>
      <c r="E3825" t="s">
        <v>52</v>
      </c>
      <c r="F3825" t="s">
        <v>2736</v>
      </c>
      <c r="G3825" t="s">
        <v>7540</v>
      </c>
      <c r="H3825" t="str">
        <f t="shared" si="277"/>
        <v>94910</v>
      </c>
      <c r="I3825" t="s">
        <v>316</v>
      </c>
    </row>
    <row r="3826" spans="1:9" x14ac:dyDescent="0.3">
      <c r="A3826" t="str">
        <f>"44125917"</f>
        <v>44125917</v>
      </c>
      <c r="B3826" t="s">
        <v>7541</v>
      </c>
      <c r="C3826" t="str">
        <f t="shared" si="276"/>
        <v>722</v>
      </c>
      <c r="D3826" t="s">
        <v>315</v>
      </c>
      <c r="E3826" t="s">
        <v>23</v>
      </c>
      <c r="F3826" t="s">
        <v>23</v>
      </c>
      <c r="G3826" t="s">
        <v>7542</v>
      </c>
      <c r="H3826" t="str">
        <f t="shared" si="277"/>
        <v>94910</v>
      </c>
      <c r="I3826" t="s">
        <v>316</v>
      </c>
    </row>
    <row r="3827" spans="1:9" x14ac:dyDescent="0.3">
      <c r="A3827" t="str">
        <f>"46998187"</f>
        <v>46998187</v>
      </c>
      <c r="B3827" t="s">
        <v>7543</v>
      </c>
      <c r="C3827" t="str">
        <f t="shared" si="276"/>
        <v>722</v>
      </c>
      <c r="D3827" t="s">
        <v>315</v>
      </c>
      <c r="E3827" t="s">
        <v>83</v>
      </c>
      <c r="F3827" t="s">
        <v>6742</v>
      </c>
      <c r="G3827" t="s">
        <v>7544</v>
      </c>
      <c r="H3827" t="str">
        <f t="shared" si="277"/>
        <v>94910</v>
      </c>
      <c r="I3827" t="s">
        <v>316</v>
      </c>
    </row>
    <row r="3828" spans="1:9" x14ac:dyDescent="0.3">
      <c r="A3828" t="str">
        <f>"48739642"</f>
        <v>48739642</v>
      </c>
      <c r="B3828" t="s">
        <v>7545</v>
      </c>
      <c r="C3828" t="str">
        <f t="shared" si="276"/>
        <v>722</v>
      </c>
      <c r="D3828" t="s">
        <v>315</v>
      </c>
      <c r="E3828" t="s">
        <v>29</v>
      </c>
      <c r="F3828" t="s">
        <v>45</v>
      </c>
      <c r="G3828" t="s">
        <v>7546</v>
      </c>
      <c r="H3828" t="str">
        <f t="shared" si="277"/>
        <v>94910</v>
      </c>
      <c r="I3828" t="s">
        <v>316</v>
      </c>
    </row>
    <row r="3829" spans="1:9" x14ac:dyDescent="0.3">
      <c r="A3829" t="str">
        <f>"46998365"</f>
        <v>46998365</v>
      </c>
      <c r="B3829" t="s">
        <v>7547</v>
      </c>
      <c r="C3829" t="str">
        <f t="shared" si="276"/>
        <v>722</v>
      </c>
      <c r="D3829" t="s">
        <v>315</v>
      </c>
      <c r="E3829" t="s">
        <v>83</v>
      </c>
      <c r="F3829" t="s">
        <v>5718</v>
      </c>
      <c r="G3829" t="s">
        <v>7548</v>
      </c>
      <c r="H3829" t="str">
        <f t="shared" si="277"/>
        <v>94910</v>
      </c>
      <c r="I3829" t="s">
        <v>316</v>
      </c>
    </row>
    <row r="3830" spans="1:9" x14ac:dyDescent="0.3">
      <c r="A3830" t="str">
        <f>"48471739"</f>
        <v>48471739</v>
      </c>
      <c r="B3830" t="s">
        <v>7549</v>
      </c>
      <c r="C3830" t="str">
        <f t="shared" si="276"/>
        <v>722</v>
      </c>
      <c r="D3830" t="s">
        <v>315</v>
      </c>
      <c r="E3830" t="s">
        <v>23</v>
      </c>
      <c r="F3830" t="s">
        <v>1492</v>
      </c>
      <c r="G3830" t="s">
        <v>7550</v>
      </c>
      <c r="H3830" t="str">
        <f t="shared" si="277"/>
        <v>94910</v>
      </c>
      <c r="I3830" t="s">
        <v>316</v>
      </c>
    </row>
    <row r="3831" spans="1:9" x14ac:dyDescent="0.3">
      <c r="A3831" t="str">
        <f>"46998462"</f>
        <v>46998462</v>
      </c>
      <c r="B3831" t="s">
        <v>7551</v>
      </c>
      <c r="C3831" t="str">
        <f t="shared" si="276"/>
        <v>722</v>
      </c>
      <c r="D3831" t="s">
        <v>315</v>
      </c>
      <c r="E3831" t="s">
        <v>83</v>
      </c>
      <c r="F3831" t="s">
        <v>991</v>
      </c>
      <c r="G3831" t="s">
        <v>7552</v>
      </c>
      <c r="H3831" t="str">
        <f t="shared" si="277"/>
        <v>94910</v>
      </c>
      <c r="I3831" t="s">
        <v>316</v>
      </c>
    </row>
    <row r="3832" spans="1:9" x14ac:dyDescent="0.3">
      <c r="A3832" t="str">
        <f>"26585278"</f>
        <v>26585278</v>
      </c>
      <c r="B3832" t="s">
        <v>7553</v>
      </c>
      <c r="C3832" t="str">
        <f t="shared" ref="C3832:C3845" si="278">"706"</f>
        <v>706</v>
      </c>
      <c r="D3832" t="s">
        <v>28</v>
      </c>
      <c r="E3832" t="s">
        <v>52</v>
      </c>
      <c r="F3832" t="s">
        <v>1908</v>
      </c>
      <c r="G3832" t="s">
        <v>7554</v>
      </c>
      <c r="H3832" t="str">
        <f>"94992"</f>
        <v>94992</v>
      </c>
      <c r="I3832" t="s">
        <v>241</v>
      </c>
    </row>
    <row r="3833" spans="1:9" x14ac:dyDescent="0.3">
      <c r="A3833" t="str">
        <f>"22855394"</f>
        <v>22855394</v>
      </c>
      <c r="B3833" t="s">
        <v>7555</v>
      </c>
      <c r="C3833" t="str">
        <f t="shared" si="278"/>
        <v>706</v>
      </c>
      <c r="D3833" t="s">
        <v>28</v>
      </c>
      <c r="E3833" t="s">
        <v>83</v>
      </c>
      <c r="F3833" t="s">
        <v>83</v>
      </c>
      <c r="G3833" t="s">
        <v>7556</v>
      </c>
      <c r="H3833" t="str">
        <f>"90030"</f>
        <v>90030</v>
      </c>
      <c r="I3833" t="s">
        <v>1252</v>
      </c>
    </row>
    <row r="3834" spans="1:9" x14ac:dyDescent="0.3">
      <c r="A3834" t="str">
        <f>"23125624"</f>
        <v>23125624</v>
      </c>
      <c r="B3834" t="s">
        <v>7557</v>
      </c>
      <c r="C3834" t="str">
        <f t="shared" si="278"/>
        <v>706</v>
      </c>
      <c r="D3834" t="s">
        <v>28</v>
      </c>
      <c r="E3834" t="s">
        <v>23</v>
      </c>
      <c r="F3834" t="s">
        <v>23</v>
      </c>
      <c r="G3834" t="s">
        <v>7558</v>
      </c>
      <c r="H3834" t="str">
        <f>"9499"</f>
        <v>9499</v>
      </c>
      <c r="I3834" t="s">
        <v>31</v>
      </c>
    </row>
    <row r="3835" spans="1:9" x14ac:dyDescent="0.3">
      <c r="A3835" t="str">
        <f>"17261961"</f>
        <v>17261961</v>
      </c>
      <c r="B3835" t="s">
        <v>7559</v>
      </c>
      <c r="C3835" t="str">
        <f t="shared" si="278"/>
        <v>706</v>
      </c>
      <c r="D3835" t="s">
        <v>28</v>
      </c>
      <c r="E3835" t="s">
        <v>83</v>
      </c>
      <c r="F3835" t="s">
        <v>3456</v>
      </c>
      <c r="G3835" t="s">
        <v>6276</v>
      </c>
      <c r="H3835" t="str">
        <f>"9499"</f>
        <v>9499</v>
      </c>
      <c r="I3835" t="s">
        <v>31</v>
      </c>
    </row>
    <row r="3836" spans="1:9" x14ac:dyDescent="0.3">
      <c r="A3836" t="str">
        <f>"27000974"</f>
        <v>27000974</v>
      </c>
      <c r="B3836" t="s">
        <v>7560</v>
      </c>
      <c r="C3836" t="str">
        <f t="shared" si="278"/>
        <v>706</v>
      </c>
      <c r="D3836" t="s">
        <v>28</v>
      </c>
      <c r="E3836" t="s">
        <v>23</v>
      </c>
      <c r="F3836" t="s">
        <v>23</v>
      </c>
      <c r="G3836" t="s">
        <v>7561</v>
      </c>
      <c r="H3836" t="str">
        <f>"9499"</f>
        <v>9499</v>
      </c>
      <c r="I3836" t="s">
        <v>31</v>
      </c>
    </row>
    <row r="3837" spans="1:9" x14ac:dyDescent="0.3">
      <c r="A3837" t="str">
        <f>"04493788"</f>
        <v>04493788</v>
      </c>
      <c r="B3837" t="s">
        <v>7562</v>
      </c>
      <c r="C3837" t="str">
        <f t="shared" si="278"/>
        <v>706</v>
      </c>
      <c r="D3837" t="s">
        <v>28</v>
      </c>
      <c r="E3837" t="s">
        <v>23</v>
      </c>
      <c r="F3837" t="s">
        <v>23</v>
      </c>
      <c r="G3837" t="s">
        <v>7563</v>
      </c>
      <c r="H3837" t="str">
        <f>"93190"</f>
        <v>93190</v>
      </c>
      <c r="I3837" t="s">
        <v>59</v>
      </c>
    </row>
    <row r="3838" spans="1:9" x14ac:dyDescent="0.3">
      <c r="A3838" t="str">
        <f>"02300842"</f>
        <v>02300842</v>
      </c>
      <c r="B3838" t="s">
        <v>7564</v>
      </c>
      <c r="C3838" t="str">
        <f t="shared" si="278"/>
        <v>706</v>
      </c>
      <c r="D3838" t="s">
        <v>28</v>
      </c>
      <c r="E3838" t="s">
        <v>52</v>
      </c>
      <c r="F3838" t="s">
        <v>113</v>
      </c>
      <c r="G3838" t="s">
        <v>6313</v>
      </c>
      <c r="H3838" t="str">
        <f>"9499"</f>
        <v>9499</v>
      </c>
      <c r="I3838" t="s">
        <v>31</v>
      </c>
    </row>
    <row r="3839" spans="1:9" x14ac:dyDescent="0.3">
      <c r="A3839" t="str">
        <f>"22671706"</f>
        <v>22671706</v>
      </c>
      <c r="B3839" t="s">
        <v>7565</v>
      </c>
      <c r="C3839" t="str">
        <f t="shared" si="278"/>
        <v>706</v>
      </c>
      <c r="D3839" t="s">
        <v>28</v>
      </c>
      <c r="E3839" t="s">
        <v>83</v>
      </c>
      <c r="F3839" t="s">
        <v>83</v>
      </c>
      <c r="G3839" t="s">
        <v>7566</v>
      </c>
      <c r="H3839" t="str">
        <f>"93110"</f>
        <v>93110</v>
      </c>
      <c r="I3839" t="s">
        <v>92</v>
      </c>
    </row>
    <row r="3840" spans="1:9" x14ac:dyDescent="0.3">
      <c r="A3840" t="str">
        <f>"22747940"</f>
        <v>22747940</v>
      </c>
      <c r="B3840" t="s">
        <v>7567</v>
      </c>
      <c r="C3840" t="str">
        <f t="shared" si="278"/>
        <v>706</v>
      </c>
      <c r="D3840" t="s">
        <v>28</v>
      </c>
      <c r="E3840" t="s">
        <v>83</v>
      </c>
      <c r="F3840" t="s">
        <v>83</v>
      </c>
      <c r="G3840" t="s">
        <v>7568</v>
      </c>
      <c r="H3840" t="str">
        <f>"93190"</f>
        <v>93190</v>
      </c>
      <c r="I3840" t="s">
        <v>59</v>
      </c>
    </row>
    <row r="3841" spans="1:12" x14ac:dyDescent="0.3">
      <c r="A3841" t="str">
        <f>"22879374"</f>
        <v>22879374</v>
      </c>
      <c r="B3841" t="s">
        <v>7569</v>
      </c>
      <c r="C3841" t="str">
        <f t="shared" si="278"/>
        <v>706</v>
      </c>
      <c r="D3841" t="s">
        <v>28</v>
      </c>
      <c r="E3841" t="s">
        <v>29</v>
      </c>
      <c r="F3841" t="s">
        <v>778</v>
      </c>
      <c r="G3841" t="s">
        <v>7570</v>
      </c>
      <c r="H3841" t="str">
        <f>"9499"</f>
        <v>9499</v>
      </c>
      <c r="I3841" t="s">
        <v>31</v>
      </c>
    </row>
    <row r="3842" spans="1:12" x14ac:dyDescent="0.3">
      <c r="A3842" t="str">
        <f>"70286868"</f>
        <v>70286868</v>
      </c>
      <c r="B3842" t="s">
        <v>7571</v>
      </c>
      <c r="C3842" t="str">
        <f t="shared" si="278"/>
        <v>706</v>
      </c>
      <c r="D3842" t="s">
        <v>28</v>
      </c>
      <c r="E3842" t="s">
        <v>83</v>
      </c>
      <c r="F3842" t="s">
        <v>537</v>
      </c>
      <c r="G3842" t="s">
        <v>7572</v>
      </c>
      <c r="H3842" t="str">
        <f>"9499"</f>
        <v>9499</v>
      </c>
      <c r="I3842" t="s">
        <v>31</v>
      </c>
    </row>
    <row r="3843" spans="1:12" x14ac:dyDescent="0.3">
      <c r="A3843" t="str">
        <f>"17722071"</f>
        <v>17722071</v>
      </c>
      <c r="B3843" t="s">
        <v>7573</v>
      </c>
      <c r="C3843" t="str">
        <f t="shared" si="278"/>
        <v>706</v>
      </c>
      <c r="D3843" t="s">
        <v>28</v>
      </c>
      <c r="E3843" t="s">
        <v>52</v>
      </c>
      <c r="F3843" t="s">
        <v>1212</v>
      </c>
      <c r="G3843" t="s">
        <v>7574</v>
      </c>
      <c r="H3843" t="str">
        <f>"94993"</f>
        <v>94993</v>
      </c>
      <c r="I3843" t="s">
        <v>50</v>
      </c>
    </row>
    <row r="3844" spans="1:12" x14ac:dyDescent="0.3">
      <c r="A3844" t="str">
        <f>"22401873"</f>
        <v>22401873</v>
      </c>
      <c r="B3844" t="s">
        <v>7575</v>
      </c>
      <c r="C3844" t="str">
        <f t="shared" si="278"/>
        <v>706</v>
      </c>
      <c r="D3844" t="s">
        <v>28</v>
      </c>
      <c r="E3844" t="s">
        <v>52</v>
      </c>
      <c r="F3844" t="s">
        <v>1212</v>
      </c>
      <c r="G3844" t="s">
        <v>7576</v>
      </c>
      <c r="H3844" t="str">
        <f>"9499"</f>
        <v>9499</v>
      </c>
      <c r="I3844" t="s">
        <v>31</v>
      </c>
    </row>
    <row r="3845" spans="1:12" x14ac:dyDescent="0.3">
      <c r="A3845" t="str">
        <f>"26597373"</f>
        <v>26597373</v>
      </c>
      <c r="B3845" t="s">
        <v>7577</v>
      </c>
      <c r="C3845" t="str">
        <f t="shared" si="278"/>
        <v>706</v>
      </c>
      <c r="D3845" t="s">
        <v>28</v>
      </c>
      <c r="E3845" t="s">
        <v>29</v>
      </c>
      <c r="F3845" t="s">
        <v>29</v>
      </c>
      <c r="G3845" t="s">
        <v>7578</v>
      </c>
      <c r="H3845" t="str">
        <f>"94991"</f>
        <v>94991</v>
      </c>
      <c r="I3845" t="s">
        <v>433</v>
      </c>
    </row>
    <row r="3846" spans="1:12" x14ac:dyDescent="0.3">
      <c r="A3846" t="str">
        <f>"67026346"</f>
        <v>67026346</v>
      </c>
      <c r="B3846" t="s">
        <v>7579</v>
      </c>
      <c r="C3846" t="str">
        <f>"736"</f>
        <v>736</v>
      </c>
      <c r="D3846" t="s">
        <v>22</v>
      </c>
      <c r="E3846" t="s">
        <v>23</v>
      </c>
      <c r="F3846" t="s">
        <v>245</v>
      </c>
      <c r="G3846" t="s">
        <v>7580</v>
      </c>
      <c r="H3846" t="str">
        <f>"94991"</f>
        <v>94991</v>
      </c>
      <c r="I3846" t="s">
        <v>433</v>
      </c>
      <c r="J3846" t="s">
        <v>157</v>
      </c>
      <c r="K3846" t="s">
        <v>161</v>
      </c>
      <c r="L3846" t="s">
        <v>2069</v>
      </c>
    </row>
    <row r="3847" spans="1:12" x14ac:dyDescent="0.3">
      <c r="A3847" t="str">
        <f>"65792068"</f>
        <v>65792068</v>
      </c>
      <c r="B3847" t="s">
        <v>7581</v>
      </c>
      <c r="C3847" t="str">
        <f>"736"</f>
        <v>736</v>
      </c>
      <c r="D3847" t="s">
        <v>22</v>
      </c>
      <c r="E3847" t="s">
        <v>23</v>
      </c>
      <c r="F3847" t="s">
        <v>23</v>
      </c>
      <c r="G3847" t="s">
        <v>4758</v>
      </c>
      <c r="H3847" t="str">
        <f>"94991"</f>
        <v>94991</v>
      </c>
      <c r="I3847" t="s">
        <v>433</v>
      </c>
    </row>
    <row r="3848" spans="1:12" x14ac:dyDescent="0.3">
      <c r="A3848" t="str">
        <f>"08515727"</f>
        <v>08515727</v>
      </c>
      <c r="B3848" t="s">
        <v>7582</v>
      </c>
      <c r="C3848" t="str">
        <f t="shared" ref="C3848:C3856" si="279">"706"</f>
        <v>706</v>
      </c>
      <c r="D3848" t="s">
        <v>28</v>
      </c>
      <c r="E3848" t="s">
        <v>23</v>
      </c>
      <c r="F3848" t="s">
        <v>24</v>
      </c>
      <c r="G3848" t="s">
        <v>7583</v>
      </c>
      <c r="H3848" t="str">
        <f>"93110"</f>
        <v>93110</v>
      </c>
      <c r="I3848" t="s">
        <v>92</v>
      </c>
      <c r="J3848" t="s">
        <v>59</v>
      </c>
    </row>
    <row r="3849" spans="1:12" x14ac:dyDescent="0.3">
      <c r="A3849" t="str">
        <f>"22836896"</f>
        <v>22836896</v>
      </c>
      <c r="B3849" t="s">
        <v>7584</v>
      </c>
      <c r="C3849" t="str">
        <f t="shared" si="279"/>
        <v>706</v>
      </c>
      <c r="D3849" t="s">
        <v>28</v>
      </c>
      <c r="E3849" t="s">
        <v>23</v>
      </c>
      <c r="F3849" t="s">
        <v>141</v>
      </c>
      <c r="G3849" t="s">
        <v>7585</v>
      </c>
      <c r="H3849" t="str">
        <f>"94991"</f>
        <v>94991</v>
      </c>
      <c r="I3849" t="s">
        <v>433</v>
      </c>
    </row>
    <row r="3850" spans="1:12" x14ac:dyDescent="0.3">
      <c r="A3850" t="str">
        <f>"22671951"</f>
        <v>22671951</v>
      </c>
      <c r="B3850" t="s">
        <v>7586</v>
      </c>
      <c r="C3850" t="str">
        <f t="shared" si="279"/>
        <v>706</v>
      </c>
      <c r="D3850" t="s">
        <v>28</v>
      </c>
      <c r="E3850" t="s">
        <v>23</v>
      </c>
      <c r="F3850" t="s">
        <v>23</v>
      </c>
      <c r="G3850" t="s">
        <v>7587</v>
      </c>
      <c r="H3850" t="str">
        <f>"9499"</f>
        <v>9499</v>
      </c>
      <c r="I3850" t="s">
        <v>31</v>
      </c>
    </row>
    <row r="3851" spans="1:12" x14ac:dyDescent="0.3">
      <c r="A3851" t="str">
        <f>"03594866"</f>
        <v>03594866</v>
      </c>
      <c r="B3851" t="s">
        <v>7588</v>
      </c>
      <c r="C3851" t="str">
        <f t="shared" si="279"/>
        <v>706</v>
      </c>
      <c r="D3851" t="s">
        <v>28</v>
      </c>
      <c r="E3851" t="s">
        <v>52</v>
      </c>
      <c r="F3851" t="s">
        <v>334</v>
      </c>
      <c r="G3851" t="s">
        <v>7589</v>
      </c>
      <c r="H3851" t="str">
        <f>"94995"</f>
        <v>94995</v>
      </c>
      <c r="I3851" t="s">
        <v>232</v>
      </c>
    </row>
    <row r="3852" spans="1:12" x14ac:dyDescent="0.3">
      <c r="A3852" t="str">
        <f>"06119328"</f>
        <v>06119328</v>
      </c>
      <c r="B3852" t="s">
        <v>7590</v>
      </c>
      <c r="C3852" t="str">
        <f t="shared" si="279"/>
        <v>706</v>
      </c>
      <c r="D3852" t="s">
        <v>28</v>
      </c>
      <c r="E3852" t="s">
        <v>23</v>
      </c>
      <c r="F3852" t="s">
        <v>296</v>
      </c>
      <c r="G3852" t="s">
        <v>7591</v>
      </c>
      <c r="H3852" t="str">
        <f>"9499"</f>
        <v>9499</v>
      </c>
      <c r="I3852" t="s">
        <v>31</v>
      </c>
    </row>
    <row r="3853" spans="1:12" x14ac:dyDescent="0.3">
      <c r="A3853" t="str">
        <f>"65765800"</f>
        <v>65765800</v>
      </c>
      <c r="B3853" t="s">
        <v>7592</v>
      </c>
      <c r="C3853" t="str">
        <f t="shared" si="279"/>
        <v>706</v>
      </c>
      <c r="D3853" t="s">
        <v>28</v>
      </c>
      <c r="E3853" t="s">
        <v>23</v>
      </c>
      <c r="F3853" t="s">
        <v>23</v>
      </c>
      <c r="G3853" t="s">
        <v>7593</v>
      </c>
      <c r="H3853" t="str">
        <f>"93120"</f>
        <v>93120</v>
      </c>
      <c r="I3853" t="s">
        <v>54</v>
      </c>
    </row>
    <row r="3854" spans="1:12" x14ac:dyDescent="0.3">
      <c r="A3854" t="str">
        <f>"22693556"</f>
        <v>22693556</v>
      </c>
      <c r="B3854" t="s">
        <v>7594</v>
      </c>
      <c r="C3854" t="str">
        <f t="shared" si="279"/>
        <v>706</v>
      </c>
      <c r="D3854" t="s">
        <v>28</v>
      </c>
      <c r="E3854" t="s">
        <v>23</v>
      </c>
      <c r="F3854" t="s">
        <v>23</v>
      </c>
      <c r="G3854" t="s">
        <v>7595</v>
      </c>
      <c r="H3854" t="str">
        <f>"9499"</f>
        <v>9499</v>
      </c>
      <c r="I3854" t="s">
        <v>31</v>
      </c>
    </row>
    <row r="3855" spans="1:12" x14ac:dyDescent="0.3">
      <c r="A3855" t="str">
        <f>"68688792"</f>
        <v>68688792</v>
      </c>
      <c r="B3855" t="s">
        <v>7596</v>
      </c>
      <c r="C3855" t="str">
        <f t="shared" si="279"/>
        <v>706</v>
      </c>
      <c r="D3855" t="s">
        <v>28</v>
      </c>
      <c r="E3855" t="s">
        <v>23</v>
      </c>
      <c r="F3855" t="s">
        <v>24</v>
      </c>
      <c r="G3855" t="s">
        <v>7597</v>
      </c>
      <c r="H3855" t="str">
        <f>"9499"</f>
        <v>9499</v>
      </c>
      <c r="I3855" t="s">
        <v>31</v>
      </c>
    </row>
    <row r="3856" spans="1:12" x14ac:dyDescent="0.3">
      <c r="A3856" t="str">
        <f>"26540151"</f>
        <v>26540151</v>
      </c>
      <c r="B3856" t="s">
        <v>7598</v>
      </c>
      <c r="C3856" t="str">
        <f t="shared" si="279"/>
        <v>706</v>
      </c>
      <c r="D3856" t="s">
        <v>28</v>
      </c>
      <c r="E3856" t="s">
        <v>29</v>
      </c>
      <c r="F3856" t="s">
        <v>676</v>
      </c>
      <c r="G3856" t="s">
        <v>7599</v>
      </c>
      <c r="H3856" t="str">
        <f>"9499"</f>
        <v>9499</v>
      </c>
      <c r="I3856" t="s">
        <v>31</v>
      </c>
    </row>
    <row r="3857" spans="1:9" x14ac:dyDescent="0.3">
      <c r="A3857" t="str">
        <f>"69652881"</f>
        <v>69652881</v>
      </c>
      <c r="B3857" t="s">
        <v>7600</v>
      </c>
      <c r="C3857" t="str">
        <f>"736"</f>
        <v>736</v>
      </c>
      <c r="D3857" t="s">
        <v>22</v>
      </c>
      <c r="E3857" t="s">
        <v>83</v>
      </c>
      <c r="F3857" t="s">
        <v>473</v>
      </c>
      <c r="G3857" t="s">
        <v>7601</v>
      </c>
      <c r="H3857" t="str">
        <f>"9499"</f>
        <v>9499</v>
      </c>
      <c r="I3857" t="s">
        <v>31</v>
      </c>
    </row>
    <row r="3858" spans="1:9" x14ac:dyDescent="0.3">
      <c r="A3858" t="str">
        <f>"22830430"</f>
        <v>22830430</v>
      </c>
      <c r="B3858" t="s">
        <v>7602</v>
      </c>
      <c r="C3858" t="str">
        <f>"706"</f>
        <v>706</v>
      </c>
      <c r="D3858" t="s">
        <v>28</v>
      </c>
      <c r="E3858" t="s">
        <v>83</v>
      </c>
      <c r="F3858" t="s">
        <v>83</v>
      </c>
      <c r="G3858" t="s">
        <v>7603</v>
      </c>
      <c r="H3858" t="str">
        <f>"93190"</f>
        <v>93190</v>
      </c>
      <c r="I3858" t="s">
        <v>59</v>
      </c>
    </row>
    <row r="3859" spans="1:9" x14ac:dyDescent="0.3">
      <c r="A3859" t="str">
        <f>"07343469"</f>
        <v>07343469</v>
      </c>
      <c r="B3859" t="s">
        <v>7604</v>
      </c>
      <c r="C3859" t="str">
        <f>"706"</f>
        <v>706</v>
      </c>
      <c r="D3859" t="s">
        <v>28</v>
      </c>
      <c r="E3859" t="s">
        <v>23</v>
      </c>
      <c r="F3859" t="s">
        <v>23</v>
      </c>
      <c r="G3859" t="s">
        <v>7605</v>
      </c>
      <c r="H3859" t="str">
        <f>"94991"</f>
        <v>94991</v>
      </c>
      <c r="I3859" t="s">
        <v>433</v>
      </c>
    </row>
    <row r="3860" spans="1:9" x14ac:dyDescent="0.3">
      <c r="A3860" t="str">
        <f>"08741026"</f>
        <v>08741026</v>
      </c>
      <c r="B3860" t="s">
        <v>7606</v>
      </c>
      <c r="C3860" t="str">
        <f>"706"</f>
        <v>706</v>
      </c>
      <c r="D3860" t="s">
        <v>28</v>
      </c>
      <c r="E3860" t="s">
        <v>83</v>
      </c>
      <c r="F3860" t="s">
        <v>183</v>
      </c>
      <c r="G3860" t="s">
        <v>7607</v>
      </c>
      <c r="H3860" t="str">
        <f>"94996"</f>
        <v>94996</v>
      </c>
      <c r="I3860" t="s">
        <v>47</v>
      </c>
    </row>
    <row r="3861" spans="1:9" x14ac:dyDescent="0.3">
      <c r="A3861" t="str">
        <f>"23336854"</f>
        <v>23336854</v>
      </c>
      <c r="B3861" t="s">
        <v>7608</v>
      </c>
      <c r="C3861" t="str">
        <f>"706"</f>
        <v>706</v>
      </c>
      <c r="D3861" t="s">
        <v>28</v>
      </c>
      <c r="E3861" t="s">
        <v>23</v>
      </c>
      <c r="F3861" t="s">
        <v>23</v>
      </c>
      <c r="G3861" t="s">
        <v>7609</v>
      </c>
      <c r="H3861" t="str">
        <f>"93120"</f>
        <v>93120</v>
      </c>
      <c r="I3861" t="s">
        <v>54</v>
      </c>
    </row>
    <row r="3862" spans="1:9" x14ac:dyDescent="0.3">
      <c r="A3862" t="str">
        <f>"73634140"</f>
        <v>73634140</v>
      </c>
      <c r="B3862" t="s">
        <v>7610</v>
      </c>
      <c r="C3862" t="str">
        <f t="shared" ref="C3862:C3877" si="280">"722"</f>
        <v>722</v>
      </c>
      <c r="D3862" t="s">
        <v>315</v>
      </c>
      <c r="E3862" t="s">
        <v>29</v>
      </c>
      <c r="F3862" t="s">
        <v>195</v>
      </c>
      <c r="G3862" t="s">
        <v>7611</v>
      </c>
      <c r="H3862" t="str">
        <f t="shared" ref="H3862:H3877" si="281">"94910"</f>
        <v>94910</v>
      </c>
      <c r="I3862" t="s">
        <v>316</v>
      </c>
    </row>
    <row r="3863" spans="1:9" x14ac:dyDescent="0.3">
      <c r="A3863" t="str">
        <f>"26520770"</f>
        <v>26520770</v>
      </c>
      <c r="B3863" t="s">
        <v>7612</v>
      </c>
      <c r="C3863" t="str">
        <f t="shared" si="280"/>
        <v>722</v>
      </c>
      <c r="D3863" t="s">
        <v>315</v>
      </c>
      <c r="E3863" t="s">
        <v>52</v>
      </c>
      <c r="F3863" t="s">
        <v>52</v>
      </c>
      <c r="G3863" t="s">
        <v>7613</v>
      </c>
      <c r="H3863" t="str">
        <f t="shared" si="281"/>
        <v>94910</v>
      </c>
      <c r="I3863" t="s">
        <v>316</v>
      </c>
    </row>
    <row r="3864" spans="1:9" x14ac:dyDescent="0.3">
      <c r="A3864" t="str">
        <f>"64123766"</f>
        <v>64123766</v>
      </c>
      <c r="B3864" t="s">
        <v>7614</v>
      </c>
      <c r="C3864" t="str">
        <f t="shared" si="280"/>
        <v>722</v>
      </c>
      <c r="D3864" t="s">
        <v>315</v>
      </c>
      <c r="E3864" t="s">
        <v>29</v>
      </c>
      <c r="F3864" t="s">
        <v>29</v>
      </c>
      <c r="G3864" t="s">
        <v>7615</v>
      </c>
      <c r="H3864" t="str">
        <f t="shared" si="281"/>
        <v>94910</v>
      </c>
      <c r="I3864" t="s">
        <v>316</v>
      </c>
    </row>
    <row r="3865" spans="1:9" x14ac:dyDescent="0.3">
      <c r="A3865" t="str">
        <f>"65823460"</f>
        <v>65823460</v>
      </c>
      <c r="B3865" t="s">
        <v>7616</v>
      </c>
      <c r="C3865" t="str">
        <f t="shared" si="280"/>
        <v>722</v>
      </c>
      <c r="D3865" t="s">
        <v>315</v>
      </c>
      <c r="E3865" t="s">
        <v>23</v>
      </c>
      <c r="F3865" t="s">
        <v>23</v>
      </c>
      <c r="G3865" t="s">
        <v>7617</v>
      </c>
      <c r="H3865" t="str">
        <f t="shared" si="281"/>
        <v>94910</v>
      </c>
      <c r="I3865" t="s">
        <v>316</v>
      </c>
    </row>
    <row r="3866" spans="1:9" x14ac:dyDescent="0.3">
      <c r="A3866" t="str">
        <f>"64422534"</f>
        <v>64422534</v>
      </c>
      <c r="B3866" t="s">
        <v>7618</v>
      </c>
      <c r="C3866" t="str">
        <f t="shared" si="280"/>
        <v>722</v>
      </c>
      <c r="D3866" t="s">
        <v>315</v>
      </c>
      <c r="E3866" t="s">
        <v>23</v>
      </c>
      <c r="F3866" t="s">
        <v>23</v>
      </c>
      <c r="G3866" t="s">
        <v>7619</v>
      </c>
      <c r="H3866" t="str">
        <f t="shared" si="281"/>
        <v>94910</v>
      </c>
      <c r="I3866" t="s">
        <v>316</v>
      </c>
    </row>
    <row r="3867" spans="1:9" x14ac:dyDescent="0.3">
      <c r="A3867" t="str">
        <f>"65891163"</f>
        <v>65891163</v>
      </c>
      <c r="B3867" t="s">
        <v>7620</v>
      </c>
      <c r="C3867" t="str">
        <f t="shared" si="280"/>
        <v>722</v>
      </c>
      <c r="D3867" t="s">
        <v>315</v>
      </c>
      <c r="E3867" t="s">
        <v>29</v>
      </c>
      <c r="F3867" t="s">
        <v>1004</v>
      </c>
      <c r="G3867" t="s">
        <v>7621</v>
      </c>
      <c r="H3867" t="str">
        <f t="shared" si="281"/>
        <v>94910</v>
      </c>
      <c r="I3867" t="s">
        <v>316</v>
      </c>
    </row>
    <row r="3868" spans="1:9" x14ac:dyDescent="0.3">
      <c r="A3868" t="str">
        <f>"62832701"</f>
        <v>62832701</v>
      </c>
      <c r="B3868" t="s">
        <v>7622</v>
      </c>
      <c r="C3868" t="str">
        <f t="shared" si="280"/>
        <v>722</v>
      </c>
      <c r="D3868" t="s">
        <v>315</v>
      </c>
      <c r="E3868" t="s">
        <v>52</v>
      </c>
      <c r="F3868" t="s">
        <v>52</v>
      </c>
      <c r="G3868" t="s">
        <v>7623</v>
      </c>
      <c r="H3868" t="str">
        <f t="shared" si="281"/>
        <v>94910</v>
      </c>
      <c r="I3868" t="s">
        <v>316</v>
      </c>
    </row>
    <row r="3869" spans="1:9" x14ac:dyDescent="0.3">
      <c r="A3869" t="str">
        <f>"62832719"</f>
        <v>62832719</v>
      </c>
      <c r="B3869" t="s">
        <v>7624</v>
      </c>
      <c r="C3869" t="str">
        <f t="shared" si="280"/>
        <v>722</v>
      </c>
      <c r="D3869" t="s">
        <v>315</v>
      </c>
      <c r="E3869" t="s">
        <v>52</v>
      </c>
      <c r="F3869" t="s">
        <v>113</v>
      </c>
      <c r="G3869" t="s">
        <v>7625</v>
      </c>
      <c r="H3869" t="str">
        <f t="shared" si="281"/>
        <v>94910</v>
      </c>
      <c r="I3869" t="s">
        <v>316</v>
      </c>
    </row>
    <row r="3870" spans="1:9" x14ac:dyDescent="0.3">
      <c r="A3870" t="str">
        <f>"73633054"</f>
        <v>73633054</v>
      </c>
      <c r="B3870" t="s">
        <v>7626</v>
      </c>
      <c r="C3870" t="str">
        <f t="shared" si="280"/>
        <v>722</v>
      </c>
      <c r="D3870" t="s">
        <v>315</v>
      </c>
      <c r="E3870" t="s">
        <v>23</v>
      </c>
      <c r="F3870" t="s">
        <v>107</v>
      </c>
      <c r="G3870" t="s">
        <v>7627</v>
      </c>
      <c r="H3870" t="str">
        <f t="shared" si="281"/>
        <v>94910</v>
      </c>
      <c r="I3870" t="s">
        <v>316</v>
      </c>
    </row>
    <row r="3871" spans="1:9" x14ac:dyDescent="0.3">
      <c r="A3871" t="str">
        <f>"73632686"</f>
        <v>73632686</v>
      </c>
      <c r="B3871" t="s">
        <v>7628</v>
      </c>
      <c r="C3871" t="str">
        <f t="shared" si="280"/>
        <v>722</v>
      </c>
      <c r="D3871" t="s">
        <v>315</v>
      </c>
      <c r="E3871" t="s">
        <v>29</v>
      </c>
      <c r="F3871" t="s">
        <v>195</v>
      </c>
      <c r="G3871" t="s">
        <v>7629</v>
      </c>
      <c r="H3871" t="str">
        <f t="shared" si="281"/>
        <v>94910</v>
      </c>
      <c r="I3871" t="s">
        <v>316</v>
      </c>
    </row>
    <row r="3872" spans="1:9" x14ac:dyDescent="0.3">
      <c r="A3872" t="str">
        <f>"65888499"</f>
        <v>65888499</v>
      </c>
      <c r="B3872" t="s">
        <v>7630</v>
      </c>
      <c r="C3872" t="str">
        <f t="shared" si="280"/>
        <v>722</v>
      </c>
      <c r="D3872" t="s">
        <v>315</v>
      </c>
      <c r="E3872" t="s">
        <v>29</v>
      </c>
      <c r="F3872" t="s">
        <v>29</v>
      </c>
      <c r="G3872" t="s">
        <v>7631</v>
      </c>
      <c r="H3872" t="str">
        <f t="shared" si="281"/>
        <v>94910</v>
      </c>
      <c r="I3872" t="s">
        <v>316</v>
      </c>
    </row>
    <row r="3873" spans="1:9" x14ac:dyDescent="0.3">
      <c r="A3873" t="str">
        <f>"73632708"</f>
        <v>73632708</v>
      </c>
      <c r="B3873" t="s">
        <v>7632</v>
      </c>
      <c r="C3873" t="str">
        <f t="shared" si="280"/>
        <v>722</v>
      </c>
      <c r="D3873" t="s">
        <v>315</v>
      </c>
      <c r="E3873" t="s">
        <v>23</v>
      </c>
      <c r="F3873" t="s">
        <v>23</v>
      </c>
      <c r="G3873" t="s">
        <v>7633</v>
      </c>
      <c r="H3873" t="str">
        <f t="shared" si="281"/>
        <v>94910</v>
      </c>
      <c r="I3873" t="s">
        <v>316</v>
      </c>
    </row>
    <row r="3874" spans="1:9" x14ac:dyDescent="0.3">
      <c r="A3874" t="str">
        <f>"26520371"</f>
        <v>26520371</v>
      </c>
      <c r="B3874" t="s">
        <v>7634</v>
      </c>
      <c r="C3874" t="str">
        <f t="shared" si="280"/>
        <v>722</v>
      </c>
      <c r="D3874" t="s">
        <v>315</v>
      </c>
      <c r="E3874" t="s">
        <v>29</v>
      </c>
      <c r="F3874" t="s">
        <v>718</v>
      </c>
      <c r="G3874" t="s">
        <v>7635</v>
      </c>
      <c r="H3874" t="str">
        <f t="shared" si="281"/>
        <v>94910</v>
      </c>
      <c r="I3874" t="s">
        <v>316</v>
      </c>
    </row>
    <row r="3875" spans="1:9" x14ac:dyDescent="0.3">
      <c r="A3875" t="str">
        <f>"26520389"</f>
        <v>26520389</v>
      </c>
      <c r="B3875" t="s">
        <v>7636</v>
      </c>
      <c r="C3875" t="str">
        <f t="shared" si="280"/>
        <v>722</v>
      </c>
      <c r="D3875" t="s">
        <v>315</v>
      </c>
      <c r="E3875" t="s">
        <v>29</v>
      </c>
      <c r="F3875" t="s">
        <v>29</v>
      </c>
      <c r="G3875" t="s">
        <v>7637</v>
      </c>
      <c r="H3875" t="str">
        <f t="shared" si="281"/>
        <v>94910</v>
      </c>
      <c r="I3875" t="s">
        <v>316</v>
      </c>
    </row>
    <row r="3876" spans="1:9" x14ac:dyDescent="0.3">
      <c r="A3876" t="str">
        <f>"73634506"</f>
        <v>73634506</v>
      </c>
      <c r="B3876" t="s">
        <v>7638</v>
      </c>
      <c r="C3876" t="str">
        <f t="shared" si="280"/>
        <v>722</v>
      </c>
      <c r="D3876" t="s">
        <v>315</v>
      </c>
      <c r="E3876" t="s">
        <v>29</v>
      </c>
      <c r="F3876" t="s">
        <v>29</v>
      </c>
      <c r="G3876" t="s">
        <v>7639</v>
      </c>
      <c r="H3876" t="str">
        <f t="shared" si="281"/>
        <v>94910</v>
      </c>
      <c r="I3876" t="s">
        <v>316</v>
      </c>
    </row>
    <row r="3877" spans="1:9" x14ac:dyDescent="0.3">
      <c r="A3877" t="str">
        <f>"73631787"</f>
        <v>73631787</v>
      </c>
      <c r="B3877" t="s">
        <v>7640</v>
      </c>
      <c r="C3877" t="str">
        <f t="shared" si="280"/>
        <v>722</v>
      </c>
      <c r="D3877" t="s">
        <v>315</v>
      </c>
      <c r="E3877" t="s">
        <v>23</v>
      </c>
      <c r="F3877" t="s">
        <v>23</v>
      </c>
      <c r="G3877" t="s">
        <v>7641</v>
      </c>
      <c r="H3877" t="str">
        <f t="shared" si="281"/>
        <v>94910</v>
      </c>
      <c r="I3877" t="s">
        <v>316</v>
      </c>
    </row>
    <row r="3878" spans="1:9" x14ac:dyDescent="0.3">
      <c r="A3878" t="str">
        <f>"65270177"</f>
        <v>65270177</v>
      </c>
      <c r="B3878" t="s">
        <v>7642</v>
      </c>
      <c r="C3878" t="str">
        <f t="shared" ref="C3878:C3883" si="282">"736"</f>
        <v>736</v>
      </c>
      <c r="D3878" t="s">
        <v>22</v>
      </c>
      <c r="E3878" t="s">
        <v>83</v>
      </c>
      <c r="F3878" t="s">
        <v>1425</v>
      </c>
      <c r="G3878" t="s">
        <v>7643</v>
      </c>
      <c r="H3878" t="str">
        <f t="shared" ref="H3878:H3883" si="283">"84250"</f>
        <v>84250</v>
      </c>
      <c r="I3878" t="s">
        <v>4834</v>
      </c>
    </row>
    <row r="3879" spans="1:9" x14ac:dyDescent="0.3">
      <c r="A3879" t="str">
        <f>"63414015"</f>
        <v>63414015</v>
      </c>
      <c r="B3879" t="s">
        <v>7644</v>
      </c>
      <c r="C3879" t="str">
        <f t="shared" si="282"/>
        <v>736</v>
      </c>
      <c r="D3879" t="s">
        <v>22</v>
      </c>
      <c r="E3879" t="s">
        <v>83</v>
      </c>
      <c r="F3879" t="s">
        <v>1425</v>
      </c>
      <c r="G3879" t="s">
        <v>7645</v>
      </c>
      <c r="H3879" t="str">
        <f t="shared" si="283"/>
        <v>84250</v>
      </c>
      <c r="I3879" t="s">
        <v>4834</v>
      </c>
    </row>
    <row r="3880" spans="1:9" x14ac:dyDescent="0.3">
      <c r="A3880" t="str">
        <f>"65325184"</f>
        <v>65325184</v>
      </c>
      <c r="B3880" t="s">
        <v>7646</v>
      </c>
      <c r="C3880" t="str">
        <f t="shared" si="282"/>
        <v>736</v>
      </c>
      <c r="D3880" t="s">
        <v>22</v>
      </c>
      <c r="E3880" t="s">
        <v>52</v>
      </c>
      <c r="F3880" t="s">
        <v>80</v>
      </c>
      <c r="G3880" t="s">
        <v>7647</v>
      </c>
      <c r="H3880" t="str">
        <f t="shared" si="283"/>
        <v>84250</v>
      </c>
      <c r="I3880" t="s">
        <v>4834</v>
      </c>
    </row>
    <row r="3881" spans="1:9" x14ac:dyDescent="0.3">
      <c r="A3881" t="str">
        <f>"65325192"</f>
        <v>65325192</v>
      </c>
      <c r="B3881" t="s">
        <v>7648</v>
      </c>
      <c r="C3881" t="str">
        <f t="shared" si="282"/>
        <v>736</v>
      </c>
      <c r="D3881" t="s">
        <v>22</v>
      </c>
      <c r="E3881" t="s">
        <v>52</v>
      </c>
      <c r="F3881" t="s">
        <v>65</v>
      </c>
      <c r="G3881" t="s">
        <v>7649</v>
      </c>
      <c r="H3881" t="str">
        <f t="shared" si="283"/>
        <v>84250</v>
      </c>
      <c r="I3881" t="s">
        <v>4834</v>
      </c>
    </row>
    <row r="3882" spans="1:9" x14ac:dyDescent="0.3">
      <c r="A3882" t="str">
        <f>"65324781"</f>
        <v>65324781</v>
      </c>
      <c r="B3882" t="s">
        <v>7650</v>
      </c>
      <c r="C3882" t="str">
        <f t="shared" si="282"/>
        <v>736</v>
      </c>
      <c r="D3882" t="s">
        <v>22</v>
      </c>
      <c r="E3882" t="s">
        <v>52</v>
      </c>
      <c r="F3882" t="s">
        <v>3833</v>
      </c>
      <c r="G3882" t="s">
        <v>7651</v>
      </c>
      <c r="H3882" t="str">
        <f t="shared" si="283"/>
        <v>84250</v>
      </c>
      <c r="I3882" t="s">
        <v>4834</v>
      </c>
    </row>
    <row r="3883" spans="1:9" x14ac:dyDescent="0.3">
      <c r="A3883" t="str">
        <f>"65469216"</f>
        <v>65469216</v>
      </c>
      <c r="B3883" t="s">
        <v>7652</v>
      </c>
      <c r="C3883" t="str">
        <f t="shared" si="282"/>
        <v>736</v>
      </c>
      <c r="D3883" t="s">
        <v>22</v>
      </c>
      <c r="E3883" t="s">
        <v>29</v>
      </c>
      <c r="F3883" t="s">
        <v>306</v>
      </c>
      <c r="G3883" t="s">
        <v>7653</v>
      </c>
      <c r="H3883" t="str">
        <f t="shared" si="283"/>
        <v>84250</v>
      </c>
      <c r="I3883" t="s">
        <v>4834</v>
      </c>
    </row>
    <row r="3884" spans="1:9" x14ac:dyDescent="0.3">
      <c r="A3884" t="str">
        <f>"01251163"</f>
        <v>01251163</v>
      </c>
      <c r="B3884" t="s">
        <v>7654</v>
      </c>
      <c r="C3884" t="str">
        <f>"706"</f>
        <v>706</v>
      </c>
      <c r="D3884" t="s">
        <v>28</v>
      </c>
      <c r="E3884" t="s">
        <v>29</v>
      </c>
      <c r="F3884" t="s">
        <v>1121</v>
      </c>
      <c r="G3884" t="s">
        <v>7655</v>
      </c>
      <c r="H3884" t="str">
        <f>"9499"</f>
        <v>9499</v>
      </c>
      <c r="I3884" t="s">
        <v>31</v>
      </c>
    </row>
    <row r="3885" spans="1:9" x14ac:dyDescent="0.3">
      <c r="A3885" t="str">
        <f>"63414317"</f>
        <v>63414317</v>
      </c>
      <c r="B3885" t="s">
        <v>7656</v>
      </c>
      <c r="C3885" t="str">
        <f>"736"</f>
        <v>736</v>
      </c>
      <c r="D3885" t="s">
        <v>22</v>
      </c>
      <c r="E3885" t="s">
        <v>83</v>
      </c>
      <c r="F3885" t="s">
        <v>537</v>
      </c>
      <c r="G3885" t="s">
        <v>7657</v>
      </c>
      <c r="H3885" t="str">
        <f>"84250"</f>
        <v>84250</v>
      </c>
      <c r="I3885" t="s">
        <v>4834</v>
      </c>
    </row>
    <row r="3886" spans="1:9" x14ac:dyDescent="0.3">
      <c r="A3886" t="str">
        <f>"65325061"</f>
        <v>65325061</v>
      </c>
      <c r="B3886" t="s">
        <v>7658</v>
      </c>
      <c r="C3886" t="str">
        <f>"736"</f>
        <v>736</v>
      </c>
      <c r="D3886" t="s">
        <v>22</v>
      </c>
      <c r="E3886" t="s">
        <v>52</v>
      </c>
      <c r="F3886" t="s">
        <v>960</v>
      </c>
      <c r="G3886" t="s">
        <v>7659</v>
      </c>
      <c r="H3886" t="str">
        <f>"84250"</f>
        <v>84250</v>
      </c>
      <c r="I3886" t="s">
        <v>4834</v>
      </c>
    </row>
    <row r="3887" spans="1:9" x14ac:dyDescent="0.3">
      <c r="A3887" t="str">
        <f>"23171979"</f>
        <v>23171979</v>
      </c>
      <c r="B3887" t="s">
        <v>7660</v>
      </c>
      <c r="C3887" t="str">
        <f>"706"</f>
        <v>706</v>
      </c>
      <c r="D3887" t="s">
        <v>28</v>
      </c>
      <c r="E3887" t="s">
        <v>52</v>
      </c>
      <c r="F3887" t="s">
        <v>5507</v>
      </c>
      <c r="G3887" t="s">
        <v>7661</v>
      </c>
      <c r="H3887" t="str">
        <f>"9499"</f>
        <v>9499</v>
      </c>
      <c r="I3887" t="s">
        <v>31</v>
      </c>
    </row>
    <row r="3888" spans="1:9" x14ac:dyDescent="0.3">
      <c r="A3888" t="str">
        <f>"47930098"</f>
        <v>47930098</v>
      </c>
      <c r="B3888" t="s">
        <v>7662</v>
      </c>
      <c r="C3888" t="str">
        <f>"722"</f>
        <v>722</v>
      </c>
      <c r="D3888" t="s">
        <v>315</v>
      </c>
      <c r="E3888" t="s">
        <v>83</v>
      </c>
      <c r="F3888" t="s">
        <v>183</v>
      </c>
      <c r="G3888" t="s">
        <v>2484</v>
      </c>
      <c r="H3888" t="str">
        <f>"94910"</f>
        <v>94910</v>
      </c>
      <c r="I3888" t="s">
        <v>316</v>
      </c>
    </row>
    <row r="3889" spans="1:9" x14ac:dyDescent="0.3">
      <c r="A3889" t="str">
        <f>"73632627"</f>
        <v>73632627</v>
      </c>
      <c r="B3889" t="s">
        <v>7663</v>
      </c>
      <c r="C3889" t="str">
        <f>"722"</f>
        <v>722</v>
      </c>
      <c r="D3889" t="s">
        <v>315</v>
      </c>
      <c r="E3889" t="s">
        <v>23</v>
      </c>
      <c r="F3889" t="s">
        <v>23</v>
      </c>
      <c r="G3889" t="s">
        <v>7664</v>
      </c>
      <c r="H3889" t="str">
        <f>"94910"</f>
        <v>94910</v>
      </c>
      <c r="I3889" t="s">
        <v>316</v>
      </c>
    </row>
    <row r="3890" spans="1:9" x14ac:dyDescent="0.3">
      <c r="A3890" t="str">
        <f>"02271885"</f>
        <v>02271885</v>
      </c>
      <c r="B3890" t="s">
        <v>7665</v>
      </c>
      <c r="C3890" t="str">
        <f>"706"</f>
        <v>706</v>
      </c>
      <c r="D3890" t="s">
        <v>28</v>
      </c>
      <c r="E3890" t="s">
        <v>83</v>
      </c>
      <c r="F3890" t="s">
        <v>83</v>
      </c>
      <c r="G3890" t="s">
        <v>7666</v>
      </c>
      <c r="H3890" t="str">
        <f>"93190"</f>
        <v>93190</v>
      </c>
      <c r="I3890" t="s">
        <v>59</v>
      </c>
    </row>
    <row r="3891" spans="1:9" x14ac:dyDescent="0.3">
      <c r="A3891" t="str">
        <f>"02373149"</f>
        <v>02373149</v>
      </c>
      <c r="B3891" t="s">
        <v>7667</v>
      </c>
      <c r="C3891" t="str">
        <f>"736"</f>
        <v>736</v>
      </c>
      <c r="D3891" t="s">
        <v>22</v>
      </c>
      <c r="E3891" t="s">
        <v>52</v>
      </c>
      <c r="F3891" t="s">
        <v>234</v>
      </c>
      <c r="G3891" t="s">
        <v>7668</v>
      </c>
      <c r="H3891" t="str">
        <f>"931"</f>
        <v>931</v>
      </c>
      <c r="I3891" t="s">
        <v>26</v>
      </c>
    </row>
    <row r="3892" spans="1:9" x14ac:dyDescent="0.3">
      <c r="A3892" t="str">
        <f>"46276556"</f>
        <v>46276556</v>
      </c>
      <c r="B3892" t="s">
        <v>7669</v>
      </c>
      <c r="C3892" t="str">
        <f>"736"</f>
        <v>736</v>
      </c>
      <c r="D3892" t="s">
        <v>22</v>
      </c>
      <c r="E3892" t="s">
        <v>23</v>
      </c>
      <c r="F3892" t="s">
        <v>24</v>
      </c>
      <c r="G3892" t="s">
        <v>7670</v>
      </c>
      <c r="H3892" t="str">
        <f>"9311"</f>
        <v>9311</v>
      </c>
      <c r="I3892" t="s">
        <v>92</v>
      </c>
    </row>
    <row r="3893" spans="1:9" x14ac:dyDescent="0.3">
      <c r="A3893" t="str">
        <f>"70838381"</f>
        <v>70838381</v>
      </c>
      <c r="B3893" t="s">
        <v>7671</v>
      </c>
      <c r="C3893" t="str">
        <f>"706"</f>
        <v>706</v>
      </c>
      <c r="D3893" t="s">
        <v>28</v>
      </c>
      <c r="E3893" t="s">
        <v>52</v>
      </c>
      <c r="F3893" t="s">
        <v>1170</v>
      </c>
      <c r="G3893" t="s">
        <v>7672</v>
      </c>
      <c r="H3893" t="str">
        <f>"9499"</f>
        <v>9499</v>
      </c>
      <c r="I3893" t="s">
        <v>31</v>
      </c>
    </row>
    <row r="3894" spans="1:9" x14ac:dyDescent="0.3">
      <c r="A3894" t="str">
        <f>"26232081"</f>
        <v>26232081</v>
      </c>
      <c r="B3894" t="s">
        <v>7673</v>
      </c>
      <c r="C3894" t="str">
        <f>"141"</f>
        <v>141</v>
      </c>
      <c r="D3894" t="s">
        <v>112</v>
      </c>
      <c r="E3894" t="s">
        <v>23</v>
      </c>
      <c r="F3894" t="s">
        <v>23</v>
      </c>
      <c r="G3894" t="s">
        <v>6967</v>
      </c>
      <c r="H3894" t="str">
        <f>"8559"</f>
        <v>8559</v>
      </c>
      <c r="I3894" t="s">
        <v>115</v>
      </c>
    </row>
    <row r="3895" spans="1:9" x14ac:dyDescent="0.3">
      <c r="A3895" t="str">
        <f>"28556089"</f>
        <v>28556089</v>
      </c>
      <c r="B3895" t="s">
        <v>7674</v>
      </c>
      <c r="C3895" t="str">
        <f>"706"</f>
        <v>706</v>
      </c>
      <c r="D3895" t="s">
        <v>28</v>
      </c>
      <c r="E3895" t="s">
        <v>83</v>
      </c>
      <c r="F3895" t="s">
        <v>520</v>
      </c>
      <c r="G3895" t="s">
        <v>7675</v>
      </c>
      <c r="H3895" t="str">
        <f>"9499"</f>
        <v>9499</v>
      </c>
      <c r="I3895" t="s">
        <v>31</v>
      </c>
    </row>
    <row r="3896" spans="1:9" x14ac:dyDescent="0.3">
      <c r="A3896" t="str">
        <f>"48505650"</f>
        <v>48505650</v>
      </c>
      <c r="B3896" t="s">
        <v>7676</v>
      </c>
      <c r="C3896" t="str">
        <f>"706"</f>
        <v>706</v>
      </c>
      <c r="D3896" t="s">
        <v>28</v>
      </c>
      <c r="E3896" t="s">
        <v>52</v>
      </c>
      <c r="F3896" t="s">
        <v>52</v>
      </c>
      <c r="G3896" t="s">
        <v>52</v>
      </c>
      <c r="H3896" t="str">
        <f>"93110"</f>
        <v>93110</v>
      </c>
      <c r="I3896" t="s">
        <v>92</v>
      </c>
    </row>
    <row r="3897" spans="1:9" x14ac:dyDescent="0.3">
      <c r="A3897" t="str">
        <f>"70925941"</f>
        <v>70925941</v>
      </c>
      <c r="B3897" t="s">
        <v>7677</v>
      </c>
      <c r="C3897" t="str">
        <f>"736"</f>
        <v>736</v>
      </c>
      <c r="D3897" t="s">
        <v>22</v>
      </c>
      <c r="E3897" t="s">
        <v>83</v>
      </c>
      <c r="F3897" t="s">
        <v>1000</v>
      </c>
      <c r="G3897" t="s">
        <v>7678</v>
      </c>
      <c r="H3897" t="str">
        <f t="shared" ref="H3897:H3902" si="284">"9499"</f>
        <v>9499</v>
      </c>
      <c r="I3897" t="s">
        <v>31</v>
      </c>
    </row>
    <row r="3898" spans="1:9" x14ac:dyDescent="0.3">
      <c r="A3898" t="str">
        <f>"01934660"</f>
        <v>01934660</v>
      </c>
      <c r="B3898" t="s">
        <v>7679</v>
      </c>
      <c r="C3898" t="str">
        <f t="shared" ref="C3898:C3908" si="285">"706"</f>
        <v>706</v>
      </c>
      <c r="D3898" t="s">
        <v>28</v>
      </c>
      <c r="E3898" t="s">
        <v>29</v>
      </c>
      <c r="F3898" t="s">
        <v>195</v>
      </c>
      <c r="G3898" t="s">
        <v>195</v>
      </c>
      <c r="H3898" t="str">
        <f t="shared" si="284"/>
        <v>9499</v>
      </c>
      <c r="I3898" t="s">
        <v>31</v>
      </c>
    </row>
    <row r="3899" spans="1:9" x14ac:dyDescent="0.3">
      <c r="A3899" t="str">
        <f>"22857061"</f>
        <v>22857061</v>
      </c>
      <c r="B3899" t="s">
        <v>7680</v>
      </c>
      <c r="C3899" t="str">
        <f t="shared" si="285"/>
        <v>706</v>
      </c>
      <c r="D3899" t="s">
        <v>28</v>
      </c>
      <c r="E3899" t="s">
        <v>23</v>
      </c>
      <c r="F3899" t="s">
        <v>23</v>
      </c>
      <c r="G3899" t="s">
        <v>1372</v>
      </c>
      <c r="H3899" t="str">
        <f t="shared" si="284"/>
        <v>9499</v>
      </c>
      <c r="I3899" t="s">
        <v>31</v>
      </c>
    </row>
    <row r="3900" spans="1:9" x14ac:dyDescent="0.3">
      <c r="A3900" t="str">
        <f>"01872117"</f>
        <v>01872117</v>
      </c>
      <c r="B3900" t="s">
        <v>7681</v>
      </c>
      <c r="C3900" t="str">
        <f t="shared" si="285"/>
        <v>706</v>
      </c>
      <c r="D3900" t="s">
        <v>28</v>
      </c>
      <c r="E3900" t="s">
        <v>23</v>
      </c>
      <c r="F3900" t="s">
        <v>23</v>
      </c>
      <c r="G3900" t="s">
        <v>23</v>
      </c>
      <c r="H3900" t="str">
        <f t="shared" si="284"/>
        <v>9499</v>
      </c>
      <c r="I3900" t="s">
        <v>31</v>
      </c>
    </row>
    <row r="3901" spans="1:9" x14ac:dyDescent="0.3">
      <c r="A3901" t="str">
        <f>"01965387"</f>
        <v>01965387</v>
      </c>
      <c r="B3901" t="s">
        <v>7682</v>
      </c>
      <c r="C3901" t="str">
        <f t="shared" si="285"/>
        <v>706</v>
      </c>
      <c r="D3901" t="s">
        <v>28</v>
      </c>
      <c r="E3901" t="s">
        <v>52</v>
      </c>
      <c r="F3901" t="s">
        <v>113</v>
      </c>
      <c r="G3901" t="s">
        <v>113</v>
      </c>
      <c r="H3901" t="str">
        <f t="shared" si="284"/>
        <v>9499</v>
      </c>
      <c r="I3901" t="s">
        <v>31</v>
      </c>
    </row>
    <row r="3902" spans="1:9" x14ac:dyDescent="0.3">
      <c r="A3902" t="str">
        <f>"02087898"</f>
        <v>02087898</v>
      </c>
      <c r="B3902" t="s">
        <v>7683</v>
      </c>
      <c r="C3902" t="str">
        <f t="shared" si="285"/>
        <v>706</v>
      </c>
      <c r="D3902" t="s">
        <v>28</v>
      </c>
      <c r="E3902" t="s">
        <v>23</v>
      </c>
      <c r="F3902" t="s">
        <v>975</v>
      </c>
      <c r="G3902" t="s">
        <v>7684</v>
      </c>
      <c r="H3902" t="str">
        <f t="shared" si="284"/>
        <v>9499</v>
      </c>
      <c r="I3902" t="s">
        <v>31</v>
      </c>
    </row>
    <row r="3903" spans="1:9" x14ac:dyDescent="0.3">
      <c r="A3903" t="str">
        <f>"60370459"</f>
        <v>60370459</v>
      </c>
      <c r="B3903" t="s">
        <v>7685</v>
      </c>
      <c r="C3903" t="str">
        <f t="shared" si="285"/>
        <v>706</v>
      </c>
      <c r="D3903" t="s">
        <v>28</v>
      </c>
      <c r="E3903" t="s">
        <v>52</v>
      </c>
      <c r="F3903" t="s">
        <v>344</v>
      </c>
      <c r="G3903" t="s">
        <v>7686</v>
      </c>
      <c r="H3903" t="str">
        <f>"70100"</f>
        <v>70100</v>
      </c>
      <c r="I3903" t="s">
        <v>2421</v>
      </c>
    </row>
    <row r="3904" spans="1:9" x14ac:dyDescent="0.3">
      <c r="A3904" t="str">
        <f>"48489476"</f>
        <v>48489476</v>
      </c>
      <c r="B3904" t="s">
        <v>7687</v>
      </c>
      <c r="C3904" t="str">
        <f t="shared" si="285"/>
        <v>706</v>
      </c>
      <c r="D3904" t="s">
        <v>28</v>
      </c>
      <c r="E3904" t="s">
        <v>52</v>
      </c>
      <c r="F3904" t="s">
        <v>379</v>
      </c>
      <c r="G3904" t="s">
        <v>52</v>
      </c>
      <c r="H3904" t="str">
        <f>"70100"</f>
        <v>70100</v>
      </c>
      <c r="I3904" t="s">
        <v>2421</v>
      </c>
    </row>
    <row r="3905" spans="1:9" x14ac:dyDescent="0.3">
      <c r="A3905" t="str">
        <f>"01916947"</f>
        <v>01916947</v>
      </c>
      <c r="B3905" t="s">
        <v>7688</v>
      </c>
      <c r="C3905" t="str">
        <f t="shared" si="285"/>
        <v>706</v>
      </c>
      <c r="D3905" t="s">
        <v>28</v>
      </c>
      <c r="E3905" t="s">
        <v>52</v>
      </c>
      <c r="F3905" t="s">
        <v>113</v>
      </c>
      <c r="G3905" t="s">
        <v>113</v>
      </c>
      <c r="H3905" t="str">
        <f>"9499"</f>
        <v>9499</v>
      </c>
      <c r="I3905" t="s">
        <v>31</v>
      </c>
    </row>
    <row r="3906" spans="1:9" x14ac:dyDescent="0.3">
      <c r="A3906" t="str">
        <f>"49156918"</f>
        <v>49156918</v>
      </c>
      <c r="B3906" t="s">
        <v>7689</v>
      </c>
      <c r="C3906" t="str">
        <f t="shared" si="285"/>
        <v>706</v>
      </c>
      <c r="D3906" t="s">
        <v>28</v>
      </c>
      <c r="E3906" t="s">
        <v>23</v>
      </c>
      <c r="F3906" t="s">
        <v>23</v>
      </c>
      <c r="G3906" t="s">
        <v>7690</v>
      </c>
      <c r="H3906" t="str">
        <f>"9499"</f>
        <v>9499</v>
      </c>
      <c r="I3906" t="s">
        <v>31</v>
      </c>
    </row>
    <row r="3907" spans="1:9" x14ac:dyDescent="0.3">
      <c r="A3907" t="str">
        <f>"02084112"</f>
        <v>02084112</v>
      </c>
      <c r="B3907" t="s">
        <v>7691</v>
      </c>
      <c r="C3907" t="str">
        <f t="shared" si="285"/>
        <v>706</v>
      </c>
      <c r="D3907" t="s">
        <v>28</v>
      </c>
      <c r="E3907" t="s">
        <v>23</v>
      </c>
      <c r="F3907" t="s">
        <v>24</v>
      </c>
      <c r="G3907" t="s">
        <v>7692</v>
      </c>
      <c r="H3907" t="str">
        <f>"9499"</f>
        <v>9499</v>
      </c>
      <c r="I3907" t="s">
        <v>31</v>
      </c>
    </row>
    <row r="3908" spans="1:9" x14ac:dyDescent="0.3">
      <c r="A3908" t="str">
        <f>"48772933"</f>
        <v>48772933</v>
      </c>
      <c r="B3908" t="s">
        <v>7693</v>
      </c>
      <c r="C3908" t="str">
        <f t="shared" si="285"/>
        <v>706</v>
      </c>
      <c r="D3908" t="s">
        <v>28</v>
      </c>
      <c r="E3908" t="s">
        <v>29</v>
      </c>
      <c r="F3908" t="s">
        <v>29</v>
      </c>
      <c r="G3908" t="s">
        <v>29</v>
      </c>
      <c r="H3908" t="str">
        <f>"94"</f>
        <v>94</v>
      </c>
      <c r="I3908" t="s">
        <v>1016</v>
      </c>
    </row>
    <row r="3909" spans="1:9" x14ac:dyDescent="0.3">
      <c r="A3909" t="str">
        <f>"26525135"</f>
        <v>26525135</v>
      </c>
      <c r="B3909" t="s">
        <v>7695</v>
      </c>
      <c r="C3909" t="str">
        <f t="shared" ref="C3909:C3914" si="286">"706"</f>
        <v>706</v>
      </c>
      <c r="D3909" t="s">
        <v>28</v>
      </c>
      <c r="E3909" t="s">
        <v>23</v>
      </c>
      <c r="F3909" t="s">
        <v>23</v>
      </c>
      <c r="G3909" t="s">
        <v>7696</v>
      </c>
      <c r="H3909" t="str">
        <f>"9499"</f>
        <v>9499</v>
      </c>
      <c r="I3909" t="s">
        <v>31</v>
      </c>
    </row>
    <row r="3910" spans="1:9" x14ac:dyDescent="0.3">
      <c r="A3910" t="str">
        <f>"26673916"</f>
        <v>26673916</v>
      </c>
      <c r="B3910" t="s">
        <v>7697</v>
      </c>
      <c r="C3910" t="str">
        <f t="shared" si="286"/>
        <v>706</v>
      </c>
      <c r="D3910" t="s">
        <v>28</v>
      </c>
      <c r="E3910" t="s">
        <v>29</v>
      </c>
      <c r="F3910" t="s">
        <v>1266</v>
      </c>
      <c r="G3910" t="s">
        <v>7698</v>
      </c>
      <c r="H3910" t="str">
        <f>"9499"</f>
        <v>9499</v>
      </c>
      <c r="I3910" t="s">
        <v>31</v>
      </c>
    </row>
    <row r="3911" spans="1:9" x14ac:dyDescent="0.3">
      <c r="A3911" t="str">
        <f>"60783214"</f>
        <v>60783214</v>
      </c>
      <c r="B3911" t="s">
        <v>7699</v>
      </c>
      <c r="C3911" t="str">
        <f t="shared" si="286"/>
        <v>706</v>
      </c>
      <c r="D3911" t="s">
        <v>28</v>
      </c>
      <c r="E3911" t="s">
        <v>23</v>
      </c>
      <c r="F3911" t="s">
        <v>23</v>
      </c>
      <c r="G3911" t="s">
        <v>7700</v>
      </c>
      <c r="H3911" t="str">
        <f>"94120"</f>
        <v>94120</v>
      </c>
      <c r="I3911" t="s">
        <v>43</v>
      </c>
    </row>
    <row r="3912" spans="1:9" x14ac:dyDescent="0.3">
      <c r="A3912" t="str">
        <f>"65822471"</f>
        <v>65822471</v>
      </c>
      <c r="B3912" t="s">
        <v>7701</v>
      </c>
      <c r="C3912" t="str">
        <f t="shared" si="286"/>
        <v>706</v>
      </c>
      <c r="D3912" t="s">
        <v>28</v>
      </c>
      <c r="E3912" t="s">
        <v>23</v>
      </c>
      <c r="F3912" t="s">
        <v>23</v>
      </c>
      <c r="G3912" t="s">
        <v>280</v>
      </c>
      <c r="H3912" t="str">
        <f>"9499"</f>
        <v>9499</v>
      </c>
      <c r="I3912" t="s">
        <v>31</v>
      </c>
    </row>
    <row r="3913" spans="1:9" x14ac:dyDescent="0.3">
      <c r="A3913" t="str">
        <f>"27041611"</f>
        <v>27041611</v>
      </c>
      <c r="B3913" t="s">
        <v>7702</v>
      </c>
      <c r="C3913" t="str">
        <f t="shared" si="286"/>
        <v>706</v>
      </c>
      <c r="D3913" t="s">
        <v>28</v>
      </c>
      <c r="E3913" t="s">
        <v>23</v>
      </c>
      <c r="F3913" t="s">
        <v>107</v>
      </c>
      <c r="G3913" t="s">
        <v>7703</v>
      </c>
      <c r="H3913" t="str">
        <f>"94120"</f>
        <v>94120</v>
      </c>
      <c r="I3913" t="s">
        <v>43</v>
      </c>
    </row>
    <row r="3914" spans="1:9" x14ac:dyDescent="0.3">
      <c r="A3914" t="str">
        <f>"67008615"</f>
        <v>67008615</v>
      </c>
      <c r="B3914" t="s">
        <v>7704</v>
      </c>
      <c r="C3914" t="str">
        <f t="shared" si="286"/>
        <v>706</v>
      </c>
      <c r="D3914" t="s">
        <v>28</v>
      </c>
      <c r="E3914" t="s">
        <v>23</v>
      </c>
      <c r="F3914" t="s">
        <v>23</v>
      </c>
      <c r="G3914" t="s">
        <v>23</v>
      </c>
      <c r="H3914" t="str">
        <f>"9499"</f>
        <v>9499</v>
      </c>
      <c r="I3914" t="s">
        <v>31</v>
      </c>
    </row>
    <row r="3915" spans="1:9" x14ac:dyDescent="0.3">
      <c r="A3915" t="str">
        <f>"26985152"</f>
        <v>26985152</v>
      </c>
      <c r="B3915" t="s">
        <v>7705</v>
      </c>
      <c r="C3915" t="str">
        <f t="shared" ref="C3915:C3930" si="287">"706"</f>
        <v>706</v>
      </c>
      <c r="D3915" t="s">
        <v>28</v>
      </c>
      <c r="E3915" t="s">
        <v>52</v>
      </c>
      <c r="F3915" t="s">
        <v>234</v>
      </c>
      <c r="G3915" t="s">
        <v>3033</v>
      </c>
      <c r="H3915" t="str">
        <f>"93120"</f>
        <v>93120</v>
      </c>
      <c r="I3915" t="s">
        <v>54</v>
      </c>
    </row>
    <row r="3916" spans="1:9" x14ac:dyDescent="0.3">
      <c r="A3916" t="str">
        <f>"70286329"</f>
        <v>70286329</v>
      </c>
      <c r="B3916" t="s">
        <v>7706</v>
      </c>
      <c r="C3916" t="str">
        <f t="shared" si="287"/>
        <v>706</v>
      </c>
      <c r="D3916" t="s">
        <v>28</v>
      </c>
      <c r="E3916" t="s">
        <v>83</v>
      </c>
      <c r="F3916" t="s">
        <v>183</v>
      </c>
      <c r="G3916" t="s">
        <v>7707</v>
      </c>
      <c r="H3916" t="str">
        <f>"93120"</f>
        <v>93120</v>
      </c>
      <c r="I3916" t="s">
        <v>54</v>
      </c>
    </row>
    <row r="3917" spans="1:9" x14ac:dyDescent="0.3">
      <c r="A3917" t="str">
        <f>"26600137"</f>
        <v>26600137</v>
      </c>
      <c r="B3917" t="s">
        <v>7708</v>
      </c>
      <c r="C3917" t="str">
        <f t="shared" si="287"/>
        <v>706</v>
      </c>
      <c r="D3917" t="s">
        <v>28</v>
      </c>
      <c r="E3917" t="s">
        <v>29</v>
      </c>
      <c r="F3917" t="s">
        <v>29</v>
      </c>
      <c r="G3917" t="s">
        <v>5902</v>
      </c>
      <c r="H3917" t="str">
        <f>"93110"</f>
        <v>93110</v>
      </c>
      <c r="I3917" t="s">
        <v>92</v>
      </c>
    </row>
    <row r="3918" spans="1:9" x14ac:dyDescent="0.3">
      <c r="A3918" t="str">
        <f>"02231689"</f>
        <v>02231689</v>
      </c>
      <c r="B3918" t="s">
        <v>7709</v>
      </c>
      <c r="C3918" t="str">
        <f t="shared" si="287"/>
        <v>706</v>
      </c>
      <c r="D3918" t="s">
        <v>28</v>
      </c>
      <c r="E3918" t="s">
        <v>52</v>
      </c>
      <c r="F3918" t="s">
        <v>113</v>
      </c>
      <c r="G3918" t="s">
        <v>7710</v>
      </c>
      <c r="H3918" t="str">
        <f>"9499"</f>
        <v>9499</v>
      </c>
      <c r="I3918" t="s">
        <v>31</v>
      </c>
    </row>
    <row r="3919" spans="1:9" x14ac:dyDescent="0.3">
      <c r="A3919" t="str">
        <f>"22831045"</f>
        <v>22831045</v>
      </c>
      <c r="B3919" t="s">
        <v>7711</v>
      </c>
      <c r="C3919" t="str">
        <f t="shared" si="287"/>
        <v>706</v>
      </c>
      <c r="D3919" t="s">
        <v>28</v>
      </c>
      <c r="E3919" t="s">
        <v>29</v>
      </c>
      <c r="F3919" t="s">
        <v>876</v>
      </c>
      <c r="G3919" t="s">
        <v>7712</v>
      </c>
      <c r="H3919" t="str">
        <f>"94999"</f>
        <v>94999</v>
      </c>
      <c r="I3919" t="s">
        <v>202</v>
      </c>
    </row>
    <row r="3920" spans="1:9" x14ac:dyDescent="0.3">
      <c r="A3920" t="str">
        <f>"63459523"</f>
        <v>63459523</v>
      </c>
      <c r="B3920" t="s">
        <v>7713</v>
      </c>
      <c r="C3920" t="str">
        <f t="shared" si="287"/>
        <v>706</v>
      </c>
      <c r="D3920" t="s">
        <v>28</v>
      </c>
      <c r="E3920" t="s">
        <v>83</v>
      </c>
      <c r="F3920" t="s">
        <v>1718</v>
      </c>
      <c r="G3920" t="s">
        <v>1719</v>
      </c>
      <c r="H3920" t="str">
        <f>"931"</f>
        <v>931</v>
      </c>
      <c r="I3920" t="s">
        <v>26</v>
      </c>
    </row>
    <row r="3921" spans="1:9" x14ac:dyDescent="0.3">
      <c r="A3921" t="str">
        <f>"70851441"</f>
        <v>70851441</v>
      </c>
      <c r="B3921" t="s">
        <v>7714</v>
      </c>
      <c r="C3921" t="str">
        <f t="shared" si="287"/>
        <v>706</v>
      </c>
      <c r="D3921" t="s">
        <v>28</v>
      </c>
      <c r="E3921" t="s">
        <v>23</v>
      </c>
      <c r="F3921" t="s">
        <v>35</v>
      </c>
      <c r="G3921" t="s">
        <v>7715</v>
      </c>
      <c r="H3921" t="str">
        <f>"9499"</f>
        <v>9499</v>
      </c>
      <c r="I3921" t="s">
        <v>31</v>
      </c>
    </row>
    <row r="3922" spans="1:9" x14ac:dyDescent="0.3">
      <c r="A3922" t="str">
        <f>"26573580"</f>
        <v>26573580</v>
      </c>
      <c r="B3922" t="s">
        <v>7716</v>
      </c>
      <c r="C3922" t="str">
        <f t="shared" si="287"/>
        <v>706</v>
      </c>
      <c r="D3922" t="s">
        <v>28</v>
      </c>
      <c r="E3922" t="s">
        <v>23</v>
      </c>
      <c r="F3922" t="s">
        <v>1917</v>
      </c>
      <c r="G3922" t="s">
        <v>7717</v>
      </c>
      <c r="H3922" t="str">
        <f>"94996"</f>
        <v>94996</v>
      </c>
      <c r="I3922" t="s">
        <v>47</v>
      </c>
    </row>
    <row r="3923" spans="1:9" x14ac:dyDescent="0.3">
      <c r="A3923" t="str">
        <f>"70285250"</f>
        <v>70285250</v>
      </c>
      <c r="B3923" t="s">
        <v>7718</v>
      </c>
      <c r="C3923" t="str">
        <f t="shared" si="287"/>
        <v>706</v>
      </c>
      <c r="D3923" t="s">
        <v>28</v>
      </c>
      <c r="E3923" t="s">
        <v>52</v>
      </c>
      <c r="F3923" t="s">
        <v>52</v>
      </c>
      <c r="G3923" t="s">
        <v>7719</v>
      </c>
      <c r="H3923" t="str">
        <f>"9499"</f>
        <v>9499</v>
      </c>
      <c r="I3923" t="s">
        <v>31</v>
      </c>
    </row>
    <row r="3924" spans="1:9" x14ac:dyDescent="0.3">
      <c r="A3924" t="str">
        <f>"49156284"</f>
        <v>49156284</v>
      </c>
      <c r="B3924" t="s">
        <v>7720</v>
      </c>
      <c r="C3924" t="str">
        <f t="shared" si="287"/>
        <v>706</v>
      </c>
      <c r="D3924" t="s">
        <v>28</v>
      </c>
      <c r="E3924" t="s">
        <v>23</v>
      </c>
      <c r="F3924" t="s">
        <v>23</v>
      </c>
      <c r="G3924" t="s">
        <v>7721</v>
      </c>
      <c r="H3924" t="str">
        <f>"9499"</f>
        <v>9499</v>
      </c>
      <c r="I3924" t="s">
        <v>31</v>
      </c>
    </row>
    <row r="3925" spans="1:9" x14ac:dyDescent="0.3">
      <c r="A3925" t="str">
        <f>"22757520"</f>
        <v>22757520</v>
      </c>
      <c r="B3925" t="s">
        <v>7722</v>
      </c>
      <c r="C3925" t="str">
        <f t="shared" si="287"/>
        <v>706</v>
      </c>
      <c r="D3925" t="s">
        <v>28</v>
      </c>
      <c r="E3925" t="s">
        <v>23</v>
      </c>
      <c r="F3925" t="s">
        <v>141</v>
      </c>
      <c r="G3925" t="s">
        <v>7723</v>
      </c>
      <c r="H3925" t="str">
        <f>"9499"</f>
        <v>9499</v>
      </c>
      <c r="I3925" t="s">
        <v>31</v>
      </c>
    </row>
    <row r="3926" spans="1:9" x14ac:dyDescent="0.3">
      <c r="A3926" t="str">
        <f>"26652439"</f>
        <v>26652439</v>
      </c>
      <c r="B3926" t="s">
        <v>7724</v>
      </c>
      <c r="C3926" t="str">
        <f t="shared" si="287"/>
        <v>706</v>
      </c>
      <c r="D3926" t="s">
        <v>28</v>
      </c>
      <c r="E3926" t="s">
        <v>23</v>
      </c>
      <c r="F3926" t="s">
        <v>23</v>
      </c>
      <c r="G3926" t="s">
        <v>7725</v>
      </c>
      <c r="H3926" t="str">
        <f>"9499"</f>
        <v>9499</v>
      </c>
      <c r="I3926" t="s">
        <v>31</v>
      </c>
    </row>
    <row r="3927" spans="1:9" x14ac:dyDescent="0.3">
      <c r="A3927" t="str">
        <f>"75130165"</f>
        <v>75130165</v>
      </c>
      <c r="B3927" t="s">
        <v>7726</v>
      </c>
      <c r="C3927" t="str">
        <f t="shared" si="287"/>
        <v>706</v>
      </c>
      <c r="D3927" t="s">
        <v>28</v>
      </c>
      <c r="E3927" t="s">
        <v>23</v>
      </c>
      <c r="F3927" t="s">
        <v>23</v>
      </c>
      <c r="G3927" t="s">
        <v>3654</v>
      </c>
      <c r="H3927" t="str">
        <f>"841"</f>
        <v>841</v>
      </c>
      <c r="I3927" t="s">
        <v>7727</v>
      </c>
    </row>
    <row r="3928" spans="1:9" x14ac:dyDescent="0.3">
      <c r="A3928" t="str">
        <f>"22882367"</f>
        <v>22882367</v>
      </c>
      <c r="B3928" t="s">
        <v>7728</v>
      </c>
      <c r="C3928" t="str">
        <f t="shared" si="287"/>
        <v>706</v>
      </c>
      <c r="D3928" t="s">
        <v>28</v>
      </c>
      <c r="E3928" t="s">
        <v>29</v>
      </c>
      <c r="F3928" t="s">
        <v>38</v>
      </c>
      <c r="G3928" t="s">
        <v>7729</v>
      </c>
      <c r="H3928" t="str">
        <f>"93190"</f>
        <v>93190</v>
      </c>
      <c r="I3928" t="s">
        <v>59</v>
      </c>
    </row>
    <row r="3929" spans="1:9" x14ac:dyDescent="0.3">
      <c r="A3929" t="str">
        <f>"22736042"</f>
        <v>22736042</v>
      </c>
      <c r="B3929" t="s">
        <v>7730</v>
      </c>
      <c r="C3929" t="str">
        <f t="shared" si="287"/>
        <v>706</v>
      </c>
      <c r="D3929" t="s">
        <v>28</v>
      </c>
      <c r="E3929" t="s">
        <v>23</v>
      </c>
      <c r="F3929" t="s">
        <v>350</v>
      </c>
      <c r="G3929" t="s">
        <v>7731</v>
      </c>
      <c r="H3929" t="str">
        <f>"94991"</f>
        <v>94991</v>
      </c>
      <c r="I3929" t="s">
        <v>433</v>
      </c>
    </row>
    <row r="3930" spans="1:9" x14ac:dyDescent="0.3">
      <c r="A3930" t="str">
        <f>"26984628"</f>
        <v>26984628</v>
      </c>
      <c r="B3930" t="s">
        <v>7732</v>
      </c>
      <c r="C3930" t="str">
        <f t="shared" si="287"/>
        <v>706</v>
      </c>
      <c r="D3930" t="s">
        <v>28</v>
      </c>
      <c r="E3930" t="s">
        <v>83</v>
      </c>
      <c r="F3930" t="s">
        <v>217</v>
      </c>
      <c r="G3930" t="s">
        <v>7733</v>
      </c>
      <c r="H3930" t="str">
        <f>"94993"</f>
        <v>94993</v>
      </c>
      <c r="I3930" t="s">
        <v>50</v>
      </c>
    </row>
    <row r="3931" spans="1:9" x14ac:dyDescent="0.3">
      <c r="A3931" t="str">
        <f>"60575964"</f>
        <v>60575964</v>
      </c>
      <c r="B3931" t="s">
        <v>7734</v>
      </c>
      <c r="C3931" t="str">
        <f>"736"</f>
        <v>736</v>
      </c>
      <c r="D3931" t="s">
        <v>22</v>
      </c>
      <c r="E3931" t="s">
        <v>23</v>
      </c>
      <c r="F3931" t="s">
        <v>23</v>
      </c>
      <c r="G3931" t="s">
        <v>942</v>
      </c>
      <c r="H3931" t="str">
        <f>"94996"</f>
        <v>94996</v>
      </c>
      <c r="I3931" t="s">
        <v>47</v>
      </c>
    </row>
    <row r="3932" spans="1:9" x14ac:dyDescent="0.3">
      <c r="A3932" t="str">
        <f>"26608758"</f>
        <v>26608758</v>
      </c>
      <c r="B3932" t="s">
        <v>7735</v>
      </c>
      <c r="C3932" t="str">
        <f>"706"</f>
        <v>706</v>
      </c>
      <c r="D3932" t="s">
        <v>28</v>
      </c>
      <c r="E3932" t="s">
        <v>52</v>
      </c>
      <c r="F3932" t="s">
        <v>1078</v>
      </c>
      <c r="G3932" t="s">
        <v>7736</v>
      </c>
      <c r="H3932" t="str">
        <f t="shared" ref="H3932:H3942" si="288">"9499"</f>
        <v>9499</v>
      </c>
      <c r="I3932" t="s">
        <v>31</v>
      </c>
    </row>
    <row r="3933" spans="1:9" x14ac:dyDescent="0.3">
      <c r="A3933" t="str">
        <f>"02086549"</f>
        <v>02086549</v>
      </c>
      <c r="B3933" t="s">
        <v>7737</v>
      </c>
      <c r="C3933" t="str">
        <f>"706"</f>
        <v>706</v>
      </c>
      <c r="D3933" t="s">
        <v>28</v>
      </c>
      <c r="E3933" t="s">
        <v>83</v>
      </c>
      <c r="F3933" t="s">
        <v>537</v>
      </c>
      <c r="G3933" t="s">
        <v>7738</v>
      </c>
      <c r="H3933" t="str">
        <f t="shared" si="288"/>
        <v>9499</v>
      </c>
      <c r="I3933" t="s">
        <v>31</v>
      </c>
    </row>
    <row r="3934" spans="1:9" x14ac:dyDescent="0.3">
      <c r="A3934" t="str">
        <f>"65764625"</f>
        <v>65764625</v>
      </c>
      <c r="B3934" t="s">
        <v>7739</v>
      </c>
      <c r="C3934" t="str">
        <f>"706"</f>
        <v>706</v>
      </c>
      <c r="D3934" t="s">
        <v>28</v>
      </c>
      <c r="E3934" t="s">
        <v>23</v>
      </c>
      <c r="F3934" t="s">
        <v>24</v>
      </c>
      <c r="G3934" t="s">
        <v>7740</v>
      </c>
      <c r="H3934" t="str">
        <f t="shared" si="288"/>
        <v>9499</v>
      </c>
      <c r="I3934" t="s">
        <v>31</v>
      </c>
    </row>
    <row r="3935" spans="1:9" x14ac:dyDescent="0.3">
      <c r="A3935" t="str">
        <f>"70284903"</f>
        <v>70284903</v>
      </c>
      <c r="B3935" t="s">
        <v>7742</v>
      </c>
      <c r="C3935" t="str">
        <f t="shared" ref="C3935:C3944" si="289">"706"</f>
        <v>706</v>
      </c>
      <c r="D3935" t="s">
        <v>28</v>
      </c>
      <c r="E3935" t="s">
        <v>23</v>
      </c>
      <c r="F3935" t="s">
        <v>24</v>
      </c>
      <c r="G3935" t="s">
        <v>476</v>
      </c>
      <c r="H3935" t="str">
        <f t="shared" si="288"/>
        <v>9499</v>
      </c>
      <c r="I3935" t="s">
        <v>31</v>
      </c>
    </row>
    <row r="3936" spans="1:9" x14ac:dyDescent="0.3">
      <c r="A3936" t="str">
        <f>"26611406"</f>
        <v>26611406</v>
      </c>
      <c r="B3936" t="s">
        <v>7743</v>
      </c>
      <c r="C3936" t="str">
        <f t="shared" si="289"/>
        <v>706</v>
      </c>
      <c r="D3936" t="s">
        <v>28</v>
      </c>
      <c r="E3936" t="s">
        <v>52</v>
      </c>
      <c r="F3936" t="s">
        <v>960</v>
      </c>
      <c r="G3936" t="s">
        <v>7744</v>
      </c>
      <c r="H3936" t="str">
        <f t="shared" si="288"/>
        <v>9499</v>
      </c>
      <c r="I3936" t="s">
        <v>31</v>
      </c>
    </row>
    <row r="3937" spans="1:9" x14ac:dyDescent="0.3">
      <c r="A3937" t="str">
        <f>"63415691"</f>
        <v>63415691</v>
      </c>
      <c r="B3937" t="s">
        <v>7745</v>
      </c>
      <c r="C3937" t="str">
        <f t="shared" si="289"/>
        <v>706</v>
      </c>
      <c r="D3937" t="s">
        <v>28</v>
      </c>
      <c r="E3937" t="s">
        <v>83</v>
      </c>
      <c r="F3937" t="s">
        <v>83</v>
      </c>
      <c r="G3937" t="s">
        <v>7746</v>
      </c>
      <c r="H3937" t="str">
        <f t="shared" si="288"/>
        <v>9499</v>
      </c>
      <c r="I3937" t="s">
        <v>31</v>
      </c>
    </row>
    <row r="3938" spans="1:9" x14ac:dyDescent="0.3">
      <c r="A3938" t="str">
        <f>"65823044"</f>
        <v>65823044</v>
      </c>
      <c r="B3938" t="s">
        <v>7747</v>
      </c>
      <c r="C3938" t="str">
        <f t="shared" si="289"/>
        <v>706</v>
      </c>
      <c r="D3938" t="s">
        <v>28</v>
      </c>
      <c r="E3938" t="s">
        <v>23</v>
      </c>
      <c r="F3938" t="s">
        <v>23</v>
      </c>
      <c r="G3938" t="s">
        <v>7748</v>
      </c>
      <c r="H3938" t="str">
        <f t="shared" si="288"/>
        <v>9499</v>
      </c>
      <c r="I3938" t="s">
        <v>31</v>
      </c>
    </row>
    <row r="3939" spans="1:9" x14ac:dyDescent="0.3">
      <c r="A3939" t="str">
        <f>"26544750"</f>
        <v>26544750</v>
      </c>
      <c r="B3939" t="s">
        <v>7749</v>
      </c>
      <c r="C3939" t="str">
        <f t="shared" si="289"/>
        <v>706</v>
      </c>
      <c r="D3939" t="s">
        <v>28</v>
      </c>
      <c r="E3939" t="s">
        <v>23</v>
      </c>
      <c r="F3939" t="s">
        <v>1581</v>
      </c>
      <c r="G3939" t="s">
        <v>7750</v>
      </c>
      <c r="H3939" t="str">
        <f t="shared" si="288"/>
        <v>9499</v>
      </c>
      <c r="I3939" t="s">
        <v>31</v>
      </c>
    </row>
    <row r="3940" spans="1:9" x14ac:dyDescent="0.3">
      <c r="A3940" t="str">
        <f>"26601125"</f>
        <v>26601125</v>
      </c>
      <c r="B3940" t="s">
        <v>7751</v>
      </c>
      <c r="C3940" t="str">
        <f t="shared" si="289"/>
        <v>706</v>
      </c>
      <c r="D3940" t="s">
        <v>28</v>
      </c>
      <c r="E3940" t="s">
        <v>23</v>
      </c>
      <c r="F3940" t="s">
        <v>141</v>
      </c>
      <c r="G3940" t="s">
        <v>2668</v>
      </c>
      <c r="H3940" t="str">
        <f t="shared" si="288"/>
        <v>9499</v>
      </c>
      <c r="I3940" t="s">
        <v>31</v>
      </c>
    </row>
    <row r="3941" spans="1:9" x14ac:dyDescent="0.3">
      <c r="A3941" t="str">
        <f>"68689098"</f>
        <v>68689098</v>
      </c>
      <c r="B3941" t="s">
        <v>7752</v>
      </c>
      <c r="C3941" t="str">
        <f t="shared" si="289"/>
        <v>706</v>
      </c>
      <c r="D3941" t="s">
        <v>28</v>
      </c>
      <c r="E3941" t="s">
        <v>23</v>
      </c>
      <c r="F3941" t="s">
        <v>1631</v>
      </c>
      <c r="G3941" t="s">
        <v>713</v>
      </c>
      <c r="H3941" t="str">
        <f t="shared" si="288"/>
        <v>9499</v>
      </c>
      <c r="I3941" t="s">
        <v>31</v>
      </c>
    </row>
    <row r="3942" spans="1:9" x14ac:dyDescent="0.3">
      <c r="A3942" t="str">
        <f>"26546094"</f>
        <v>26546094</v>
      </c>
      <c r="B3942" t="s">
        <v>7753</v>
      </c>
      <c r="C3942" t="str">
        <f t="shared" si="289"/>
        <v>706</v>
      </c>
      <c r="D3942" t="s">
        <v>28</v>
      </c>
      <c r="E3942" t="s">
        <v>52</v>
      </c>
      <c r="F3942" t="s">
        <v>52</v>
      </c>
      <c r="G3942" t="s">
        <v>7754</v>
      </c>
      <c r="H3942" t="str">
        <f t="shared" si="288"/>
        <v>9499</v>
      </c>
      <c r="I3942" t="s">
        <v>31</v>
      </c>
    </row>
    <row r="3943" spans="1:9" x14ac:dyDescent="0.3">
      <c r="A3943" t="str">
        <f>"26992591"</f>
        <v>26992591</v>
      </c>
      <c r="B3943" t="s">
        <v>7755</v>
      </c>
      <c r="C3943" t="str">
        <f t="shared" si="289"/>
        <v>706</v>
      </c>
      <c r="D3943" t="s">
        <v>28</v>
      </c>
      <c r="E3943" t="s">
        <v>52</v>
      </c>
      <c r="F3943" t="s">
        <v>951</v>
      </c>
      <c r="G3943" t="s">
        <v>7756</v>
      </c>
      <c r="H3943" t="str">
        <f>"94995"</f>
        <v>94995</v>
      </c>
      <c r="I3943" t="s">
        <v>232</v>
      </c>
    </row>
    <row r="3944" spans="1:9" x14ac:dyDescent="0.3">
      <c r="A3944" t="str">
        <f>"26563126"</f>
        <v>26563126</v>
      </c>
      <c r="B3944" t="s">
        <v>7757</v>
      </c>
      <c r="C3944" t="str">
        <f t="shared" si="289"/>
        <v>706</v>
      </c>
      <c r="D3944" t="s">
        <v>28</v>
      </c>
      <c r="E3944" t="s">
        <v>23</v>
      </c>
      <c r="F3944" t="s">
        <v>23</v>
      </c>
      <c r="G3944" t="s">
        <v>6534</v>
      </c>
      <c r="H3944" t="str">
        <f>"94996"</f>
        <v>94996</v>
      </c>
      <c r="I3944" t="s">
        <v>47</v>
      </c>
    </row>
    <row r="3945" spans="1:9" x14ac:dyDescent="0.3">
      <c r="A3945" t="str">
        <f>"66184291"</f>
        <v>66184291</v>
      </c>
      <c r="B3945" t="s">
        <v>7758</v>
      </c>
      <c r="C3945" t="str">
        <f>"736"</f>
        <v>736</v>
      </c>
      <c r="D3945" t="s">
        <v>22</v>
      </c>
      <c r="E3945" t="s">
        <v>29</v>
      </c>
      <c r="F3945" t="s">
        <v>29</v>
      </c>
      <c r="G3945" t="s">
        <v>7759</v>
      </c>
      <c r="H3945" t="str">
        <f>"94996"</f>
        <v>94996</v>
      </c>
      <c r="I3945" t="s">
        <v>47</v>
      </c>
    </row>
    <row r="3946" spans="1:9" x14ac:dyDescent="0.3">
      <c r="A3946" t="str">
        <f>"22717188"</f>
        <v>22717188</v>
      </c>
      <c r="B3946" t="s">
        <v>7760</v>
      </c>
      <c r="C3946" t="str">
        <f>"706"</f>
        <v>706</v>
      </c>
      <c r="D3946" t="s">
        <v>28</v>
      </c>
      <c r="E3946" t="s">
        <v>29</v>
      </c>
      <c r="F3946" t="s">
        <v>670</v>
      </c>
      <c r="G3946" t="s">
        <v>7761</v>
      </c>
      <c r="H3946" t="str">
        <f>"93190"</f>
        <v>93190</v>
      </c>
      <c r="I3946" t="s">
        <v>59</v>
      </c>
    </row>
    <row r="3947" spans="1:9" x14ac:dyDescent="0.3">
      <c r="A3947" t="str">
        <f>"61716685"</f>
        <v>61716685</v>
      </c>
      <c r="B3947" t="s">
        <v>7762</v>
      </c>
      <c r="C3947" t="str">
        <f>"706"</f>
        <v>706</v>
      </c>
      <c r="D3947" t="s">
        <v>28</v>
      </c>
      <c r="E3947" t="s">
        <v>23</v>
      </c>
      <c r="F3947" t="s">
        <v>245</v>
      </c>
      <c r="G3947" t="s">
        <v>7763</v>
      </c>
      <c r="H3947" t="str">
        <f>"9499"</f>
        <v>9499</v>
      </c>
      <c r="I3947" t="s">
        <v>31</v>
      </c>
    </row>
    <row r="3948" spans="1:9" x14ac:dyDescent="0.3">
      <c r="A3948" t="str">
        <f>"02500400"</f>
        <v>02500400</v>
      </c>
      <c r="B3948" t="s">
        <v>7764</v>
      </c>
      <c r="C3948" t="str">
        <f>"706"</f>
        <v>706</v>
      </c>
      <c r="D3948" t="s">
        <v>28</v>
      </c>
      <c r="E3948" t="s">
        <v>29</v>
      </c>
      <c r="F3948" t="s">
        <v>195</v>
      </c>
      <c r="G3948" t="s">
        <v>7765</v>
      </c>
      <c r="H3948" t="str">
        <f>"9499"</f>
        <v>9499</v>
      </c>
      <c r="I3948" t="s">
        <v>31</v>
      </c>
    </row>
    <row r="3949" spans="1:9" x14ac:dyDescent="0.3">
      <c r="A3949" t="str">
        <f>"68687711"</f>
        <v>68687711</v>
      </c>
      <c r="B3949" t="s">
        <v>7766</v>
      </c>
      <c r="C3949" t="str">
        <f>"706"</f>
        <v>706</v>
      </c>
      <c r="D3949" t="s">
        <v>28</v>
      </c>
      <c r="E3949" t="s">
        <v>52</v>
      </c>
      <c r="F3949" t="s">
        <v>1857</v>
      </c>
      <c r="G3949" t="s">
        <v>7767</v>
      </c>
      <c r="H3949" t="str">
        <f t="shared" ref="H3949:H3969" si="290">"9499"</f>
        <v>9499</v>
      </c>
      <c r="I3949" t="s">
        <v>31</v>
      </c>
    </row>
    <row r="3950" spans="1:9" x14ac:dyDescent="0.3">
      <c r="A3950" t="str">
        <f>"22762183"</f>
        <v>22762183</v>
      </c>
      <c r="B3950" t="s">
        <v>7768</v>
      </c>
      <c r="C3950" t="str">
        <f t="shared" ref="C3950:C3958" si="291">"706"</f>
        <v>706</v>
      </c>
      <c r="D3950" t="s">
        <v>28</v>
      </c>
      <c r="E3950" t="s">
        <v>52</v>
      </c>
      <c r="F3950" t="s">
        <v>234</v>
      </c>
      <c r="G3950" t="s">
        <v>7769</v>
      </c>
      <c r="H3950" t="str">
        <f t="shared" si="290"/>
        <v>9499</v>
      </c>
      <c r="I3950" t="s">
        <v>31</v>
      </c>
    </row>
    <row r="3951" spans="1:9" x14ac:dyDescent="0.3">
      <c r="A3951" t="str">
        <f>"65792467"</f>
        <v>65792467</v>
      </c>
      <c r="B3951" t="s">
        <v>7770</v>
      </c>
      <c r="C3951" t="str">
        <f t="shared" si="291"/>
        <v>706</v>
      </c>
      <c r="D3951" t="s">
        <v>28</v>
      </c>
      <c r="E3951" t="s">
        <v>23</v>
      </c>
      <c r="F3951" t="s">
        <v>23</v>
      </c>
      <c r="G3951" t="s">
        <v>7771</v>
      </c>
      <c r="H3951" t="str">
        <f t="shared" si="290"/>
        <v>9499</v>
      </c>
      <c r="I3951" t="s">
        <v>31</v>
      </c>
    </row>
    <row r="3952" spans="1:9" x14ac:dyDescent="0.3">
      <c r="A3952" t="str">
        <f>"67007830"</f>
        <v>67007830</v>
      </c>
      <c r="B3952" t="s">
        <v>7772</v>
      </c>
      <c r="C3952" t="str">
        <f t="shared" si="291"/>
        <v>706</v>
      </c>
      <c r="D3952" t="s">
        <v>28</v>
      </c>
      <c r="E3952" t="s">
        <v>83</v>
      </c>
      <c r="F3952" t="s">
        <v>83</v>
      </c>
      <c r="G3952" t="s">
        <v>7773</v>
      </c>
      <c r="H3952" t="str">
        <f t="shared" si="290"/>
        <v>9499</v>
      </c>
      <c r="I3952" t="s">
        <v>31</v>
      </c>
    </row>
    <row r="3953" spans="1:9" x14ac:dyDescent="0.3">
      <c r="A3953" t="str">
        <f>"69652155"</f>
        <v>69652155</v>
      </c>
      <c r="B3953" t="s">
        <v>7774</v>
      </c>
      <c r="C3953" t="str">
        <f t="shared" si="291"/>
        <v>706</v>
      </c>
      <c r="D3953" t="s">
        <v>28</v>
      </c>
      <c r="E3953" t="s">
        <v>23</v>
      </c>
      <c r="F3953" t="s">
        <v>975</v>
      </c>
      <c r="G3953" t="s">
        <v>7775</v>
      </c>
      <c r="H3953" t="str">
        <f t="shared" si="290"/>
        <v>9499</v>
      </c>
      <c r="I3953" t="s">
        <v>31</v>
      </c>
    </row>
    <row r="3954" spans="1:9" x14ac:dyDescent="0.3">
      <c r="A3954" t="str">
        <f>"26589532"</f>
        <v>26589532</v>
      </c>
      <c r="B3954" t="s">
        <v>7776</v>
      </c>
      <c r="C3954" t="str">
        <f t="shared" si="291"/>
        <v>706</v>
      </c>
      <c r="D3954" t="s">
        <v>28</v>
      </c>
      <c r="E3954" t="s">
        <v>29</v>
      </c>
      <c r="F3954" t="s">
        <v>1121</v>
      </c>
      <c r="G3954" t="s">
        <v>7777</v>
      </c>
      <c r="H3954" t="str">
        <f t="shared" si="290"/>
        <v>9499</v>
      </c>
      <c r="I3954" t="s">
        <v>31</v>
      </c>
    </row>
    <row r="3955" spans="1:9" x14ac:dyDescent="0.3">
      <c r="A3955" t="str">
        <f>"70858039"</f>
        <v>70858039</v>
      </c>
      <c r="B3955" t="s">
        <v>7778</v>
      </c>
      <c r="C3955" t="str">
        <f t="shared" si="291"/>
        <v>706</v>
      </c>
      <c r="D3955" t="s">
        <v>28</v>
      </c>
      <c r="E3955" t="s">
        <v>23</v>
      </c>
      <c r="F3955" t="s">
        <v>23</v>
      </c>
      <c r="G3955" t="s">
        <v>1145</v>
      </c>
      <c r="H3955" t="str">
        <f t="shared" si="290"/>
        <v>9499</v>
      </c>
      <c r="I3955" t="s">
        <v>31</v>
      </c>
    </row>
    <row r="3956" spans="1:9" x14ac:dyDescent="0.3">
      <c r="A3956" t="str">
        <f>"26519241"</f>
        <v>26519241</v>
      </c>
      <c r="B3956" t="s">
        <v>7779</v>
      </c>
      <c r="C3956" t="str">
        <f t="shared" si="291"/>
        <v>706</v>
      </c>
      <c r="D3956" t="s">
        <v>28</v>
      </c>
      <c r="E3956" t="s">
        <v>52</v>
      </c>
      <c r="F3956" t="s">
        <v>52</v>
      </c>
      <c r="G3956" t="s">
        <v>7780</v>
      </c>
      <c r="H3956" t="str">
        <f t="shared" si="290"/>
        <v>9499</v>
      </c>
      <c r="I3956" t="s">
        <v>31</v>
      </c>
    </row>
    <row r="3957" spans="1:9" x14ac:dyDescent="0.3">
      <c r="A3957" t="str">
        <f>"64123791"</f>
        <v>64123791</v>
      </c>
      <c r="B3957" t="s">
        <v>7781</v>
      </c>
      <c r="C3957" t="str">
        <f t="shared" si="291"/>
        <v>706</v>
      </c>
      <c r="D3957" t="s">
        <v>28</v>
      </c>
      <c r="E3957" t="s">
        <v>29</v>
      </c>
      <c r="F3957" t="s">
        <v>778</v>
      </c>
      <c r="G3957" t="s">
        <v>7782</v>
      </c>
      <c r="H3957" t="str">
        <f t="shared" si="290"/>
        <v>9499</v>
      </c>
      <c r="I3957" t="s">
        <v>31</v>
      </c>
    </row>
    <row r="3958" spans="1:9" x14ac:dyDescent="0.3">
      <c r="A3958" t="str">
        <f>"22823280"</f>
        <v>22823280</v>
      </c>
      <c r="B3958" t="s">
        <v>7783</v>
      </c>
      <c r="C3958" t="str">
        <f t="shared" si="291"/>
        <v>706</v>
      </c>
      <c r="D3958" t="s">
        <v>28</v>
      </c>
      <c r="E3958" t="s">
        <v>29</v>
      </c>
      <c r="F3958" t="s">
        <v>195</v>
      </c>
      <c r="G3958" t="s">
        <v>7784</v>
      </c>
      <c r="H3958" t="str">
        <f t="shared" si="290"/>
        <v>9499</v>
      </c>
      <c r="I3958" t="s">
        <v>31</v>
      </c>
    </row>
    <row r="3959" spans="1:9" x14ac:dyDescent="0.3">
      <c r="A3959" t="str">
        <f>"66545510"</f>
        <v>66545510</v>
      </c>
      <c r="B3959" t="s">
        <v>7785</v>
      </c>
      <c r="C3959" t="str">
        <f>"736"</f>
        <v>736</v>
      </c>
      <c r="D3959" t="s">
        <v>22</v>
      </c>
      <c r="E3959" t="s">
        <v>83</v>
      </c>
      <c r="F3959" t="s">
        <v>175</v>
      </c>
      <c r="G3959" t="s">
        <v>1173</v>
      </c>
      <c r="H3959" t="str">
        <f t="shared" si="290"/>
        <v>9499</v>
      </c>
      <c r="I3959" t="s">
        <v>31</v>
      </c>
    </row>
    <row r="3960" spans="1:9" x14ac:dyDescent="0.3">
      <c r="A3960" t="str">
        <f>"68081791"</f>
        <v>68081791</v>
      </c>
      <c r="B3960" t="s">
        <v>7786</v>
      </c>
      <c r="C3960" t="str">
        <f>"736"</f>
        <v>736</v>
      </c>
      <c r="D3960" t="s">
        <v>22</v>
      </c>
      <c r="E3960" t="s">
        <v>52</v>
      </c>
      <c r="F3960" t="s">
        <v>52</v>
      </c>
      <c r="G3960" t="s">
        <v>7787</v>
      </c>
      <c r="H3960" t="str">
        <f t="shared" si="290"/>
        <v>9499</v>
      </c>
      <c r="I3960" t="s">
        <v>31</v>
      </c>
    </row>
    <row r="3961" spans="1:9" x14ac:dyDescent="0.3">
      <c r="A3961" t="str">
        <f>"26626373"</f>
        <v>26626373</v>
      </c>
      <c r="B3961" t="s">
        <v>7788</v>
      </c>
      <c r="C3961" t="str">
        <f>"706"</f>
        <v>706</v>
      </c>
      <c r="D3961" t="s">
        <v>28</v>
      </c>
      <c r="E3961" t="s">
        <v>83</v>
      </c>
      <c r="F3961" t="s">
        <v>83</v>
      </c>
      <c r="G3961" t="s">
        <v>7789</v>
      </c>
      <c r="H3961" t="str">
        <f t="shared" si="290"/>
        <v>9499</v>
      </c>
      <c r="I3961" t="s">
        <v>31</v>
      </c>
    </row>
    <row r="3962" spans="1:9" x14ac:dyDescent="0.3">
      <c r="A3962" t="str">
        <f>"65822609"</f>
        <v>65822609</v>
      </c>
      <c r="B3962" t="s">
        <v>7790</v>
      </c>
      <c r="C3962" t="str">
        <f>"706"</f>
        <v>706</v>
      </c>
      <c r="D3962" t="s">
        <v>28</v>
      </c>
      <c r="E3962" t="s">
        <v>23</v>
      </c>
      <c r="F3962" t="s">
        <v>23</v>
      </c>
      <c r="G3962" t="s">
        <v>23</v>
      </c>
      <c r="H3962" t="str">
        <f t="shared" si="290"/>
        <v>9499</v>
      </c>
      <c r="I3962" t="s">
        <v>31</v>
      </c>
    </row>
    <row r="3963" spans="1:9" x14ac:dyDescent="0.3">
      <c r="A3963" t="str">
        <f>"67024572"</f>
        <v>67024572</v>
      </c>
      <c r="B3963" t="s">
        <v>7791</v>
      </c>
      <c r="C3963" t="str">
        <f>"736"</f>
        <v>736</v>
      </c>
      <c r="D3963" t="s">
        <v>22</v>
      </c>
      <c r="E3963" t="s">
        <v>23</v>
      </c>
      <c r="F3963" t="s">
        <v>23</v>
      </c>
      <c r="G3963" t="s">
        <v>7792</v>
      </c>
      <c r="H3963" t="str">
        <f t="shared" si="290"/>
        <v>9499</v>
      </c>
      <c r="I3963" t="s">
        <v>31</v>
      </c>
    </row>
    <row r="3964" spans="1:9" x14ac:dyDescent="0.3">
      <c r="A3964" t="str">
        <f>"22729003"</f>
        <v>22729003</v>
      </c>
      <c r="B3964" t="s">
        <v>7793</v>
      </c>
      <c r="C3964" t="str">
        <f t="shared" ref="C3964:C3978" si="292">"706"</f>
        <v>706</v>
      </c>
      <c r="D3964" t="s">
        <v>28</v>
      </c>
      <c r="E3964" t="s">
        <v>29</v>
      </c>
      <c r="F3964" t="s">
        <v>681</v>
      </c>
      <c r="G3964" t="s">
        <v>7794</v>
      </c>
      <c r="H3964" t="str">
        <f t="shared" si="290"/>
        <v>9499</v>
      </c>
      <c r="I3964" t="s">
        <v>31</v>
      </c>
    </row>
    <row r="3965" spans="1:9" x14ac:dyDescent="0.3">
      <c r="A3965" t="str">
        <f>"48472115"</f>
        <v>48472115</v>
      </c>
      <c r="B3965" t="s">
        <v>7795</v>
      </c>
      <c r="C3965" t="str">
        <f t="shared" si="292"/>
        <v>706</v>
      </c>
      <c r="D3965" t="s">
        <v>28</v>
      </c>
      <c r="E3965" t="s">
        <v>23</v>
      </c>
      <c r="F3965" t="s">
        <v>23</v>
      </c>
      <c r="G3965" t="s">
        <v>23</v>
      </c>
      <c r="H3965" t="str">
        <f t="shared" si="290"/>
        <v>9499</v>
      </c>
      <c r="I3965" t="s">
        <v>31</v>
      </c>
    </row>
    <row r="3966" spans="1:9" x14ac:dyDescent="0.3">
      <c r="A3966" t="str">
        <f>"27051641"</f>
        <v>27051641</v>
      </c>
      <c r="B3966" t="s">
        <v>7796</v>
      </c>
      <c r="C3966" t="str">
        <f t="shared" si="292"/>
        <v>706</v>
      </c>
      <c r="D3966" t="s">
        <v>28</v>
      </c>
      <c r="E3966" t="s">
        <v>83</v>
      </c>
      <c r="F3966" t="s">
        <v>537</v>
      </c>
      <c r="G3966" t="s">
        <v>1051</v>
      </c>
      <c r="H3966" t="str">
        <f t="shared" si="290"/>
        <v>9499</v>
      </c>
      <c r="I3966" t="s">
        <v>31</v>
      </c>
    </row>
    <row r="3967" spans="1:9" x14ac:dyDescent="0.3">
      <c r="A3967" t="str">
        <f>"01698117"</f>
        <v>01698117</v>
      </c>
      <c r="B3967" t="s">
        <v>7797</v>
      </c>
      <c r="C3967" t="str">
        <f t="shared" si="292"/>
        <v>706</v>
      </c>
      <c r="D3967" t="s">
        <v>28</v>
      </c>
      <c r="E3967" t="s">
        <v>29</v>
      </c>
      <c r="F3967" t="s">
        <v>1004</v>
      </c>
      <c r="G3967" t="s">
        <v>2365</v>
      </c>
      <c r="H3967" t="str">
        <f t="shared" si="290"/>
        <v>9499</v>
      </c>
      <c r="I3967" t="s">
        <v>31</v>
      </c>
    </row>
    <row r="3968" spans="1:9" x14ac:dyDescent="0.3">
      <c r="A3968" t="str">
        <f>"68081961"</f>
        <v>68081961</v>
      </c>
      <c r="B3968" t="s">
        <v>7798</v>
      </c>
      <c r="C3968" t="str">
        <f t="shared" si="292"/>
        <v>706</v>
      </c>
      <c r="D3968" t="s">
        <v>28</v>
      </c>
      <c r="E3968" t="s">
        <v>83</v>
      </c>
      <c r="F3968" t="s">
        <v>983</v>
      </c>
      <c r="G3968" t="s">
        <v>984</v>
      </c>
      <c r="H3968" t="str">
        <f t="shared" si="290"/>
        <v>9499</v>
      </c>
      <c r="I3968" t="s">
        <v>31</v>
      </c>
    </row>
    <row r="3969" spans="1:11" x14ac:dyDescent="0.3">
      <c r="A3969" t="str">
        <f>"01797204"</f>
        <v>01797204</v>
      </c>
      <c r="B3969" t="s">
        <v>7799</v>
      </c>
      <c r="C3969" t="str">
        <f t="shared" si="292"/>
        <v>706</v>
      </c>
      <c r="D3969" t="s">
        <v>28</v>
      </c>
      <c r="E3969" t="s">
        <v>52</v>
      </c>
      <c r="F3969" t="s">
        <v>52</v>
      </c>
      <c r="G3969" t="s">
        <v>430</v>
      </c>
      <c r="H3969" t="str">
        <f t="shared" si="290"/>
        <v>9499</v>
      </c>
      <c r="I3969" t="s">
        <v>31</v>
      </c>
      <c r="J3969" t="s">
        <v>146</v>
      </c>
      <c r="K3969" t="s">
        <v>126</v>
      </c>
    </row>
    <row r="3970" spans="1:11" x14ac:dyDescent="0.3">
      <c r="A3970" t="str">
        <f>"49563122"</f>
        <v>49563122</v>
      </c>
      <c r="B3970" t="s">
        <v>7800</v>
      </c>
      <c r="C3970" t="str">
        <f t="shared" si="292"/>
        <v>706</v>
      </c>
      <c r="D3970" t="s">
        <v>28</v>
      </c>
      <c r="E3970" t="s">
        <v>29</v>
      </c>
      <c r="F3970" t="s">
        <v>726</v>
      </c>
      <c r="G3970" t="s">
        <v>726</v>
      </c>
      <c r="H3970" t="str">
        <f>"93290"</f>
        <v>93290</v>
      </c>
      <c r="I3970" t="s">
        <v>126</v>
      </c>
    </row>
    <row r="3971" spans="1:11" x14ac:dyDescent="0.3">
      <c r="A3971" t="str">
        <f>"26657481"</f>
        <v>26657481</v>
      </c>
      <c r="B3971" t="s">
        <v>7801</v>
      </c>
      <c r="C3971" t="str">
        <f t="shared" si="292"/>
        <v>706</v>
      </c>
      <c r="D3971" t="s">
        <v>28</v>
      </c>
      <c r="E3971" t="s">
        <v>23</v>
      </c>
      <c r="F3971" t="s">
        <v>1254</v>
      </c>
      <c r="G3971" t="s">
        <v>1593</v>
      </c>
      <c r="H3971" t="str">
        <f>"9499"</f>
        <v>9499</v>
      </c>
      <c r="I3971" t="s">
        <v>31</v>
      </c>
    </row>
    <row r="3972" spans="1:11" x14ac:dyDescent="0.3">
      <c r="A3972" t="str">
        <f>"68685289"</f>
        <v>68685289</v>
      </c>
      <c r="B3972" t="s">
        <v>7802</v>
      </c>
      <c r="C3972" t="str">
        <f t="shared" si="292"/>
        <v>706</v>
      </c>
      <c r="D3972" t="s">
        <v>28</v>
      </c>
      <c r="E3972" t="s">
        <v>83</v>
      </c>
      <c r="F3972" t="s">
        <v>83</v>
      </c>
      <c r="G3972" t="s">
        <v>7803</v>
      </c>
      <c r="H3972" t="str">
        <f>"9499"</f>
        <v>9499</v>
      </c>
      <c r="I3972" t="s">
        <v>31</v>
      </c>
    </row>
    <row r="3973" spans="1:11" x14ac:dyDescent="0.3">
      <c r="A3973" t="str">
        <f>"26637359"</f>
        <v>26637359</v>
      </c>
      <c r="B3973" t="s">
        <v>7804</v>
      </c>
      <c r="C3973" t="str">
        <f t="shared" si="292"/>
        <v>706</v>
      </c>
      <c r="D3973" t="s">
        <v>28</v>
      </c>
      <c r="E3973" t="s">
        <v>23</v>
      </c>
      <c r="F3973" t="s">
        <v>1254</v>
      </c>
      <c r="G3973" t="s">
        <v>1593</v>
      </c>
      <c r="H3973" t="str">
        <f>"9499"</f>
        <v>9499</v>
      </c>
      <c r="I3973" t="s">
        <v>31</v>
      </c>
    </row>
    <row r="3974" spans="1:11" x14ac:dyDescent="0.3">
      <c r="A3974" t="str">
        <f>"62335375"</f>
        <v>62335375</v>
      </c>
      <c r="B3974" t="s">
        <v>7805</v>
      </c>
      <c r="C3974" t="str">
        <f t="shared" si="292"/>
        <v>706</v>
      </c>
      <c r="D3974" t="s">
        <v>28</v>
      </c>
      <c r="E3974" t="s">
        <v>29</v>
      </c>
      <c r="F3974" t="s">
        <v>38</v>
      </c>
      <c r="G3974" t="s">
        <v>7806</v>
      </c>
      <c r="H3974" t="str">
        <f>"9499"</f>
        <v>9499</v>
      </c>
      <c r="I3974" t="s">
        <v>31</v>
      </c>
    </row>
    <row r="3975" spans="1:11" x14ac:dyDescent="0.3">
      <c r="A3975" t="str">
        <f>"01560115"</f>
        <v>01560115</v>
      </c>
      <c r="B3975" t="s">
        <v>7807</v>
      </c>
      <c r="C3975" t="str">
        <f t="shared" si="292"/>
        <v>706</v>
      </c>
      <c r="D3975" t="s">
        <v>28</v>
      </c>
      <c r="E3975" t="s">
        <v>83</v>
      </c>
      <c r="F3975" t="s">
        <v>83</v>
      </c>
      <c r="G3975" t="s">
        <v>7808</v>
      </c>
      <c r="H3975" t="str">
        <f>"94999"</f>
        <v>94999</v>
      </c>
      <c r="I3975" t="s">
        <v>202</v>
      </c>
    </row>
    <row r="3976" spans="1:11" x14ac:dyDescent="0.3">
      <c r="A3976" t="str">
        <f>"68081570"</f>
        <v>68081570</v>
      </c>
      <c r="B3976" t="s">
        <v>7809</v>
      </c>
      <c r="C3976" t="str">
        <f t="shared" si="292"/>
        <v>706</v>
      </c>
      <c r="D3976" t="s">
        <v>28</v>
      </c>
      <c r="E3976" t="s">
        <v>23</v>
      </c>
      <c r="F3976" t="s">
        <v>35</v>
      </c>
      <c r="G3976" t="s">
        <v>7810</v>
      </c>
      <c r="H3976" t="str">
        <f>"9499"</f>
        <v>9499</v>
      </c>
      <c r="I3976" t="s">
        <v>31</v>
      </c>
    </row>
    <row r="3977" spans="1:11" x14ac:dyDescent="0.3">
      <c r="A3977" t="str">
        <f>"03940845"</f>
        <v>03940845</v>
      </c>
      <c r="B3977" t="s">
        <v>7811</v>
      </c>
      <c r="C3977" t="str">
        <f t="shared" si="292"/>
        <v>706</v>
      </c>
      <c r="D3977" t="s">
        <v>28</v>
      </c>
      <c r="E3977" t="s">
        <v>23</v>
      </c>
      <c r="F3977" t="s">
        <v>23</v>
      </c>
      <c r="G3977" t="s">
        <v>7048</v>
      </c>
      <c r="H3977" t="str">
        <f>"941"</f>
        <v>941</v>
      </c>
      <c r="I3977" t="s">
        <v>4838</v>
      </c>
    </row>
    <row r="3978" spans="1:11" x14ac:dyDescent="0.3">
      <c r="A3978" t="str">
        <f>"05460654"</f>
        <v>05460654</v>
      </c>
      <c r="B3978" t="s">
        <v>7812</v>
      </c>
      <c r="C3978" t="str">
        <f t="shared" si="292"/>
        <v>706</v>
      </c>
      <c r="D3978" t="s">
        <v>28</v>
      </c>
      <c r="E3978" t="s">
        <v>29</v>
      </c>
      <c r="F3978" t="s">
        <v>38</v>
      </c>
      <c r="G3978" t="s">
        <v>7813</v>
      </c>
      <c r="H3978" t="str">
        <f t="shared" ref="H3978:H3983" si="293">"9499"</f>
        <v>9499</v>
      </c>
      <c r="I3978" t="s">
        <v>31</v>
      </c>
    </row>
    <row r="3979" spans="1:11" x14ac:dyDescent="0.3">
      <c r="A3979" t="str">
        <f>"70882932"</f>
        <v>70882932</v>
      </c>
      <c r="B3979" t="s">
        <v>7815</v>
      </c>
      <c r="C3979" t="str">
        <f t="shared" ref="C3979:C3984" si="294">"706"</f>
        <v>706</v>
      </c>
      <c r="D3979" t="s">
        <v>28</v>
      </c>
      <c r="E3979" t="s">
        <v>52</v>
      </c>
      <c r="F3979" t="s">
        <v>864</v>
      </c>
      <c r="G3979" t="s">
        <v>6930</v>
      </c>
      <c r="H3979" t="str">
        <f t="shared" si="293"/>
        <v>9499</v>
      </c>
      <c r="I3979" t="s">
        <v>31</v>
      </c>
    </row>
    <row r="3980" spans="1:11" x14ac:dyDescent="0.3">
      <c r="A3980" t="str">
        <f>"26671484"</f>
        <v>26671484</v>
      </c>
      <c r="B3980" t="s">
        <v>7816</v>
      </c>
      <c r="C3980" t="str">
        <f t="shared" si="294"/>
        <v>706</v>
      </c>
      <c r="D3980" t="s">
        <v>28</v>
      </c>
      <c r="E3980" t="s">
        <v>52</v>
      </c>
      <c r="F3980" t="s">
        <v>52</v>
      </c>
      <c r="G3980" t="s">
        <v>7817</v>
      </c>
      <c r="H3980" t="str">
        <f t="shared" si="293"/>
        <v>9499</v>
      </c>
      <c r="I3980" t="s">
        <v>31</v>
      </c>
    </row>
    <row r="3981" spans="1:11" x14ac:dyDescent="0.3">
      <c r="A3981" t="str">
        <f>"26993635"</f>
        <v>26993635</v>
      </c>
      <c r="B3981" t="s">
        <v>7818</v>
      </c>
      <c r="C3981" t="str">
        <f t="shared" si="294"/>
        <v>706</v>
      </c>
      <c r="D3981" t="s">
        <v>28</v>
      </c>
      <c r="E3981" t="s">
        <v>83</v>
      </c>
      <c r="F3981" t="s">
        <v>183</v>
      </c>
      <c r="G3981" t="s">
        <v>7819</v>
      </c>
      <c r="H3981" t="str">
        <f t="shared" si="293"/>
        <v>9499</v>
      </c>
      <c r="I3981" t="s">
        <v>31</v>
      </c>
    </row>
    <row r="3982" spans="1:11" x14ac:dyDescent="0.3">
      <c r="A3982" t="str">
        <f>"26526794"</f>
        <v>26526794</v>
      </c>
      <c r="B3982" t="s">
        <v>7820</v>
      </c>
      <c r="C3982" t="str">
        <f t="shared" si="294"/>
        <v>706</v>
      </c>
      <c r="D3982" t="s">
        <v>28</v>
      </c>
      <c r="E3982" t="s">
        <v>83</v>
      </c>
      <c r="F3982" t="s">
        <v>4274</v>
      </c>
      <c r="G3982" t="s">
        <v>7821</v>
      </c>
      <c r="H3982" t="str">
        <f t="shared" si="293"/>
        <v>9499</v>
      </c>
      <c r="I3982" t="s">
        <v>31</v>
      </c>
    </row>
    <row r="3983" spans="1:11" x14ac:dyDescent="0.3">
      <c r="A3983" t="str">
        <f>"04754832"</f>
        <v>04754832</v>
      </c>
      <c r="B3983" t="s">
        <v>7822</v>
      </c>
      <c r="C3983" t="str">
        <f t="shared" si="294"/>
        <v>706</v>
      </c>
      <c r="D3983" t="s">
        <v>28</v>
      </c>
      <c r="E3983" t="s">
        <v>52</v>
      </c>
      <c r="F3983" t="s">
        <v>113</v>
      </c>
      <c r="G3983" t="s">
        <v>3976</v>
      </c>
      <c r="H3983" t="str">
        <f t="shared" si="293"/>
        <v>9499</v>
      </c>
      <c r="I3983" t="s">
        <v>31</v>
      </c>
    </row>
    <row r="3984" spans="1:11" x14ac:dyDescent="0.3">
      <c r="A3984" t="str">
        <f>"05978777"</f>
        <v>05978777</v>
      </c>
      <c r="B3984" t="s">
        <v>7823</v>
      </c>
      <c r="C3984" t="str">
        <f t="shared" si="294"/>
        <v>706</v>
      </c>
      <c r="D3984" t="s">
        <v>28</v>
      </c>
      <c r="E3984" t="s">
        <v>52</v>
      </c>
      <c r="F3984" t="s">
        <v>1908</v>
      </c>
      <c r="G3984" t="s">
        <v>4164</v>
      </c>
      <c r="H3984" t="str">
        <f>"94999"</f>
        <v>94999</v>
      </c>
      <c r="I3984" t="s">
        <v>202</v>
      </c>
    </row>
    <row r="3985" spans="1:15" x14ac:dyDescent="0.3">
      <c r="A3985" t="str">
        <f>"02200074"</f>
        <v>02200074</v>
      </c>
      <c r="B3985" t="s">
        <v>7824</v>
      </c>
      <c r="C3985" t="str">
        <f t="shared" ref="C3985:C4038" si="295">"706"</f>
        <v>706</v>
      </c>
      <c r="D3985" t="s">
        <v>28</v>
      </c>
      <c r="E3985" t="s">
        <v>83</v>
      </c>
      <c r="F3985" t="s">
        <v>537</v>
      </c>
      <c r="G3985" t="s">
        <v>7825</v>
      </c>
      <c r="H3985" t="str">
        <f>"94999"</f>
        <v>94999</v>
      </c>
      <c r="I3985" t="s">
        <v>202</v>
      </c>
    </row>
    <row r="3986" spans="1:15" x14ac:dyDescent="0.3">
      <c r="A3986" t="str">
        <f>"18189601"</f>
        <v>18189601</v>
      </c>
      <c r="B3986" t="s">
        <v>7826</v>
      </c>
      <c r="C3986" t="str">
        <f t="shared" si="295"/>
        <v>706</v>
      </c>
      <c r="D3986" t="s">
        <v>28</v>
      </c>
      <c r="E3986" t="s">
        <v>83</v>
      </c>
      <c r="F3986" t="s">
        <v>83</v>
      </c>
      <c r="G3986" t="s">
        <v>5866</v>
      </c>
      <c r="H3986" t="str">
        <f>"9499"</f>
        <v>9499</v>
      </c>
      <c r="I3986" t="s">
        <v>31</v>
      </c>
    </row>
    <row r="3987" spans="1:15" x14ac:dyDescent="0.3">
      <c r="A3987" t="str">
        <f>"02456575"</f>
        <v>02456575</v>
      </c>
      <c r="B3987" t="s">
        <v>7827</v>
      </c>
      <c r="C3987" t="str">
        <f t="shared" si="295"/>
        <v>706</v>
      </c>
      <c r="D3987" t="s">
        <v>28</v>
      </c>
      <c r="E3987" t="s">
        <v>23</v>
      </c>
      <c r="F3987" t="s">
        <v>5469</v>
      </c>
      <c r="G3987" t="s">
        <v>7828</v>
      </c>
      <c r="H3987" t="str">
        <f>"94999"</f>
        <v>94999</v>
      </c>
      <c r="I3987" t="s">
        <v>202</v>
      </c>
    </row>
    <row r="3988" spans="1:15" x14ac:dyDescent="0.3">
      <c r="A3988" t="str">
        <f>"65888464"</f>
        <v>65888464</v>
      </c>
      <c r="B3988" t="s">
        <v>7829</v>
      </c>
      <c r="C3988" t="str">
        <f t="shared" si="295"/>
        <v>706</v>
      </c>
      <c r="D3988" t="s">
        <v>28</v>
      </c>
      <c r="E3988" t="s">
        <v>29</v>
      </c>
      <c r="F3988" t="s">
        <v>29</v>
      </c>
      <c r="G3988" t="s">
        <v>3917</v>
      </c>
      <c r="H3988" t="str">
        <f>"9499"</f>
        <v>9499</v>
      </c>
      <c r="I3988" t="s">
        <v>31</v>
      </c>
    </row>
    <row r="3989" spans="1:15" x14ac:dyDescent="0.3">
      <c r="A3989" t="str">
        <f>"75013860"</f>
        <v>75013860</v>
      </c>
      <c r="B3989" t="s">
        <v>7830</v>
      </c>
      <c r="C3989" t="str">
        <f t="shared" si="295"/>
        <v>706</v>
      </c>
      <c r="D3989" t="s">
        <v>28</v>
      </c>
      <c r="E3989" t="s">
        <v>52</v>
      </c>
      <c r="F3989" t="s">
        <v>52</v>
      </c>
      <c r="G3989" t="s">
        <v>6022</v>
      </c>
      <c r="H3989" t="str">
        <f>"9499"</f>
        <v>9499</v>
      </c>
      <c r="I3989" t="s">
        <v>31</v>
      </c>
    </row>
    <row r="3990" spans="1:15" x14ac:dyDescent="0.3">
      <c r="A3990" t="str">
        <f>"26994071"</f>
        <v>26994071</v>
      </c>
      <c r="B3990" t="s">
        <v>7831</v>
      </c>
      <c r="C3990" t="str">
        <f t="shared" si="295"/>
        <v>706</v>
      </c>
      <c r="D3990" t="s">
        <v>28</v>
      </c>
      <c r="E3990" t="s">
        <v>83</v>
      </c>
      <c r="F3990" t="s">
        <v>1778</v>
      </c>
      <c r="G3990" t="s">
        <v>7832</v>
      </c>
      <c r="H3990" t="str">
        <f>"9499"</f>
        <v>9499</v>
      </c>
      <c r="I3990" t="s">
        <v>31</v>
      </c>
    </row>
    <row r="3991" spans="1:15" x14ac:dyDescent="0.3">
      <c r="A3991" t="str">
        <f>"28558715"</f>
        <v>28558715</v>
      </c>
      <c r="B3991" t="s">
        <v>7833</v>
      </c>
      <c r="C3991" t="str">
        <f t="shared" si="295"/>
        <v>706</v>
      </c>
      <c r="D3991" t="s">
        <v>28</v>
      </c>
      <c r="E3991" t="s">
        <v>23</v>
      </c>
      <c r="F3991" t="s">
        <v>68</v>
      </c>
      <c r="G3991" t="s">
        <v>7834</v>
      </c>
      <c r="H3991" t="str">
        <f>"94999"</f>
        <v>94999</v>
      </c>
      <c r="I3991" t="s">
        <v>202</v>
      </c>
    </row>
    <row r="3992" spans="1:15" x14ac:dyDescent="0.3">
      <c r="A3992" t="str">
        <f>"26605660"</f>
        <v>26605660</v>
      </c>
      <c r="B3992" t="s">
        <v>7835</v>
      </c>
      <c r="C3992" t="str">
        <f t="shared" si="295"/>
        <v>706</v>
      </c>
      <c r="D3992" t="s">
        <v>28</v>
      </c>
      <c r="E3992" t="s">
        <v>52</v>
      </c>
      <c r="F3992" t="s">
        <v>52</v>
      </c>
      <c r="G3992" t="s">
        <v>7836</v>
      </c>
      <c r="H3992" t="str">
        <f>"94991"</f>
        <v>94991</v>
      </c>
      <c r="I3992" t="s">
        <v>433</v>
      </c>
    </row>
    <row r="3993" spans="1:15" x14ac:dyDescent="0.3">
      <c r="A3993" t="str">
        <f>"26988089"</f>
        <v>26988089</v>
      </c>
      <c r="B3993" t="s">
        <v>7837</v>
      </c>
      <c r="C3993" t="str">
        <f t="shared" si="295"/>
        <v>706</v>
      </c>
      <c r="D3993" t="s">
        <v>28</v>
      </c>
      <c r="E3993" t="s">
        <v>52</v>
      </c>
      <c r="F3993" t="s">
        <v>379</v>
      </c>
      <c r="G3993" t="s">
        <v>7838</v>
      </c>
      <c r="H3993" t="str">
        <f>"9499"</f>
        <v>9499</v>
      </c>
      <c r="I3993" t="s">
        <v>31</v>
      </c>
    </row>
    <row r="3994" spans="1:15" x14ac:dyDescent="0.3">
      <c r="A3994" t="str">
        <f>"28552491"</f>
        <v>28552491</v>
      </c>
      <c r="B3994" t="s">
        <v>7839</v>
      </c>
      <c r="C3994" t="str">
        <f t="shared" si="295"/>
        <v>706</v>
      </c>
      <c r="D3994" t="s">
        <v>28</v>
      </c>
      <c r="E3994" t="s">
        <v>23</v>
      </c>
      <c r="F3994" t="s">
        <v>24</v>
      </c>
      <c r="G3994" t="s">
        <v>7840</v>
      </c>
      <c r="H3994" t="str">
        <f>"94999"</f>
        <v>94999</v>
      </c>
      <c r="I3994" t="s">
        <v>202</v>
      </c>
    </row>
    <row r="3995" spans="1:15" x14ac:dyDescent="0.3">
      <c r="A3995" t="str">
        <f>"05770882"</f>
        <v>05770882</v>
      </c>
      <c r="B3995" t="s">
        <v>7841</v>
      </c>
      <c r="C3995" t="str">
        <f t="shared" si="295"/>
        <v>706</v>
      </c>
      <c r="D3995" t="s">
        <v>28</v>
      </c>
      <c r="E3995" t="s">
        <v>23</v>
      </c>
      <c r="F3995" t="s">
        <v>1657</v>
      </c>
      <c r="G3995" t="s">
        <v>7842</v>
      </c>
      <c r="H3995" t="str">
        <f>"94999"</f>
        <v>94999</v>
      </c>
      <c r="I3995" t="s">
        <v>202</v>
      </c>
      <c r="J3995" t="s">
        <v>259</v>
      </c>
      <c r="K3995" t="s">
        <v>147</v>
      </c>
      <c r="L3995" t="s">
        <v>146</v>
      </c>
      <c r="M3995" t="s">
        <v>161</v>
      </c>
      <c r="N3995" t="s">
        <v>163</v>
      </c>
      <c r="O3995" t="s">
        <v>209</v>
      </c>
    </row>
    <row r="3996" spans="1:15" x14ac:dyDescent="0.3">
      <c r="A3996" t="str">
        <f>"48473111"</f>
        <v>48473111</v>
      </c>
      <c r="B3996" t="s">
        <v>7843</v>
      </c>
      <c r="C3996" t="str">
        <f t="shared" si="295"/>
        <v>706</v>
      </c>
      <c r="D3996" t="s">
        <v>28</v>
      </c>
      <c r="E3996" t="s">
        <v>23</v>
      </c>
      <c r="F3996" t="s">
        <v>1917</v>
      </c>
      <c r="G3996" t="s">
        <v>7844</v>
      </c>
      <c r="H3996" t="str">
        <f>"9499"</f>
        <v>9499</v>
      </c>
      <c r="I3996" t="s">
        <v>31</v>
      </c>
      <c r="J3996" t="s">
        <v>498</v>
      </c>
      <c r="K3996" t="s">
        <v>146</v>
      </c>
      <c r="L3996" t="s">
        <v>161</v>
      </c>
      <c r="M3996" t="s">
        <v>163</v>
      </c>
      <c r="N3996" t="s">
        <v>59</v>
      </c>
    </row>
    <row r="3997" spans="1:15" x14ac:dyDescent="0.3">
      <c r="A3997" t="str">
        <f>"01453033"</f>
        <v>01453033</v>
      </c>
      <c r="B3997" t="s">
        <v>7845</v>
      </c>
      <c r="C3997" t="str">
        <f t="shared" si="295"/>
        <v>706</v>
      </c>
      <c r="D3997" t="s">
        <v>28</v>
      </c>
      <c r="E3997" t="s">
        <v>83</v>
      </c>
      <c r="F3997" t="s">
        <v>83</v>
      </c>
      <c r="G3997" t="s">
        <v>7846</v>
      </c>
      <c r="H3997" t="str">
        <f>"9499"</f>
        <v>9499</v>
      </c>
      <c r="I3997" t="s">
        <v>31</v>
      </c>
    </row>
    <row r="3998" spans="1:15" x14ac:dyDescent="0.3">
      <c r="A3998" t="str">
        <f>"48506494"</f>
        <v>48506494</v>
      </c>
      <c r="B3998" t="s">
        <v>7847</v>
      </c>
      <c r="C3998" t="str">
        <f t="shared" si="295"/>
        <v>706</v>
      </c>
      <c r="D3998" t="s">
        <v>28</v>
      </c>
      <c r="E3998" t="s">
        <v>52</v>
      </c>
      <c r="F3998" t="s">
        <v>612</v>
      </c>
      <c r="G3998" t="s">
        <v>7848</v>
      </c>
      <c r="H3998" t="str">
        <f>"9499"</f>
        <v>9499</v>
      </c>
      <c r="I3998" t="s">
        <v>31</v>
      </c>
    </row>
    <row r="3999" spans="1:15" x14ac:dyDescent="0.3">
      <c r="A3999" t="str">
        <f>"04790553"</f>
        <v>04790553</v>
      </c>
      <c r="B3999" t="s">
        <v>7849</v>
      </c>
      <c r="C3999" t="str">
        <f t="shared" si="295"/>
        <v>706</v>
      </c>
      <c r="D3999" t="s">
        <v>28</v>
      </c>
      <c r="E3999" t="s">
        <v>52</v>
      </c>
      <c r="F3999" t="s">
        <v>1170</v>
      </c>
      <c r="G3999" t="s">
        <v>7850</v>
      </c>
      <c r="H3999" t="str">
        <f>"94999"</f>
        <v>94999</v>
      </c>
      <c r="I3999" t="s">
        <v>202</v>
      </c>
    </row>
    <row r="4000" spans="1:15" x14ac:dyDescent="0.3">
      <c r="A4000" t="str">
        <f>"71191593"</f>
        <v>71191593</v>
      </c>
      <c r="B4000" t="s">
        <v>7851</v>
      </c>
      <c r="C4000" t="str">
        <f t="shared" si="295"/>
        <v>706</v>
      </c>
      <c r="D4000" t="s">
        <v>28</v>
      </c>
      <c r="E4000" t="s">
        <v>52</v>
      </c>
      <c r="F4000" t="s">
        <v>52</v>
      </c>
      <c r="G4000" t="s">
        <v>7215</v>
      </c>
      <c r="H4000" t="str">
        <f>"9499"</f>
        <v>9499</v>
      </c>
      <c r="I4000" t="s">
        <v>31</v>
      </c>
    </row>
    <row r="4001" spans="1:9" x14ac:dyDescent="0.3">
      <c r="A4001" t="str">
        <f>"62182706"</f>
        <v>62182706</v>
      </c>
      <c r="B4001" t="s">
        <v>7852</v>
      </c>
      <c r="C4001" t="str">
        <f t="shared" si="295"/>
        <v>706</v>
      </c>
      <c r="D4001" t="s">
        <v>28</v>
      </c>
      <c r="E4001" t="s">
        <v>23</v>
      </c>
      <c r="F4001" t="s">
        <v>23</v>
      </c>
      <c r="G4001" t="s">
        <v>7853</v>
      </c>
      <c r="H4001" t="str">
        <f>"9499"</f>
        <v>9499</v>
      </c>
      <c r="I4001" t="s">
        <v>31</v>
      </c>
    </row>
    <row r="4002" spans="1:9" x14ac:dyDescent="0.3">
      <c r="A4002" t="str">
        <f>"46311823"</f>
        <v>46311823</v>
      </c>
      <c r="B4002" t="s">
        <v>7854</v>
      </c>
      <c r="C4002" t="str">
        <f t="shared" si="295"/>
        <v>706</v>
      </c>
      <c r="D4002" t="s">
        <v>28</v>
      </c>
      <c r="E4002" t="s">
        <v>23</v>
      </c>
      <c r="F4002" t="s">
        <v>23</v>
      </c>
      <c r="G4002" t="s">
        <v>3226</v>
      </c>
      <c r="H4002" t="str">
        <f>"9499"</f>
        <v>9499</v>
      </c>
      <c r="I4002" t="s">
        <v>31</v>
      </c>
    </row>
    <row r="4003" spans="1:9" x14ac:dyDescent="0.3">
      <c r="A4003" t="str">
        <f>"46276441"</f>
        <v>46276441</v>
      </c>
      <c r="B4003" t="s">
        <v>7855</v>
      </c>
      <c r="C4003" t="str">
        <f t="shared" si="295"/>
        <v>706</v>
      </c>
      <c r="D4003" t="s">
        <v>28</v>
      </c>
      <c r="E4003" t="s">
        <v>23</v>
      </c>
      <c r="F4003" t="s">
        <v>23</v>
      </c>
      <c r="G4003" t="s">
        <v>7856</v>
      </c>
      <c r="H4003" t="str">
        <f>"9499"</f>
        <v>9499</v>
      </c>
      <c r="I4003" t="s">
        <v>31</v>
      </c>
    </row>
    <row r="4004" spans="1:9" x14ac:dyDescent="0.3">
      <c r="A4004" t="str">
        <f>"02463423"</f>
        <v>02463423</v>
      </c>
      <c r="B4004" t="s">
        <v>7857</v>
      </c>
      <c r="C4004" t="str">
        <f t="shared" si="295"/>
        <v>706</v>
      </c>
      <c r="D4004" t="s">
        <v>28</v>
      </c>
      <c r="E4004" t="s">
        <v>29</v>
      </c>
      <c r="F4004" t="s">
        <v>38</v>
      </c>
      <c r="G4004" t="s">
        <v>7858</v>
      </c>
      <c r="H4004" t="str">
        <f>"94999"</f>
        <v>94999</v>
      </c>
      <c r="I4004" t="s">
        <v>202</v>
      </c>
    </row>
    <row r="4005" spans="1:9" x14ac:dyDescent="0.3">
      <c r="A4005" t="str">
        <f>"65340248"</f>
        <v>65340248</v>
      </c>
      <c r="B4005" t="s">
        <v>7859</v>
      </c>
      <c r="C4005" t="str">
        <f t="shared" si="295"/>
        <v>706</v>
      </c>
      <c r="D4005" t="s">
        <v>28</v>
      </c>
      <c r="E4005" t="s">
        <v>23</v>
      </c>
      <c r="F4005" t="s">
        <v>1492</v>
      </c>
      <c r="G4005" t="s">
        <v>7860</v>
      </c>
      <c r="H4005" t="str">
        <f>"9499"</f>
        <v>9499</v>
      </c>
      <c r="I4005" t="s">
        <v>31</v>
      </c>
    </row>
    <row r="4006" spans="1:9" x14ac:dyDescent="0.3">
      <c r="A4006" t="str">
        <f>"22823387"</f>
        <v>22823387</v>
      </c>
      <c r="B4006" t="s">
        <v>7861</v>
      </c>
      <c r="C4006" t="str">
        <f t="shared" si="295"/>
        <v>706</v>
      </c>
      <c r="D4006" t="s">
        <v>28</v>
      </c>
      <c r="E4006" t="s">
        <v>52</v>
      </c>
      <c r="F4006" t="s">
        <v>1679</v>
      </c>
      <c r="G4006" t="s">
        <v>7862</v>
      </c>
      <c r="H4006" t="str">
        <f>"9499"</f>
        <v>9499</v>
      </c>
      <c r="I4006" t="s">
        <v>31</v>
      </c>
    </row>
    <row r="4007" spans="1:9" x14ac:dyDescent="0.3">
      <c r="A4007" t="str">
        <f>"17053480"</f>
        <v>17053480</v>
      </c>
      <c r="B4007" t="s">
        <v>7863</v>
      </c>
      <c r="C4007" t="str">
        <f t="shared" si="295"/>
        <v>706</v>
      </c>
      <c r="D4007" t="s">
        <v>28</v>
      </c>
      <c r="E4007" t="s">
        <v>29</v>
      </c>
      <c r="F4007" t="s">
        <v>1874</v>
      </c>
      <c r="G4007" t="s">
        <v>7864</v>
      </c>
      <c r="H4007" t="str">
        <f>"94999"</f>
        <v>94999</v>
      </c>
      <c r="I4007" t="s">
        <v>202</v>
      </c>
    </row>
    <row r="4008" spans="1:9" x14ac:dyDescent="0.3">
      <c r="A4008" t="str">
        <f>"01903403"</f>
        <v>01903403</v>
      </c>
      <c r="B4008" t="s">
        <v>7865</v>
      </c>
      <c r="C4008" t="str">
        <f t="shared" si="295"/>
        <v>706</v>
      </c>
      <c r="D4008" t="s">
        <v>28</v>
      </c>
      <c r="E4008" t="s">
        <v>83</v>
      </c>
      <c r="F4008" t="s">
        <v>83</v>
      </c>
      <c r="G4008" t="s">
        <v>7866</v>
      </c>
      <c r="H4008" t="str">
        <f>"94999"</f>
        <v>94999</v>
      </c>
      <c r="I4008" t="s">
        <v>202</v>
      </c>
    </row>
    <row r="4009" spans="1:9" x14ac:dyDescent="0.3">
      <c r="A4009" t="str">
        <f>"28554264"</f>
        <v>28554264</v>
      </c>
      <c r="B4009" t="s">
        <v>7867</v>
      </c>
      <c r="C4009" t="str">
        <f t="shared" si="295"/>
        <v>706</v>
      </c>
      <c r="D4009" t="s">
        <v>28</v>
      </c>
      <c r="E4009" t="s">
        <v>23</v>
      </c>
      <c r="F4009" t="s">
        <v>1773</v>
      </c>
      <c r="G4009" t="s">
        <v>4426</v>
      </c>
      <c r="H4009" t="str">
        <f>"94991"</f>
        <v>94991</v>
      </c>
      <c r="I4009" t="s">
        <v>433</v>
      </c>
    </row>
    <row r="4010" spans="1:9" x14ac:dyDescent="0.3">
      <c r="A4010" t="str">
        <f>"26557932"</f>
        <v>26557932</v>
      </c>
      <c r="B4010" t="s">
        <v>7868</v>
      </c>
      <c r="C4010" t="str">
        <f t="shared" si="295"/>
        <v>706</v>
      </c>
      <c r="D4010" t="s">
        <v>28</v>
      </c>
      <c r="E4010" t="s">
        <v>23</v>
      </c>
      <c r="F4010" t="s">
        <v>23</v>
      </c>
      <c r="G4010" t="s">
        <v>7869</v>
      </c>
      <c r="H4010" t="str">
        <f>"94999"</f>
        <v>94999</v>
      </c>
      <c r="I4010" t="s">
        <v>202</v>
      </c>
    </row>
    <row r="4011" spans="1:9" x14ac:dyDescent="0.3">
      <c r="A4011" t="str">
        <f>"68729995"</f>
        <v>68729995</v>
      </c>
      <c r="B4011" t="s">
        <v>7870</v>
      </c>
      <c r="C4011" t="str">
        <f t="shared" si="295"/>
        <v>706</v>
      </c>
      <c r="D4011" t="s">
        <v>28</v>
      </c>
      <c r="E4011" t="s">
        <v>83</v>
      </c>
      <c r="F4011" t="s">
        <v>83</v>
      </c>
      <c r="G4011" t="s">
        <v>7871</v>
      </c>
      <c r="H4011" t="str">
        <f>"9499"</f>
        <v>9499</v>
      </c>
      <c r="I4011" t="s">
        <v>31</v>
      </c>
    </row>
    <row r="4012" spans="1:9" x14ac:dyDescent="0.3">
      <c r="A4012" t="str">
        <f>"27003701"</f>
        <v>27003701</v>
      </c>
      <c r="B4012" t="s">
        <v>7872</v>
      </c>
      <c r="C4012" t="str">
        <f t="shared" si="295"/>
        <v>706</v>
      </c>
      <c r="D4012" t="s">
        <v>28</v>
      </c>
      <c r="E4012" t="s">
        <v>23</v>
      </c>
      <c r="F4012" t="s">
        <v>350</v>
      </c>
      <c r="G4012" t="s">
        <v>6632</v>
      </c>
      <c r="H4012" t="str">
        <f>"94999"</f>
        <v>94999</v>
      </c>
      <c r="I4012" t="s">
        <v>202</v>
      </c>
    </row>
    <row r="4013" spans="1:9" x14ac:dyDescent="0.3">
      <c r="A4013" t="str">
        <f>"65767861"</f>
        <v>65767861</v>
      </c>
      <c r="B4013" t="s">
        <v>7873</v>
      </c>
      <c r="C4013" t="str">
        <f t="shared" si="295"/>
        <v>706</v>
      </c>
      <c r="D4013" t="s">
        <v>28</v>
      </c>
      <c r="E4013" t="s">
        <v>23</v>
      </c>
      <c r="F4013" t="s">
        <v>141</v>
      </c>
      <c r="G4013" t="s">
        <v>7874</v>
      </c>
      <c r="H4013" t="str">
        <f>"9499"</f>
        <v>9499</v>
      </c>
      <c r="I4013" t="s">
        <v>31</v>
      </c>
    </row>
    <row r="4014" spans="1:9" x14ac:dyDescent="0.3">
      <c r="A4014" t="str">
        <f>"46998055"</f>
        <v>46998055</v>
      </c>
      <c r="B4014" t="s">
        <v>7875</v>
      </c>
      <c r="C4014" t="str">
        <f t="shared" si="295"/>
        <v>706</v>
      </c>
      <c r="D4014" t="s">
        <v>28</v>
      </c>
      <c r="E4014" t="s">
        <v>83</v>
      </c>
      <c r="F4014" t="s">
        <v>183</v>
      </c>
      <c r="G4014" t="s">
        <v>7876</v>
      </c>
      <c r="H4014" t="str">
        <f>"9499"</f>
        <v>9499</v>
      </c>
      <c r="I4014" t="s">
        <v>31</v>
      </c>
    </row>
    <row r="4015" spans="1:9" x14ac:dyDescent="0.3">
      <c r="A4015" t="str">
        <f>"01903047"</f>
        <v>01903047</v>
      </c>
      <c r="B4015" t="s">
        <v>7877</v>
      </c>
      <c r="C4015" t="str">
        <f t="shared" si="295"/>
        <v>706</v>
      </c>
      <c r="D4015" t="s">
        <v>28</v>
      </c>
      <c r="E4015" t="s">
        <v>83</v>
      </c>
      <c r="F4015" t="s">
        <v>183</v>
      </c>
      <c r="G4015" t="s">
        <v>7878</v>
      </c>
      <c r="H4015" t="str">
        <f>"94999"</f>
        <v>94999</v>
      </c>
      <c r="I4015" t="s">
        <v>202</v>
      </c>
    </row>
    <row r="4016" spans="1:9" x14ac:dyDescent="0.3">
      <c r="A4016" t="str">
        <f>"67727956"</f>
        <v>67727956</v>
      </c>
      <c r="B4016" t="s">
        <v>7879</v>
      </c>
      <c r="C4016" t="str">
        <f t="shared" si="295"/>
        <v>706</v>
      </c>
      <c r="D4016" t="s">
        <v>28</v>
      </c>
      <c r="E4016" t="s">
        <v>29</v>
      </c>
      <c r="F4016" t="s">
        <v>271</v>
      </c>
      <c r="G4016" t="s">
        <v>7880</v>
      </c>
      <c r="H4016" t="str">
        <f>"94999"</f>
        <v>94999</v>
      </c>
      <c r="I4016" t="s">
        <v>202</v>
      </c>
    </row>
    <row r="4017" spans="1:9" x14ac:dyDescent="0.3">
      <c r="A4017" t="str">
        <f>"71010611"</f>
        <v>71010611</v>
      </c>
      <c r="B4017" t="s">
        <v>7881</v>
      </c>
      <c r="C4017" t="str">
        <f t="shared" si="295"/>
        <v>706</v>
      </c>
      <c r="D4017" t="s">
        <v>28</v>
      </c>
      <c r="E4017" t="s">
        <v>52</v>
      </c>
      <c r="F4017" t="s">
        <v>52</v>
      </c>
      <c r="G4017" t="s">
        <v>7882</v>
      </c>
      <c r="H4017" t="str">
        <f>"9499"</f>
        <v>9499</v>
      </c>
      <c r="I4017" t="s">
        <v>31</v>
      </c>
    </row>
    <row r="4018" spans="1:9" x14ac:dyDescent="0.3">
      <c r="A4018" t="str">
        <f>"26518082"</f>
        <v>26518082</v>
      </c>
      <c r="B4018" t="s">
        <v>7883</v>
      </c>
      <c r="C4018" t="str">
        <f t="shared" si="295"/>
        <v>706</v>
      </c>
      <c r="D4018" t="s">
        <v>28</v>
      </c>
      <c r="E4018" t="s">
        <v>52</v>
      </c>
      <c r="F4018" t="s">
        <v>52</v>
      </c>
      <c r="G4018" t="s">
        <v>7884</v>
      </c>
      <c r="H4018" t="str">
        <f>"9499"</f>
        <v>9499</v>
      </c>
      <c r="I4018" t="s">
        <v>31</v>
      </c>
    </row>
    <row r="4019" spans="1:9" x14ac:dyDescent="0.3">
      <c r="A4019" t="str">
        <f>"01764918"</f>
        <v>01764918</v>
      </c>
      <c r="B4019" t="s">
        <v>7885</v>
      </c>
      <c r="C4019" t="str">
        <f t="shared" si="295"/>
        <v>706</v>
      </c>
      <c r="D4019" t="s">
        <v>28</v>
      </c>
      <c r="E4019" t="s">
        <v>23</v>
      </c>
      <c r="F4019" t="s">
        <v>3332</v>
      </c>
      <c r="G4019" t="s">
        <v>7886</v>
      </c>
      <c r="H4019" t="str">
        <f>"9499"</f>
        <v>9499</v>
      </c>
      <c r="I4019" t="s">
        <v>31</v>
      </c>
    </row>
    <row r="4020" spans="1:9" x14ac:dyDescent="0.3">
      <c r="A4020" t="str">
        <f>"70435057"</f>
        <v>70435057</v>
      </c>
      <c r="B4020" t="s">
        <v>7887</v>
      </c>
      <c r="C4020" t="str">
        <f t="shared" si="295"/>
        <v>706</v>
      </c>
      <c r="D4020" t="s">
        <v>28</v>
      </c>
      <c r="E4020" t="s">
        <v>23</v>
      </c>
      <c r="F4020" t="s">
        <v>23</v>
      </c>
      <c r="G4020" t="s">
        <v>5904</v>
      </c>
      <c r="H4020" t="str">
        <f>"9499"</f>
        <v>9499</v>
      </c>
      <c r="I4020" t="s">
        <v>31</v>
      </c>
    </row>
    <row r="4021" spans="1:9" x14ac:dyDescent="0.3">
      <c r="A4021" t="str">
        <f>"03116191"</f>
        <v>03116191</v>
      </c>
      <c r="B4021" t="s">
        <v>7888</v>
      </c>
      <c r="C4021" t="str">
        <f t="shared" si="295"/>
        <v>706</v>
      </c>
      <c r="D4021" t="s">
        <v>28</v>
      </c>
      <c r="E4021" t="s">
        <v>52</v>
      </c>
      <c r="F4021" t="s">
        <v>1679</v>
      </c>
      <c r="G4021" t="s">
        <v>7889</v>
      </c>
      <c r="H4021" t="str">
        <f>"94999"</f>
        <v>94999</v>
      </c>
      <c r="I4021" t="s">
        <v>202</v>
      </c>
    </row>
    <row r="4022" spans="1:9" x14ac:dyDescent="0.3">
      <c r="A4022" t="str">
        <f>"48489581"</f>
        <v>48489581</v>
      </c>
      <c r="B4022" t="s">
        <v>7890</v>
      </c>
      <c r="C4022" t="str">
        <f t="shared" si="295"/>
        <v>706</v>
      </c>
      <c r="D4022" t="s">
        <v>28</v>
      </c>
      <c r="E4022" t="s">
        <v>52</v>
      </c>
      <c r="F4022" t="s">
        <v>2400</v>
      </c>
      <c r="G4022" t="s">
        <v>2400</v>
      </c>
      <c r="H4022" t="str">
        <f>"9499"</f>
        <v>9499</v>
      </c>
      <c r="I4022" t="s">
        <v>31</v>
      </c>
    </row>
    <row r="4023" spans="1:9" x14ac:dyDescent="0.3">
      <c r="A4023" t="str">
        <f>"69211558"</f>
        <v>69211558</v>
      </c>
      <c r="B4023" t="s">
        <v>7891</v>
      </c>
      <c r="C4023" t="str">
        <f t="shared" si="295"/>
        <v>706</v>
      </c>
      <c r="D4023" t="s">
        <v>28</v>
      </c>
      <c r="E4023" t="s">
        <v>29</v>
      </c>
      <c r="F4023" t="s">
        <v>271</v>
      </c>
      <c r="G4023" t="s">
        <v>7892</v>
      </c>
      <c r="H4023" t="str">
        <f>"9499"</f>
        <v>9499</v>
      </c>
      <c r="I4023" t="s">
        <v>31</v>
      </c>
    </row>
    <row r="4024" spans="1:9" x14ac:dyDescent="0.3">
      <c r="A4024" t="str">
        <f>"46277731"</f>
        <v>46277731</v>
      </c>
      <c r="B4024" t="s">
        <v>7893</v>
      </c>
      <c r="C4024" t="str">
        <f t="shared" si="295"/>
        <v>706</v>
      </c>
      <c r="D4024" t="s">
        <v>28</v>
      </c>
      <c r="E4024" t="s">
        <v>23</v>
      </c>
      <c r="F4024" t="s">
        <v>23</v>
      </c>
      <c r="G4024" t="s">
        <v>1292</v>
      </c>
      <c r="H4024" t="str">
        <f>"9499"</f>
        <v>9499</v>
      </c>
      <c r="I4024" t="s">
        <v>31</v>
      </c>
    </row>
    <row r="4025" spans="1:9" x14ac:dyDescent="0.3">
      <c r="A4025" t="str">
        <f>"02419939"</f>
        <v>02419939</v>
      </c>
      <c r="B4025" t="s">
        <v>7894</v>
      </c>
      <c r="C4025" t="str">
        <f t="shared" si="295"/>
        <v>706</v>
      </c>
      <c r="D4025" t="s">
        <v>28</v>
      </c>
      <c r="E4025" t="s">
        <v>29</v>
      </c>
      <c r="F4025" t="s">
        <v>503</v>
      </c>
      <c r="G4025" t="s">
        <v>504</v>
      </c>
      <c r="H4025" t="str">
        <f>"94999"</f>
        <v>94999</v>
      </c>
      <c r="I4025" t="s">
        <v>202</v>
      </c>
    </row>
    <row r="4026" spans="1:9" x14ac:dyDescent="0.3">
      <c r="A4026" t="str">
        <f>"01728440"</f>
        <v>01728440</v>
      </c>
      <c r="B4026" t="s">
        <v>7895</v>
      </c>
      <c r="C4026" t="str">
        <f t="shared" si="295"/>
        <v>706</v>
      </c>
      <c r="D4026" t="s">
        <v>28</v>
      </c>
      <c r="E4026" t="s">
        <v>52</v>
      </c>
      <c r="F4026" t="s">
        <v>1229</v>
      </c>
      <c r="G4026" t="s">
        <v>7896</v>
      </c>
      <c r="H4026" t="str">
        <f>"94999"</f>
        <v>94999</v>
      </c>
      <c r="I4026" t="s">
        <v>202</v>
      </c>
    </row>
    <row r="4027" spans="1:9" x14ac:dyDescent="0.3">
      <c r="A4027" t="str">
        <f>"67728316"</f>
        <v>67728316</v>
      </c>
      <c r="B4027" t="s">
        <v>7897</v>
      </c>
      <c r="C4027" t="str">
        <f t="shared" si="295"/>
        <v>706</v>
      </c>
      <c r="D4027" t="s">
        <v>28</v>
      </c>
      <c r="E4027" t="s">
        <v>29</v>
      </c>
      <c r="F4027" t="s">
        <v>38</v>
      </c>
      <c r="G4027" t="s">
        <v>7898</v>
      </c>
      <c r="H4027" t="str">
        <f>"9499"</f>
        <v>9499</v>
      </c>
      <c r="I4027" t="s">
        <v>31</v>
      </c>
    </row>
    <row r="4028" spans="1:9" x14ac:dyDescent="0.3">
      <c r="A4028" t="str">
        <f>"01735136"</f>
        <v>01735136</v>
      </c>
      <c r="B4028" t="s">
        <v>7899</v>
      </c>
      <c r="C4028" t="str">
        <f t="shared" si="295"/>
        <v>706</v>
      </c>
      <c r="D4028" t="s">
        <v>28</v>
      </c>
      <c r="E4028" t="s">
        <v>23</v>
      </c>
      <c r="F4028" t="s">
        <v>87</v>
      </c>
      <c r="G4028" t="s">
        <v>7900</v>
      </c>
      <c r="H4028" t="str">
        <f>"9499"</f>
        <v>9499</v>
      </c>
      <c r="I4028" t="s">
        <v>31</v>
      </c>
    </row>
    <row r="4029" spans="1:9" x14ac:dyDescent="0.3">
      <c r="A4029" t="str">
        <f>"48471283"</f>
        <v>48471283</v>
      </c>
      <c r="B4029" t="s">
        <v>7901</v>
      </c>
      <c r="C4029" t="str">
        <f t="shared" si="295"/>
        <v>706</v>
      </c>
      <c r="D4029" t="s">
        <v>28</v>
      </c>
      <c r="E4029" t="s">
        <v>23</v>
      </c>
      <c r="F4029" t="s">
        <v>23</v>
      </c>
      <c r="G4029" t="s">
        <v>7902</v>
      </c>
      <c r="H4029" t="str">
        <f>"9499"</f>
        <v>9499</v>
      </c>
      <c r="I4029" t="s">
        <v>31</v>
      </c>
    </row>
    <row r="4030" spans="1:9" x14ac:dyDescent="0.3">
      <c r="A4030" t="str">
        <f>"17332770"</f>
        <v>17332770</v>
      </c>
      <c r="B4030" t="s">
        <v>7903</v>
      </c>
      <c r="C4030" t="str">
        <f t="shared" si="295"/>
        <v>706</v>
      </c>
      <c r="D4030" t="s">
        <v>28</v>
      </c>
      <c r="E4030" t="s">
        <v>23</v>
      </c>
      <c r="F4030" t="s">
        <v>23</v>
      </c>
      <c r="G4030" t="s">
        <v>7904</v>
      </c>
      <c r="H4030" t="str">
        <f>"94999"</f>
        <v>94999</v>
      </c>
      <c r="I4030" t="s">
        <v>202</v>
      </c>
    </row>
    <row r="4031" spans="1:9" x14ac:dyDescent="0.3">
      <c r="A4031" t="str">
        <f>"03116051"</f>
        <v>03116051</v>
      </c>
      <c r="B4031" t="s">
        <v>7905</v>
      </c>
      <c r="C4031" t="str">
        <f t="shared" si="295"/>
        <v>706</v>
      </c>
      <c r="D4031" t="s">
        <v>28</v>
      </c>
      <c r="E4031" t="s">
        <v>23</v>
      </c>
      <c r="F4031" t="s">
        <v>23</v>
      </c>
      <c r="G4031" t="s">
        <v>5904</v>
      </c>
      <c r="H4031" t="str">
        <f>"94999"</f>
        <v>94999</v>
      </c>
      <c r="I4031" t="s">
        <v>202</v>
      </c>
    </row>
    <row r="4032" spans="1:9" x14ac:dyDescent="0.3">
      <c r="A4032" t="str">
        <f>"26531836"</f>
        <v>26531836</v>
      </c>
      <c r="B4032" t="s">
        <v>7906</v>
      </c>
      <c r="C4032" t="str">
        <f t="shared" si="295"/>
        <v>706</v>
      </c>
      <c r="D4032" t="s">
        <v>28</v>
      </c>
      <c r="E4032" t="s">
        <v>23</v>
      </c>
      <c r="F4032" t="s">
        <v>350</v>
      </c>
      <c r="G4032" t="s">
        <v>4377</v>
      </c>
      <c r="H4032" t="str">
        <f t="shared" ref="H4032:H4038" si="296">"9499"</f>
        <v>9499</v>
      </c>
      <c r="I4032" t="s">
        <v>31</v>
      </c>
    </row>
    <row r="4033" spans="1:9" x14ac:dyDescent="0.3">
      <c r="A4033" t="str">
        <f>"49157647"</f>
        <v>49157647</v>
      </c>
      <c r="B4033" t="s">
        <v>7907</v>
      </c>
      <c r="C4033" t="str">
        <f t="shared" si="295"/>
        <v>706</v>
      </c>
      <c r="D4033" t="s">
        <v>28</v>
      </c>
      <c r="E4033" t="s">
        <v>23</v>
      </c>
      <c r="F4033" t="s">
        <v>24</v>
      </c>
      <c r="G4033" t="s">
        <v>7908</v>
      </c>
      <c r="H4033" t="str">
        <f t="shared" si="296"/>
        <v>9499</v>
      </c>
      <c r="I4033" t="s">
        <v>31</v>
      </c>
    </row>
    <row r="4034" spans="1:9" x14ac:dyDescent="0.3">
      <c r="A4034" t="str">
        <f>"70263264"</f>
        <v>70263264</v>
      </c>
      <c r="B4034" t="s">
        <v>7909</v>
      </c>
      <c r="C4034" t="str">
        <f t="shared" si="295"/>
        <v>706</v>
      </c>
      <c r="D4034" t="s">
        <v>28</v>
      </c>
      <c r="E4034" t="s">
        <v>83</v>
      </c>
      <c r="F4034" t="s">
        <v>230</v>
      </c>
      <c r="G4034" t="s">
        <v>7910</v>
      </c>
      <c r="H4034" t="str">
        <f t="shared" si="296"/>
        <v>9499</v>
      </c>
      <c r="I4034" t="s">
        <v>31</v>
      </c>
    </row>
    <row r="4035" spans="1:9" x14ac:dyDescent="0.3">
      <c r="A4035" t="str">
        <f>"22677135"</f>
        <v>22677135</v>
      </c>
      <c r="B4035" t="s">
        <v>7911</v>
      </c>
      <c r="C4035" t="str">
        <f t="shared" si="295"/>
        <v>706</v>
      </c>
      <c r="D4035" t="s">
        <v>28</v>
      </c>
      <c r="E4035" t="s">
        <v>52</v>
      </c>
      <c r="F4035" t="s">
        <v>113</v>
      </c>
      <c r="G4035" t="s">
        <v>7912</v>
      </c>
      <c r="H4035" t="str">
        <f t="shared" si="296"/>
        <v>9499</v>
      </c>
      <c r="I4035" t="s">
        <v>31</v>
      </c>
    </row>
    <row r="4036" spans="1:9" x14ac:dyDescent="0.3">
      <c r="A4036" t="str">
        <f>"26527774"</f>
        <v>26527774</v>
      </c>
      <c r="B4036" t="s">
        <v>7913</v>
      </c>
      <c r="C4036" t="str">
        <f t="shared" si="295"/>
        <v>706</v>
      </c>
      <c r="D4036" t="s">
        <v>28</v>
      </c>
      <c r="E4036" t="s">
        <v>29</v>
      </c>
      <c r="F4036" t="s">
        <v>38</v>
      </c>
      <c r="G4036" t="s">
        <v>1723</v>
      </c>
      <c r="H4036" t="str">
        <f t="shared" si="296"/>
        <v>9499</v>
      </c>
      <c r="I4036" t="s">
        <v>31</v>
      </c>
    </row>
    <row r="4037" spans="1:9" x14ac:dyDescent="0.3">
      <c r="A4037" t="str">
        <f>"26540452"</f>
        <v>26540452</v>
      </c>
      <c r="B4037" t="s">
        <v>7914</v>
      </c>
      <c r="C4037" t="str">
        <f t="shared" si="295"/>
        <v>706</v>
      </c>
      <c r="D4037" t="s">
        <v>28</v>
      </c>
      <c r="E4037" t="s">
        <v>83</v>
      </c>
      <c r="F4037" t="s">
        <v>873</v>
      </c>
      <c r="G4037" t="s">
        <v>4100</v>
      </c>
      <c r="H4037" t="str">
        <f t="shared" si="296"/>
        <v>9499</v>
      </c>
      <c r="I4037" t="s">
        <v>31</v>
      </c>
    </row>
    <row r="4038" spans="1:9" x14ac:dyDescent="0.3">
      <c r="A4038" t="str">
        <f>"26671042"</f>
        <v>26671042</v>
      </c>
      <c r="B4038" t="s">
        <v>7915</v>
      </c>
      <c r="C4038" t="str">
        <f t="shared" si="295"/>
        <v>706</v>
      </c>
      <c r="D4038" t="s">
        <v>28</v>
      </c>
      <c r="E4038" t="s">
        <v>23</v>
      </c>
      <c r="F4038" t="s">
        <v>23</v>
      </c>
      <c r="G4038" t="s">
        <v>7916</v>
      </c>
      <c r="H4038" t="str">
        <f t="shared" si="296"/>
        <v>9499</v>
      </c>
      <c r="I4038" t="s">
        <v>31</v>
      </c>
    </row>
    <row r="4039" spans="1:9" x14ac:dyDescent="0.3">
      <c r="A4039" t="str">
        <f>"65888383"</f>
        <v>65888383</v>
      </c>
      <c r="B4039" t="s">
        <v>7917</v>
      </c>
      <c r="C4039" t="str">
        <f>"736"</f>
        <v>736</v>
      </c>
      <c r="D4039" t="s">
        <v>22</v>
      </c>
      <c r="E4039" t="s">
        <v>29</v>
      </c>
      <c r="F4039" t="s">
        <v>38</v>
      </c>
      <c r="G4039" t="s">
        <v>7918</v>
      </c>
      <c r="H4039" t="str">
        <f>"94120"</f>
        <v>94120</v>
      </c>
      <c r="I4039" t="s">
        <v>43</v>
      </c>
    </row>
    <row r="4040" spans="1:9" x14ac:dyDescent="0.3">
      <c r="A4040" t="str">
        <f>"22831487"</f>
        <v>22831487</v>
      </c>
      <c r="B4040" t="s">
        <v>7919</v>
      </c>
      <c r="C4040" t="str">
        <f t="shared" ref="C4040:C4050" si="297">"706"</f>
        <v>706</v>
      </c>
      <c r="D4040" t="s">
        <v>28</v>
      </c>
      <c r="E4040" t="s">
        <v>52</v>
      </c>
      <c r="F4040" t="s">
        <v>52</v>
      </c>
      <c r="G4040" t="s">
        <v>7920</v>
      </c>
      <c r="H4040" t="str">
        <f>"94999"</f>
        <v>94999</v>
      </c>
      <c r="I4040" t="s">
        <v>202</v>
      </c>
    </row>
    <row r="4041" spans="1:9" x14ac:dyDescent="0.3">
      <c r="A4041" t="str">
        <f>"26679159"</f>
        <v>26679159</v>
      </c>
      <c r="B4041" t="s">
        <v>7921</v>
      </c>
      <c r="C4041" t="str">
        <f t="shared" si="297"/>
        <v>706</v>
      </c>
      <c r="D4041" t="s">
        <v>28</v>
      </c>
      <c r="E4041" t="s">
        <v>52</v>
      </c>
      <c r="F4041" t="s">
        <v>52</v>
      </c>
      <c r="G4041" t="s">
        <v>7922</v>
      </c>
      <c r="H4041" t="str">
        <f>"9499"</f>
        <v>9499</v>
      </c>
      <c r="I4041" t="s">
        <v>31</v>
      </c>
    </row>
    <row r="4042" spans="1:9" x14ac:dyDescent="0.3">
      <c r="A4042" t="str">
        <f>"22892427"</f>
        <v>22892427</v>
      </c>
      <c r="B4042" t="s">
        <v>7923</v>
      </c>
      <c r="C4042" t="str">
        <f t="shared" si="297"/>
        <v>706</v>
      </c>
      <c r="D4042" t="s">
        <v>28</v>
      </c>
      <c r="E4042" t="s">
        <v>52</v>
      </c>
      <c r="F4042" t="s">
        <v>334</v>
      </c>
      <c r="G4042" t="s">
        <v>7924</v>
      </c>
      <c r="H4042" t="str">
        <f>"93120"</f>
        <v>93120</v>
      </c>
      <c r="I4042" t="s">
        <v>54</v>
      </c>
    </row>
    <row r="4043" spans="1:9" x14ac:dyDescent="0.3">
      <c r="A4043" t="str">
        <f>"45658625"</f>
        <v>45658625</v>
      </c>
      <c r="B4043" t="s">
        <v>7925</v>
      </c>
      <c r="C4043" t="str">
        <f t="shared" si="297"/>
        <v>706</v>
      </c>
      <c r="D4043" t="s">
        <v>28</v>
      </c>
      <c r="E4043" t="s">
        <v>52</v>
      </c>
      <c r="F4043" t="s">
        <v>488</v>
      </c>
      <c r="G4043" t="s">
        <v>7926</v>
      </c>
      <c r="H4043" t="str">
        <f>"9499"</f>
        <v>9499</v>
      </c>
      <c r="I4043" t="s">
        <v>31</v>
      </c>
    </row>
    <row r="4044" spans="1:9" x14ac:dyDescent="0.3">
      <c r="A4044" t="str">
        <f>"05757886"</f>
        <v>05757886</v>
      </c>
      <c r="B4044" t="s">
        <v>7927</v>
      </c>
      <c r="C4044" t="str">
        <f t="shared" si="297"/>
        <v>706</v>
      </c>
      <c r="D4044" t="s">
        <v>28</v>
      </c>
      <c r="E4044" t="s">
        <v>52</v>
      </c>
      <c r="F4044" t="s">
        <v>1212</v>
      </c>
      <c r="G4044" t="s">
        <v>7928</v>
      </c>
      <c r="H4044" t="str">
        <f>"93120"</f>
        <v>93120</v>
      </c>
      <c r="I4044" t="s">
        <v>54</v>
      </c>
    </row>
    <row r="4045" spans="1:9" x14ac:dyDescent="0.3">
      <c r="A4045" t="str">
        <f>"65764528"</f>
        <v>65764528</v>
      </c>
      <c r="B4045" t="s">
        <v>7929</v>
      </c>
      <c r="C4045" t="str">
        <f t="shared" si="297"/>
        <v>706</v>
      </c>
      <c r="D4045" t="s">
        <v>28</v>
      </c>
      <c r="E4045" t="s">
        <v>52</v>
      </c>
      <c r="F4045" t="s">
        <v>113</v>
      </c>
      <c r="G4045" t="s">
        <v>7930</v>
      </c>
      <c r="H4045" t="str">
        <f>"9499"</f>
        <v>9499</v>
      </c>
      <c r="I4045" t="s">
        <v>31</v>
      </c>
    </row>
    <row r="4046" spans="1:9" x14ac:dyDescent="0.3">
      <c r="A4046" t="str">
        <f>"26590174"</f>
        <v>26590174</v>
      </c>
      <c r="B4046" t="s">
        <v>7931</v>
      </c>
      <c r="C4046" t="str">
        <f t="shared" si="297"/>
        <v>706</v>
      </c>
      <c r="D4046" t="s">
        <v>28</v>
      </c>
      <c r="E4046" t="s">
        <v>29</v>
      </c>
      <c r="F4046" t="s">
        <v>29</v>
      </c>
      <c r="G4046" t="s">
        <v>5732</v>
      </c>
      <c r="H4046" t="str">
        <f>"9499"</f>
        <v>9499</v>
      </c>
      <c r="I4046" t="s">
        <v>31</v>
      </c>
    </row>
    <row r="4047" spans="1:9" x14ac:dyDescent="0.3">
      <c r="A4047" t="str">
        <f>"26632730"</f>
        <v>26632730</v>
      </c>
      <c r="B4047" t="s">
        <v>7932</v>
      </c>
      <c r="C4047" t="str">
        <f t="shared" si="297"/>
        <v>706</v>
      </c>
      <c r="D4047" t="s">
        <v>28</v>
      </c>
      <c r="E4047" t="s">
        <v>52</v>
      </c>
      <c r="F4047" t="s">
        <v>234</v>
      </c>
      <c r="G4047" t="s">
        <v>7933</v>
      </c>
      <c r="H4047" t="str">
        <f>"9499"</f>
        <v>9499</v>
      </c>
      <c r="I4047" t="s">
        <v>31</v>
      </c>
    </row>
    <row r="4048" spans="1:9" x14ac:dyDescent="0.3">
      <c r="A4048" t="str">
        <f>"67024904"</f>
        <v>67024904</v>
      </c>
      <c r="B4048" t="s">
        <v>7934</v>
      </c>
      <c r="C4048" t="str">
        <f t="shared" si="297"/>
        <v>706</v>
      </c>
      <c r="D4048" t="s">
        <v>28</v>
      </c>
      <c r="E4048" t="s">
        <v>52</v>
      </c>
      <c r="F4048" t="s">
        <v>52</v>
      </c>
      <c r="G4048" t="s">
        <v>7935</v>
      </c>
      <c r="H4048" t="str">
        <f>"6820"</f>
        <v>6820</v>
      </c>
      <c r="I4048" t="s">
        <v>622</v>
      </c>
    </row>
    <row r="4049" spans="1:9" x14ac:dyDescent="0.3">
      <c r="A4049" t="str">
        <f>"66545790"</f>
        <v>66545790</v>
      </c>
      <c r="B4049" t="s">
        <v>7936</v>
      </c>
      <c r="C4049" t="str">
        <f t="shared" si="297"/>
        <v>706</v>
      </c>
      <c r="D4049" t="s">
        <v>28</v>
      </c>
      <c r="E4049" t="s">
        <v>23</v>
      </c>
      <c r="F4049" t="s">
        <v>68</v>
      </c>
      <c r="G4049" t="s">
        <v>68</v>
      </c>
      <c r="H4049" t="str">
        <f>"6820"</f>
        <v>6820</v>
      </c>
      <c r="I4049" t="s">
        <v>622</v>
      </c>
    </row>
    <row r="4050" spans="1:9" x14ac:dyDescent="0.3">
      <c r="A4050" t="str">
        <f>"65764951"</f>
        <v>65764951</v>
      </c>
      <c r="B4050" t="s">
        <v>7937</v>
      </c>
      <c r="C4050" t="str">
        <f t="shared" si="297"/>
        <v>706</v>
      </c>
      <c r="D4050" t="s">
        <v>28</v>
      </c>
      <c r="E4050" t="s">
        <v>23</v>
      </c>
      <c r="F4050" t="s">
        <v>23</v>
      </c>
      <c r="G4050" t="s">
        <v>7938</v>
      </c>
      <c r="H4050" t="str">
        <f t="shared" ref="H4050:H4057" si="298">"9499"</f>
        <v>9499</v>
      </c>
      <c r="I4050" t="s">
        <v>31</v>
      </c>
    </row>
    <row r="4051" spans="1:9" x14ac:dyDescent="0.3">
      <c r="A4051" t="str">
        <f>"00546291"</f>
        <v>00546291</v>
      </c>
      <c r="B4051" t="s">
        <v>7939</v>
      </c>
      <c r="C4051" t="str">
        <f t="shared" ref="C4051:C4064" si="299">"706"</f>
        <v>706</v>
      </c>
      <c r="D4051" t="s">
        <v>28</v>
      </c>
      <c r="E4051" t="s">
        <v>52</v>
      </c>
      <c r="F4051" t="s">
        <v>52</v>
      </c>
      <c r="G4051" t="s">
        <v>7940</v>
      </c>
      <c r="H4051" t="str">
        <f t="shared" si="298"/>
        <v>9499</v>
      </c>
      <c r="I4051" t="s">
        <v>31</v>
      </c>
    </row>
    <row r="4052" spans="1:9" x14ac:dyDescent="0.3">
      <c r="A4052" t="str">
        <f>"02232847"</f>
        <v>02232847</v>
      </c>
      <c r="B4052" t="s">
        <v>7941</v>
      </c>
      <c r="C4052" t="str">
        <f t="shared" si="299"/>
        <v>706</v>
      </c>
      <c r="D4052" t="s">
        <v>28</v>
      </c>
      <c r="E4052" t="s">
        <v>52</v>
      </c>
      <c r="F4052" t="s">
        <v>796</v>
      </c>
      <c r="G4052" t="s">
        <v>7942</v>
      </c>
      <c r="H4052" t="str">
        <f t="shared" si="298"/>
        <v>9499</v>
      </c>
      <c r="I4052" t="s">
        <v>31</v>
      </c>
    </row>
    <row r="4053" spans="1:9" x14ac:dyDescent="0.3">
      <c r="A4053" t="str">
        <f>"00545040"</f>
        <v>00545040</v>
      </c>
      <c r="B4053" t="s">
        <v>7943</v>
      </c>
      <c r="C4053" t="str">
        <f t="shared" si="299"/>
        <v>706</v>
      </c>
      <c r="D4053" t="s">
        <v>28</v>
      </c>
      <c r="E4053" t="s">
        <v>52</v>
      </c>
      <c r="F4053" t="s">
        <v>113</v>
      </c>
      <c r="G4053" t="s">
        <v>3672</v>
      </c>
      <c r="H4053" t="str">
        <f t="shared" si="298"/>
        <v>9499</v>
      </c>
      <c r="I4053" t="s">
        <v>31</v>
      </c>
    </row>
    <row r="4054" spans="1:9" x14ac:dyDescent="0.3">
      <c r="A4054" t="str">
        <f>"22707921"</f>
        <v>22707921</v>
      </c>
      <c r="B4054" t="s">
        <v>7944</v>
      </c>
      <c r="C4054" t="str">
        <f t="shared" si="299"/>
        <v>706</v>
      </c>
      <c r="D4054" t="s">
        <v>28</v>
      </c>
      <c r="E4054" t="s">
        <v>23</v>
      </c>
      <c r="F4054" t="s">
        <v>23</v>
      </c>
      <c r="G4054" t="s">
        <v>7945</v>
      </c>
      <c r="H4054" t="str">
        <f t="shared" si="298"/>
        <v>9499</v>
      </c>
      <c r="I4054" t="s">
        <v>31</v>
      </c>
    </row>
    <row r="4055" spans="1:9" x14ac:dyDescent="0.3">
      <c r="A4055" t="str">
        <f>"22738673"</f>
        <v>22738673</v>
      </c>
      <c r="B4055" t="s">
        <v>7946</v>
      </c>
      <c r="C4055" t="str">
        <f t="shared" si="299"/>
        <v>706</v>
      </c>
      <c r="D4055" t="s">
        <v>28</v>
      </c>
      <c r="E4055" t="s">
        <v>23</v>
      </c>
      <c r="F4055" t="s">
        <v>23</v>
      </c>
      <c r="G4055" t="s">
        <v>7947</v>
      </c>
      <c r="H4055" t="str">
        <f t="shared" si="298"/>
        <v>9499</v>
      </c>
      <c r="I4055" t="s">
        <v>31</v>
      </c>
    </row>
    <row r="4056" spans="1:9" x14ac:dyDescent="0.3">
      <c r="A4056" t="str">
        <f>"26606488"</f>
        <v>26606488</v>
      </c>
      <c r="B4056" t="s">
        <v>7948</v>
      </c>
      <c r="C4056" t="str">
        <f t="shared" si="299"/>
        <v>706</v>
      </c>
      <c r="D4056" t="s">
        <v>28</v>
      </c>
      <c r="E4056" t="s">
        <v>23</v>
      </c>
      <c r="F4056" t="s">
        <v>23</v>
      </c>
      <c r="G4056" t="s">
        <v>7949</v>
      </c>
      <c r="H4056" t="str">
        <f t="shared" si="298"/>
        <v>9499</v>
      </c>
      <c r="I4056" t="s">
        <v>31</v>
      </c>
    </row>
    <row r="4057" spans="1:9" x14ac:dyDescent="0.3">
      <c r="A4057" t="str">
        <f>"26610612"</f>
        <v>26610612</v>
      </c>
      <c r="B4057" t="s">
        <v>7950</v>
      </c>
      <c r="C4057" t="str">
        <f t="shared" si="299"/>
        <v>706</v>
      </c>
      <c r="D4057" t="s">
        <v>28</v>
      </c>
      <c r="E4057" t="s">
        <v>23</v>
      </c>
      <c r="F4057" t="s">
        <v>23</v>
      </c>
      <c r="G4057" t="s">
        <v>7951</v>
      </c>
      <c r="H4057" t="str">
        <f t="shared" si="298"/>
        <v>9499</v>
      </c>
      <c r="I4057" t="s">
        <v>31</v>
      </c>
    </row>
    <row r="4058" spans="1:9" x14ac:dyDescent="0.3">
      <c r="A4058" t="str">
        <f>"03370038"</f>
        <v>03370038</v>
      </c>
      <c r="B4058" t="s">
        <v>7952</v>
      </c>
      <c r="C4058" t="str">
        <f t="shared" si="299"/>
        <v>706</v>
      </c>
      <c r="D4058" t="s">
        <v>28</v>
      </c>
      <c r="E4058" t="s">
        <v>52</v>
      </c>
      <c r="F4058" t="s">
        <v>52</v>
      </c>
      <c r="G4058" t="s">
        <v>7953</v>
      </c>
      <c r="H4058" t="str">
        <f>"9499"</f>
        <v>9499</v>
      </c>
      <c r="I4058" t="s">
        <v>31</v>
      </c>
    </row>
    <row r="4059" spans="1:9" x14ac:dyDescent="0.3">
      <c r="A4059" t="str">
        <f>"01252003"</f>
        <v>01252003</v>
      </c>
      <c r="B4059" t="s">
        <v>7954</v>
      </c>
      <c r="C4059" t="str">
        <f t="shared" si="299"/>
        <v>706</v>
      </c>
      <c r="D4059" t="s">
        <v>28</v>
      </c>
      <c r="E4059" t="s">
        <v>29</v>
      </c>
      <c r="F4059" t="s">
        <v>778</v>
      </c>
      <c r="G4059" t="s">
        <v>7955</v>
      </c>
      <c r="H4059" t="str">
        <f>"94999"</f>
        <v>94999</v>
      </c>
      <c r="I4059" t="s">
        <v>202</v>
      </c>
    </row>
    <row r="4060" spans="1:9" x14ac:dyDescent="0.3">
      <c r="A4060" t="str">
        <f>"08977551"</f>
        <v>08977551</v>
      </c>
      <c r="B4060" t="s">
        <v>7956</v>
      </c>
      <c r="C4060" t="str">
        <f t="shared" si="299"/>
        <v>706</v>
      </c>
      <c r="D4060" t="s">
        <v>28</v>
      </c>
      <c r="E4060" t="s">
        <v>23</v>
      </c>
      <c r="F4060" t="s">
        <v>459</v>
      </c>
      <c r="G4060" t="s">
        <v>7957</v>
      </c>
      <c r="H4060" t="str">
        <f>"9499"</f>
        <v>9499</v>
      </c>
      <c r="I4060" t="s">
        <v>31</v>
      </c>
    </row>
    <row r="4061" spans="1:9" x14ac:dyDescent="0.3">
      <c r="A4061" t="str">
        <f>"26599252"</f>
        <v>26599252</v>
      </c>
      <c r="B4061" t="s">
        <v>7958</v>
      </c>
      <c r="C4061" t="str">
        <f t="shared" si="299"/>
        <v>706</v>
      </c>
      <c r="D4061" t="s">
        <v>28</v>
      </c>
      <c r="E4061" t="s">
        <v>23</v>
      </c>
      <c r="F4061" t="s">
        <v>350</v>
      </c>
      <c r="G4061" t="s">
        <v>7959</v>
      </c>
      <c r="H4061" t="str">
        <f>"9499"</f>
        <v>9499</v>
      </c>
      <c r="I4061" t="s">
        <v>31</v>
      </c>
    </row>
    <row r="4062" spans="1:9" x14ac:dyDescent="0.3">
      <c r="A4062" t="str">
        <f>"22668896"</f>
        <v>22668896</v>
      </c>
      <c r="B4062" t="s">
        <v>7960</v>
      </c>
      <c r="C4062" t="str">
        <f t="shared" si="299"/>
        <v>706</v>
      </c>
      <c r="D4062" t="s">
        <v>28</v>
      </c>
      <c r="E4062" t="s">
        <v>23</v>
      </c>
      <c r="F4062" t="s">
        <v>966</v>
      </c>
      <c r="G4062" t="s">
        <v>7961</v>
      </c>
      <c r="H4062" t="str">
        <f>"9499"</f>
        <v>9499</v>
      </c>
      <c r="I4062" t="s">
        <v>31</v>
      </c>
    </row>
    <row r="4063" spans="1:9" x14ac:dyDescent="0.3">
      <c r="A4063" t="str">
        <f>"26524821"</f>
        <v>26524821</v>
      </c>
      <c r="B4063" t="s">
        <v>7962</v>
      </c>
      <c r="C4063" t="str">
        <f t="shared" si="299"/>
        <v>706</v>
      </c>
      <c r="D4063" t="s">
        <v>28</v>
      </c>
      <c r="E4063" t="s">
        <v>52</v>
      </c>
      <c r="F4063" t="s">
        <v>52</v>
      </c>
      <c r="G4063" t="s">
        <v>7963</v>
      </c>
      <c r="H4063" t="str">
        <f>"9499"</f>
        <v>9499</v>
      </c>
      <c r="I4063" t="s">
        <v>31</v>
      </c>
    </row>
    <row r="4064" spans="1:9" x14ac:dyDescent="0.3">
      <c r="A4064" t="str">
        <f>"07132051"</f>
        <v>07132051</v>
      </c>
      <c r="B4064" t="s">
        <v>7964</v>
      </c>
      <c r="C4064" t="str">
        <f t="shared" si="299"/>
        <v>706</v>
      </c>
      <c r="D4064" t="s">
        <v>28</v>
      </c>
      <c r="E4064" t="s">
        <v>83</v>
      </c>
      <c r="F4064" t="s">
        <v>83</v>
      </c>
      <c r="G4064" t="s">
        <v>7164</v>
      </c>
      <c r="H4064" t="str">
        <f>"9499"</f>
        <v>9499</v>
      </c>
      <c r="I4064" t="s">
        <v>31</v>
      </c>
    </row>
    <row r="4065" spans="1:10" x14ac:dyDescent="0.3">
      <c r="A4065" t="str">
        <f>"75147921"</f>
        <v>75147921</v>
      </c>
      <c r="B4065" t="s">
        <v>7965</v>
      </c>
      <c r="C4065" t="str">
        <f>"736"</f>
        <v>736</v>
      </c>
      <c r="D4065" t="s">
        <v>22</v>
      </c>
      <c r="E4065" t="s">
        <v>23</v>
      </c>
      <c r="F4065" t="s">
        <v>23</v>
      </c>
      <c r="G4065" t="s">
        <v>280</v>
      </c>
      <c r="H4065" t="str">
        <f>"94997"</f>
        <v>94997</v>
      </c>
      <c r="I4065" t="s">
        <v>2799</v>
      </c>
    </row>
    <row r="4066" spans="1:10" x14ac:dyDescent="0.3">
      <c r="A4066" t="str">
        <f>"75130548"</f>
        <v>75130548</v>
      </c>
      <c r="B4066" t="s">
        <v>7966</v>
      </c>
      <c r="C4066" t="str">
        <f>"736"</f>
        <v>736</v>
      </c>
      <c r="D4066" t="s">
        <v>22</v>
      </c>
      <c r="E4066" t="s">
        <v>23</v>
      </c>
      <c r="F4066" t="s">
        <v>23</v>
      </c>
      <c r="G4066" t="s">
        <v>7967</v>
      </c>
      <c r="H4066" t="str">
        <f>"94997"</f>
        <v>94997</v>
      </c>
      <c r="I4066" t="s">
        <v>2799</v>
      </c>
    </row>
    <row r="4067" spans="1:10" x14ac:dyDescent="0.3">
      <c r="A4067" t="str">
        <f>"19525192"</f>
        <v>19525192</v>
      </c>
      <c r="B4067" t="s">
        <v>7968</v>
      </c>
      <c r="C4067" t="str">
        <f>"706"</f>
        <v>706</v>
      </c>
      <c r="D4067" t="s">
        <v>28</v>
      </c>
      <c r="E4067" t="s">
        <v>52</v>
      </c>
      <c r="F4067" t="s">
        <v>52</v>
      </c>
      <c r="G4067" t="s">
        <v>7969</v>
      </c>
      <c r="H4067" t="str">
        <f>"9499"</f>
        <v>9499</v>
      </c>
      <c r="I4067" t="s">
        <v>31</v>
      </c>
    </row>
    <row r="4068" spans="1:10" x14ac:dyDescent="0.3">
      <c r="A4068" t="str">
        <f>"07617861"</f>
        <v>07617861</v>
      </c>
      <c r="B4068" t="s">
        <v>7970</v>
      </c>
      <c r="C4068" t="str">
        <f>"706"</f>
        <v>706</v>
      </c>
      <c r="D4068" t="s">
        <v>28</v>
      </c>
      <c r="E4068" t="s">
        <v>29</v>
      </c>
      <c r="F4068" t="s">
        <v>195</v>
      </c>
      <c r="G4068" t="s">
        <v>7971</v>
      </c>
      <c r="H4068" t="str">
        <f>"93110"</f>
        <v>93110</v>
      </c>
      <c r="I4068" t="s">
        <v>92</v>
      </c>
      <c r="J4068" t="s">
        <v>59</v>
      </c>
    </row>
    <row r="4069" spans="1:10" x14ac:dyDescent="0.3">
      <c r="A4069" t="str">
        <f>"07405341"</f>
        <v>07405341</v>
      </c>
      <c r="B4069" t="s">
        <v>7972</v>
      </c>
      <c r="C4069" t="str">
        <f>"736"</f>
        <v>736</v>
      </c>
      <c r="D4069" t="s">
        <v>22</v>
      </c>
      <c r="E4069" t="s">
        <v>83</v>
      </c>
      <c r="F4069" t="s">
        <v>83</v>
      </c>
      <c r="G4069" t="s">
        <v>557</v>
      </c>
      <c r="H4069" t="str">
        <f>"9311"</f>
        <v>9311</v>
      </c>
      <c r="I4069" t="s">
        <v>92</v>
      </c>
    </row>
    <row r="4070" spans="1:10" x14ac:dyDescent="0.3">
      <c r="A4070" t="str">
        <f>"07498462"</f>
        <v>07498462</v>
      </c>
      <c r="B4070" t="s">
        <v>7973</v>
      </c>
      <c r="C4070" t="str">
        <f>"736"</f>
        <v>736</v>
      </c>
      <c r="D4070" t="s">
        <v>22</v>
      </c>
      <c r="E4070" t="s">
        <v>52</v>
      </c>
      <c r="F4070" t="s">
        <v>52</v>
      </c>
      <c r="G4070" t="s">
        <v>6379</v>
      </c>
      <c r="H4070" t="str">
        <f>"9311"</f>
        <v>9311</v>
      </c>
      <c r="I4070" t="s">
        <v>92</v>
      </c>
    </row>
    <row r="4071" spans="1:10" x14ac:dyDescent="0.3">
      <c r="A4071" t="str">
        <f>"07405316"</f>
        <v>07405316</v>
      </c>
      <c r="B4071" t="s">
        <v>7974</v>
      </c>
      <c r="C4071" t="str">
        <f>"736"</f>
        <v>736</v>
      </c>
      <c r="D4071" t="s">
        <v>22</v>
      </c>
      <c r="E4071" t="s">
        <v>29</v>
      </c>
      <c r="F4071" t="s">
        <v>29</v>
      </c>
      <c r="G4071" t="s">
        <v>6381</v>
      </c>
      <c r="H4071" t="str">
        <f>"9311"</f>
        <v>9311</v>
      </c>
      <c r="I4071" t="s">
        <v>92</v>
      </c>
    </row>
    <row r="4072" spans="1:10" x14ac:dyDescent="0.3">
      <c r="A4072" t="str">
        <f>"07405251"</f>
        <v>07405251</v>
      </c>
      <c r="B4072" t="s">
        <v>7975</v>
      </c>
      <c r="C4072" t="str">
        <f>"736"</f>
        <v>736</v>
      </c>
      <c r="D4072" t="s">
        <v>22</v>
      </c>
      <c r="E4072" t="s">
        <v>23</v>
      </c>
      <c r="F4072" t="s">
        <v>23</v>
      </c>
      <c r="G4072" t="s">
        <v>204</v>
      </c>
      <c r="H4072" t="str">
        <f>"9311"</f>
        <v>9311</v>
      </c>
      <c r="I4072" t="s">
        <v>92</v>
      </c>
    </row>
    <row r="4073" spans="1:10" x14ac:dyDescent="0.3">
      <c r="A4073" t="str">
        <f>"60383267"</f>
        <v>60383267</v>
      </c>
      <c r="B4073" t="s">
        <v>7976</v>
      </c>
      <c r="C4073" t="str">
        <f>"706"</f>
        <v>706</v>
      </c>
      <c r="D4073" t="s">
        <v>28</v>
      </c>
      <c r="E4073" t="s">
        <v>52</v>
      </c>
      <c r="F4073" t="s">
        <v>234</v>
      </c>
      <c r="G4073" t="s">
        <v>7977</v>
      </c>
      <c r="H4073" t="str">
        <f>"9499"</f>
        <v>9499</v>
      </c>
      <c r="I4073" t="s">
        <v>31</v>
      </c>
    </row>
    <row r="4074" spans="1:10" x14ac:dyDescent="0.3">
      <c r="A4074" t="str">
        <f>"64123162"</f>
        <v>64123162</v>
      </c>
      <c r="B4074" t="s">
        <v>7978</v>
      </c>
      <c r="C4074" t="str">
        <f>"736"</f>
        <v>736</v>
      </c>
      <c r="D4074" t="s">
        <v>22</v>
      </c>
      <c r="E4074" t="s">
        <v>29</v>
      </c>
      <c r="F4074" t="s">
        <v>195</v>
      </c>
      <c r="G4074" t="s">
        <v>7979</v>
      </c>
      <c r="H4074" t="str">
        <f>"94995"</f>
        <v>94995</v>
      </c>
      <c r="I4074" t="s">
        <v>232</v>
      </c>
    </row>
    <row r="4075" spans="1:10" x14ac:dyDescent="0.3">
      <c r="A4075" t="str">
        <f>"60369671"</f>
        <v>60369671</v>
      </c>
      <c r="B4075" t="s">
        <v>7980</v>
      </c>
      <c r="C4075" t="str">
        <f>"706"</f>
        <v>706</v>
      </c>
      <c r="D4075" t="s">
        <v>28</v>
      </c>
      <c r="E4075" t="s">
        <v>52</v>
      </c>
      <c r="F4075" t="s">
        <v>739</v>
      </c>
      <c r="G4075" t="s">
        <v>7981</v>
      </c>
      <c r="H4075" t="str">
        <f>"93110"</f>
        <v>93110</v>
      </c>
      <c r="I4075" t="s">
        <v>92</v>
      </c>
      <c r="J4075" t="s">
        <v>498</v>
      </c>
    </row>
    <row r="4076" spans="1:10" x14ac:dyDescent="0.3">
      <c r="A4076" t="str">
        <f>"26535475"</f>
        <v>26535475</v>
      </c>
      <c r="B4076" t="s">
        <v>7982</v>
      </c>
      <c r="C4076" t="str">
        <f>"706"</f>
        <v>706</v>
      </c>
      <c r="D4076" t="s">
        <v>28</v>
      </c>
      <c r="E4076" t="s">
        <v>83</v>
      </c>
      <c r="F4076" t="s">
        <v>183</v>
      </c>
      <c r="G4076" t="s">
        <v>7983</v>
      </c>
      <c r="H4076" t="str">
        <f>"93120"</f>
        <v>93120</v>
      </c>
      <c r="I4076" t="s">
        <v>54</v>
      </c>
    </row>
    <row r="4077" spans="1:10" x14ac:dyDescent="0.3">
      <c r="A4077" t="str">
        <f>"26523507"</f>
        <v>26523507</v>
      </c>
      <c r="B4077" t="s">
        <v>7984</v>
      </c>
      <c r="C4077" t="str">
        <f>"706"</f>
        <v>706</v>
      </c>
      <c r="D4077" t="s">
        <v>28</v>
      </c>
      <c r="E4077" t="s">
        <v>83</v>
      </c>
      <c r="F4077" t="s">
        <v>83</v>
      </c>
      <c r="G4077" t="s">
        <v>7985</v>
      </c>
      <c r="H4077" t="str">
        <f>"93120"</f>
        <v>93120</v>
      </c>
      <c r="I4077" t="s">
        <v>54</v>
      </c>
    </row>
    <row r="4078" spans="1:10" x14ac:dyDescent="0.3">
      <c r="A4078" t="str">
        <f>"71167498"</f>
        <v>71167498</v>
      </c>
      <c r="B4078" t="s">
        <v>7986</v>
      </c>
      <c r="C4078" t="str">
        <f t="shared" ref="C4078:C4141" si="300">"736"</f>
        <v>736</v>
      </c>
      <c r="D4078" t="s">
        <v>22</v>
      </c>
      <c r="E4078" t="s">
        <v>23</v>
      </c>
      <c r="F4078" t="s">
        <v>23</v>
      </c>
      <c r="G4078" t="s">
        <v>7987</v>
      </c>
      <c r="H4078" t="str">
        <f>"84250"</f>
        <v>84250</v>
      </c>
      <c r="I4078" t="s">
        <v>4834</v>
      </c>
    </row>
    <row r="4079" spans="1:10" x14ac:dyDescent="0.3">
      <c r="A4079" t="str">
        <f>"63414333"</f>
        <v>63414333</v>
      </c>
      <c r="B4079" t="s">
        <v>7988</v>
      </c>
      <c r="C4079" t="str">
        <f t="shared" si="300"/>
        <v>736</v>
      </c>
      <c r="D4079" t="s">
        <v>22</v>
      </c>
      <c r="E4079" t="s">
        <v>83</v>
      </c>
      <c r="F4079" t="s">
        <v>83</v>
      </c>
      <c r="G4079" t="s">
        <v>7989</v>
      </c>
      <c r="H4079" t="str">
        <f>"8425"</f>
        <v>8425</v>
      </c>
      <c r="I4079" t="s">
        <v>4834</v>
      </c>
    </row>
    <row r="4080" spans="1:10" x14ac:dyDescent="0.3">
      <c r="A4080" t="str">
        <f>"65325591"</f>
        <v>65325591</v>
      </c>
      <c r="B4080" t="s">
        <v>7990</v>
      </c>
      <c r="C4080" t="str">
        <f t="shared" si="300"/>
        <v>736</v>
      </c>
      <c r="D4080" t="s">
        <v>22</v>
      </c>
      <c r="E4080" t="s">
        <v>52</v>
      </c>
      <c r="F4080" t="s">
        <v>52</v>
      </c>
      <c r="G4080" t="s">
        <v>439</v>
      </c>
      <c r="H4080" t="str">
        <f>"84250"</f>
        <v>84250</v>
      </c>
      <c r="I4080" t="s">
        <v>4834</v>
      </c>
    </row>
    <row r="4081" spans="1:9" x14ac:dyDescent="0.3">
      <c r="A4081" t="str">
        <f>"63701456"</f>
        <v>63701456</v>
      </c>
      <c r="B4081" t="s">
        <v>7991</v>
      </c>
      <c r="C4081" t="str">
        <f t="shared" si="300"/>
        <v>736</v>
      </c>
      <c r="D4081" t="s">
        <v>22</v>
      </c>
      <c r="E4081" t="s">
        <v>29</v>
      </c>
      <c r="F4081" t="s">
        <v>29</v>
      </c>
      <c r="G4081" t="s">
        <v>6381</v>
      </c>
      <c r="H4081" t="str">
        <f>"84250"</f>
        <v>84250</v>
      </c>
      <c r="I4081" t="s">
        <v>4834</v>
      </c>
    </row>
    <row r="4082" spans="1:9" x14ac:dyDescent="0.3">
      <c r="A4082" t="str">
        <f>"65792025"</f>
        <v>65792025</v>
      </c>
      <c r="B4082" t="s">
        <v>7992</v>
      </c>
      <c r="C4082" t="str">
        <f t="shared" si="300"/>
        <v>736</v>
      </c>
      <c r="D4082" t="s">
        <v>22</v>
      </c>
      <c r="E4082" t="s">
        <v>23</v>
      </c>
      <c r="F4082" t="s">
        <v>23</v>
      </c>
      <c r="G4082" t="s">
        <v>23</v>
      </c>
      <c r="H4082" t="str">
        <f>"84250"</f>
        <v>84250</v>
      </c>
      <c r="I4082" t="s">
        <v>4834</v>
      </c>
    </row>
    <row r="4083" spans="1:9" x14ac:dyDescent="0.3">
      <c r="A4083" t="str">
        <f>"10807900"</f>
        <v>10807900</v>
      </c>
      <c r="B4083" t="s">
        <v>7993</v>
      </c>
      <c r="C4083" t="str">
        <f t="shared" si="300"/>
        <v>736</v>
      </c>
      <c r="D4083" t="s">
        <v>22</v>
      </c>
      <c r="E4083" t="s">
        <v>23</v>
      </c>
      <c r="F4083" t="s">
        <v>141</v>
      </c>
      <c r="G4083" t="s">
        <v>7994</v>
      </c>
      <c r="H4083" t="str">
        <f>"84250"</f>
        <v>84250</v>
      </c>
      <c r="I4083" t="s">
        <v>4834</v>
      </c>
    </row>
    <row r="4084" spans="1:9" x14ac:dyDescent="0.3">
      <c r="A4084" t="str">
        <f>"05899923"</f>
        <v>05899923</v>
      </c>
      <c r="B4084" t="s">
        <v>7995</v>
      </c>
      <c r="C4084" t="str">
        <f t="shared" si="300"/>
        <v>736</v>
      </c>
      <c r="D4084" t="s">
        <v>22</v>
      </c>
      <c r="E4084" t="s">
        <v>29</v>
      </c>
      <c r="F4084" t="s">
        <v>29</v>
      </c>
      <c r="G4084" t="s">
        <v>7996</v>
      </c>
      <c r="H4084" t="str">
        <f>"8425"</f>
        <v>8425</v>
      </c>
      <c r="I4084" t="s">
        <v>4834</v>
      </c>
    </row>
    <row r="4085" spans="1:9" x14ac:dyDescent="0.3">
      <c r="A4085" t="str">
        <f>"17866430"</f>
        <v>17866430</v>
      </c>
      <c r="B4085" t="s">
        <v>7997</v>
      </c>
      <c r="C4085" t="str">
        <f t="shared" si="300"/>
        <v>736</v>
      </c>
      <c r="D4085" t="s">
        <v>22</v>
      </c>
      <c r="E4085" t="s">
        <v>23</v>
      </c>
      <c r="F4085" t="s">
        <v>1631</v>
      </c>
      <c r="G4085" t="s">
        <v>2579</v>
      </c>
      <c r="H4085" t="str">
        <f>"84250"</f>
        <v>84250</v>
      </c>
      <c r="I4085" t="s">
        <v>4834</v>
      </c>
    </row>
    <row r="4086" spans="1:9" x14ac:dyDescent="0.3">
      <c r="A4086" t="str">
        <f>"71209654"</f>
        <v>71209654</v>
      </c>
      <c r="B4086" t="s">
        <v>7998</v>
      </c>
      <c r="C4086" t="str">
        <f t="shared" si="300"/>
        <v>736</v>
      </c>
      <c r="D4086" t="s">
        <v>22</v>
      </c>
      <c r="E4086" t="s">
        <v>29</v>
      </c>
      <c r="F4086" t="s">
        <v>1004</v>
      </c>
      <c r="G4086" t="s">
        <v>2365</v>
      </c>
      <c r="H4086" t="str">
        <f>"84250"</f>
        <v>84250</v>
      </c>
      <c r="I4086" t="s">
        <v>4834</v>
      </c>
    </row>
    <row r="4087" spans="1:9" x14ac:dyDescent="0.3">
      <c r="A4087" t="str">
        <f>"17800838"</f>
        <v>17800838</v>
      </c>
      <c r="B4087" t="s">
        <v>7999</v>
      </c>
      <c r="C4087" t="str">
        <f t="shared" si="300"/>
        <v>736</v>
      </c>
      <c r="D4087" t="s">
        <v>22</v>
      </c>
      <c r="E4087" t="s">
        <v>23</v>
      </c>
      <c r="F4087" t="s">
        <v>1773</v>
      </c>
      <c r="G4087" t="s">
        <v>8000</v>
      </c>
      <c r="H4087" t="str">
        <f>"84250"</f>
        <v>84250</v>
      </c>
      <c r="I4087" t="s">
        <v>4834</v>
      </c>
    </row>
    <row r="4088" spans="1:9" x14ac:dyDescent="0.3">
      <c r="A4088" t="str">
        <f>"07369221"</f>
        <v>07369221</v>
      </c>
      <c r="B4088" t="s">
        <v>8001</v>
      </c>
      <c r="C4088" t="str">
        <f t="shared" si="300"/>
        <v>736</v>
      </c>
      <c r="D4088" t="s">
        <v>22</v>
      </c>
      <c r="E4088" t="s">
        <v>23</v>
      </c>
      <c r="F4088" t="s">
        <v>68</v>
      </c>
      <c r="G4088" t="s">
        <v>8002</v>
      </c>
      <c r="H4088" t="str">
        <f>"8425"</f>
        <v>8425</v>
      </c>
      <c r="I4088" t="s">
        <v>4834</v>
      </c>
    </row>
    <row r="4089" spans="1:9" x14ac:dyDescent="0.3">
      <c r="A4089" t="str">
        <f>"07330685"</f>
        <v>07330685</v>
      </c>
      <c r="B4089" t="s">
        <v>8003</v>
      </c>
      <c r="C4089" t="str">
        <f t="shared" si="300"/>
        <v>736</v>
      </c>
      <c r="D4089" t="s">
        <v>22</v>
      </c>
      <c r="E4089" t="s">
        <v>23</v>
      </c>
      <c r="F4089" t="s">
        <v>1917</v>
      </c>
      <c r="G4089" t="s">
        <v>8004</v>
      </c>
      <c r="H4089" t="str">
        <f>"84250"</f>
        <v>84250</v>
      </c>
      <c r="I4089" t="s">
        <v>4834</v>
      </c>
    </row>
    <row r="4090" spans="1:9" x14ac:dyDescent="0.3">
      <c r="A4090" t="str">
        <f>"08664242"</f>
        <v>08664242</v>
      </c>
      <c r="B4090" t="s">
        <v>8005</v>
      </c>
      <c r="C4090" t="str">
        <f t="shared" si="300"/>
        <v>736</v>
      </c>
      <c r="D4090" t="s">
        <v>22</v>
      </c>
      <c r="E4090" t="s">
        <v>23</v>
      </c>
      <c r="F4090" t="s">
        <v>1935</v>
      </c>
      <c r="G4090" t="s">
        <v>1936</v>
      </c>
      <c r="H4090" t="str">
        <f>"8425"</f>
        <v>8425</v>
      </c>
      <c r="I4090" t="s">
        <v>4834</v>
      </c>
    </row>
    <row r="4091" spans="1:9" x14ac:dyDescent="0.3">
      <c r="A4091" t="str">
        <f>"06376339"</f>
        <v>06376339</v>
      </c>
      <c r="B4091" t="s">
        <v>8006</v>
      </c>
      <c r="C4091" t="str">
        <f t="shared" si="300"/>
        <v>736</v>
      </c>
      <c r="D4091" t="s">
        <v>22</v>
      </c>
      <c r="E4091" t="s">
        <v>23</v>
      </c>
      <c r="F4091" t="s">
        <v>975</v>
      </c>
      <c r="G4091" t="s">
        <v>8007</v>
      </c>
      <c r="H4091" t="str">
        <f>"8425"</f>
        <v>8425</v>
      </c>
      <c r="I4091" t="s">
        <v>4834</v>
      </c>
    </row>
    <row r="4092" spans="1:9" x14ac:dyDescent="0.3">
      <c r="A4092" t="str">
        <f>"04827333"</f>
        <v>04827333</v>
      </c>
      <c r="B4092" t="s">
        <v>8008</v>
      </c>
      <c r="C4092" t="str">
        <f t="shared" si="300"/>
        <v>736</v>
      </c>
      <c r="D4092" t="s">
        <v>22</v>
      </c>
      <c r="E4092" t="s">
        <v>29</v>
      </c>
      <c r="F4092" t="s">
        <v>1654</v>
      </c>
      <c r="G4092" t="s">
        <v>1820</v>
      </c>
      <c r="H4092" t="str">
        <f>"8425"</f>
        <v>8425</v>
      </c>
      <c r="I4092" t="s">
        <v>4834</v>
      </c>
    </row>
    <row r="4093" spans="1:9" x14ac:dyDescent="0.3">
      <c r="A4093" t="str">
        <f>"06584047"</f>
        <v>06584047</v>
      </c>
      <c r="B4093" t="s">
        <v>8009</v>
      </c>
      <c r="C4093" t="str">
        <f t="shared" si="300"/>
        <v>736</v>
      </c>
      <c r="D4093" t="s">
        <v>22</v>
      </c>
      <c r="E4093" t="s">
        <v>23</v>
      </c>
      <c r="F4093" t="s">
        <v>4802</v>
      </c>
      <c r="G4093" t="s">
        <v>8010</v>
      </c>
      <c r="H4093" t="str">
        <f>"84250"</f>
        <v>84250</v>
      </c>
      <c r="I4093" t="s">
        <v>4834</v>
      </c>
    </row>
    <row r="4094" spans="1:9" x14ac:dyDescent="0.3">
      <c r="A4094" t="str">
        <f>"07450036"</f>
        <v>07450036</v>
      </c>
      <c r="B4094" t="s">
        <v>8011</v>
      </c>
      <c r="C4094" t="str">
        <f t="shared" si="300"/>
        <v>736</v>
      </c>
      <c r="D4094" t="s">
        <v>22</v>
      </c>
      <c r="E4094" t="s">
        <v>23</v>
      </c>
      <c r="F4094" t="s">
        <v>688</v>
      </c>
      <c r="G4094" t="s">
        <v>8012</v>
      </c>
      <c r="H4094" t="str">
        <f>"8425"</f>
        <v>8425</v>
      </c>
      <c r="I4094" t="s">
        <v>4834</v>
      </c>
    </row>
    <row r="4095" spans="1:9" x14ac:dyDescent="0.3">
      <c r="A4095" t="str">
        <f>"08625361"</f>
        <v>08625361</v>
      </c>
      <c r="B4095" t="s">
        <v>8013</v>
      </c>
      <c r="C4095" t="str">
        <f t="shared" si="300"/>
        <v>736</v>
      </c>
      <c r="D4095" t="s">
        <v>22</v>
      </c>
      <c r="E4095" t="s">
        <v>23</v>
      </c>
      <c r="F4095" t="s">
        <v>2706</v>
      </c>
      <c r="G4095" t="s">
        <v>8014</v>
      </c>
      <c r="H4095" t="str">
        <f>"8425"</f>
        <v>8425</v>
      </c>
      <c r="I4095" t="s">
        <v>4834</v>
      </c>
    </row>
    <row r="4096" spans="1:9" x14ac:dyDescent="0.3">
      <c r="A4096" t="str">
        <f>"72051779"</f>
        <v>72051779</v>
      </c>
      <c r="B4096" t="s">
        <v>8015</v>
      </c>
      <c r="C4096" t="str">
        <f t="shared" si="300"/>
        <v>736</v>
      </c>
      <c r="D4096" t="s">
        <v>22</v>
      </c>
      <c r="E4096" t="s">
        <v>23</v>
      </c>
      <c r="F4096" t="s">
        <v>1492</v>
      </c>
      <c r="G4096" t="s">
        <v>1599</v>
      </c>
      <c r="H4096" t="str">
        <f t="shared" ref="H4096:H4101" si="301">"84250"</f>
        <v>84250</v>
      </c>
      <c r="I4096" t="s">
        <v>4834</v>
      </c>
    </row>
    <row r="4097" spans="1:12" x14ac:dyDescent="0.3">
      <c r="A4097" t="str">
        <f>"04774230"</f>
        <v>04774230</v>
      </c>
      <c r="B4097" t="s">
        <v>8016</v>
      </c>
      <c r="C4097" t="str">
        <f t="shared" si="300"/>
        <v>736</v>
      </c>
      <c r="D4097" t="s">
        <v>22</v>
      </c>
      <c r="E4097" t="s">
        <v>29</v>
      </c>
      <c r="F4097" t="s">
        <v>2532</v>
      </c>
      <c r="G4097" t="s">
        <v>8017</v>
      </c>
      <c r="H4097" t="str">
        <f t="shared" si="301"/>
        <v>84250</v>
      </c>
      <c r="I4097" t="s">
        <v>4834</v>
      </c>
    </row>
    <row r="4098" spans="1:12" x14ac:dyDescent="0.3">
      <c r="A4098" t="str">
        <f>"04773977"</f>
        <v>04773977</v>
      </c>
      <c r="B4098" t="s">
        <v>8018</v>
      </c>
      <c r="C4098" t="str">
        <f t="shared" si="300"/>
        <v>736</v>
      </c>
      <c r="D4098" t="s">
        <v>22</v>
      </c>
      <c r="E4098" t="s">
        <v>29</v>
      </c>
      <c r="F4098" t="s">
        <v>2177</v>
      </c>
      <c r="G4098" t="s">
        <v>2178</v>
      </c>
      <c r="H4098" t="str">
        <f t="shared" si="301"/>
        <v>84250</v>
      </c>
      <c r="I4098" t="s">
        <v>4834</v>
      </c>
    </row>
    <row r="4099" spans="1:12" x14ac:dyDescent="0.3">
      <c r="A4099" t="str">
        <f>"04774281"</f>
        <v>04774281</v>
      </c>
      <c r="B4099" t="s">
        <v>8019</v>
      </c>
      <c r="C4099" t="str">
        <f t="shared" si="300"/>
        <v>736</v>
      </c>
      <c r="D4099" t="s">
        <v>22</v>
      </c>
      <c r="E4099" t="s">
        <v>29</v>
      </c>
      <c r="F4099" t="s">
        <v>271</v>
      </c>
      <c r="G4099" t="s">
        <v>1606</v>
      </c>
      <c r="H4099" t="str">
        <f t="shared" si="301"/>
        <v>84250</v>
      </c>
      <c r="I4099" t="s">
        <v>4834</v>
      </c>
    </row>
    <row r="4100" spans="1:12" x14ac:dyDescent="0.3">
      <c r="A4100" t="str">
        <f>"09707361"</f>
        <v>09707361</v>
      </c>
      <c r="B4100" t="s">
        <v>8020</v>
      </c>
      <c r="C4100" t="str">
        <f t="shared" si="300"/>
        <v>736</v>
      </c>
      <c r="D4100" t="s">
        <v>22</v>
      </c>
      <c r="E4100" t="s">
        <v>23</v>
      </c>
      <c r="F4100" t="s">
        <v>1877</v>
      </c>
      <c r="G4100" t="s">
        <v>8021</v>
      </c>
      <c r="H4100" t="str">
        <f t="shared" si="301"/>
        <v>84250</v>
      </c>
      <c r="I4100" t="s">
        <v>4834</v>
      </c>
    </row>
    <row r="4101" spans="1:12" x14ac:dyDescent="0.3">
      <c r="A4101" t="str">
        <f>"04774094"</f>
        <v>04774094</v>
      </c>
      <c r="B4101" t="s">
        <v>8022</v>
      </c>
      <c r="C4101" t="str">
        <f t="shared" si="300"/>
        <v>736</v>
      </c>
      <c r="D4101" t="s">
        <v>22</v>
      </c>
      <c r="E4101" t="s">
        <v>29</v>
      </c>
      <c r="F4101" t="s">
        <v>135</v>
      </c>
      <c r="G4101" t="s">
        <v>2594</v>
      </c>
      <c r="H4101" t="str">
        <f t="shared" si="301"/>
        <v>84250</v>
      </c>
      <c r="I4101" t="s">
        <v>4834</v>
      </c>
    </row>
    <row r="4102" spans="1:12" x14ac:dyDescent="0.3">
      <c r="A4102" t="str">
        <f>"04804333"</f>
        <v>04804333</v>
      </c>
      <c r="B4102" t="s">
        <v>8023</v>
      </c>
      <c r="C4102" t="str">
        <f t="shared" si="300"/>
        <v>736</v>
      </c>
      <c r="D4102" t="s">
        <v>22</v>
      </c>
      <c r="E4102" t="s">
        <v>29</v>
      </c>
      <c r="F4102" t="s">
        <v>852</v>
      </c>
      <c r="G4102" t="s">
        <v>8024</v>
      </c>
      <c r="H4102" t="str">
        <f>"8425"</f>
        <v>8425</v>
      </c>
      <c r="I4102" t="s">
        <v>4834</v>
      </c>
    </row>
    <row r="4103" spans="1:12" x14ac:dyDescent="0.3">
      <c r="A4103" t="str">
        <f>"09707778"</f>
        <v>09707778</v>
      </c>
      <c r="B4103" t="s">
        <v>8025</v>
      </c>
      <c r="C4103" t="str">
        <f t="shared" si="300"/>
        <v>736</v>
      </c>
      <c r="D4103" t="s">
        <v>22</v>
      </c>
      <c r="E4103" t="s">
        <v>23</v>
      </c>
      <c r="F4103" t="s">
        <v>107</v>
      </c>
      <c r="G4103" t="s">
        <v>206</v>
      </c>
      <c r="H4103" t="str">
        <f>"8425"</f>
        <v>8425</v>
      </c>
      <c r="I4103" t="s">
        <v>4834</v>
      </c>
    </row>
    <row r="4104" spans="1:12" x14ac:dyDescent="0.3">
      <c r="A4104" t="str">
        <f>"04774175"</f>
        <v>04774175</v>
      </c>
      <c r="B4104" t="s">
        <v>8026</v>
      </c>
      <c r="C4104" t="str">
        <f t="shared" si="300"/>
        <v>736</v>
      </c>
      <c r="D4104" t="s">
        <v>22</v>
      </c>
      <c r="E4104" t="s">
        <v>29</v>
      </c>
      <c r="F4104" t="s">
        <v>390</v>
      </c>
      <c r="G4104" t="s">
        <v>8027</v>
      </c>
      <c r="H4104" t="str">
        <f t="shared" ref="H4104:H4167" si="302">"84250"</f>
        <v>84250</v>
      </c>
      <c r="I4104" t="s">
        <v>4834</v>
      </c>
    </row>
    <row r="4105" spans="1:12" x14ac:dyDescent="0.3">
      <c r="A4105" t="str">
        <f>"04773896"</f>
        <v>04773896</v>
      </c>
      <c r="B4105" t="s">
        <v>8028</v>
      </c>
      <c r="C4105" t="str">
        <f t="shared" si="300"/>
        <v>736</v>
      </c>
      <c r="D4105" t="s">
        <v>22</v>
      </c>
      <c r="E4105" t="s">
        <v>29</v>
      </c>
      <c r="F4105" t="s">
        <v>1266</v>
      </c>
      <c r="G4105" t="s">
        <v>1929</v>
      </c>
      <c r="H4105" t="str">
        <f t="shared" si="302"/>
        <v>84250</v>
      </c>
      <c r="I4105" t="s">
        <v>4834</v>
      </c>
    </row>
    <row r="4106" spans="1:12" x14ac:dyDescent="0.3">
      <c r="A4106" t="str">
        <f>"04774191"</f>
        <v>04774191</v>
      </c>
      <c r="B4106" t="s">
        <v>8029</v>
      </c>
      <c r="C4106" t="str">
        <f t="shared" si="300"/>
        <v>736</v>
      </c>
      <c r="D4106" t="s">
        <v>22</v>
      </c>
      <c r="E4106" t="s">
        <v>29</v>
      </c>
      <c r="F4106" t="s">
        <v>1810</v>
      </c>
      <c r="G4106" t="s">
        <v>8030</v>
      </c>
      <c r="H4106" t="str">
        <f t="shared" si="302"/>
        <v>84250</v>
      </c>
      <c r="I4106" t="s">
        <v>4834</v>
      </c>
    </row>
    <row r="4107" spans="1:12" x14ac:dyDescent="0.3">
      <c r="A4107" t="str">
        <f>"04773870"</f>
        <v>04773870</v>
      </c>
      <c r="B4107" t="s">
        <v>8031</v>
      </c>
      <c r="C4107" t="str">
        <f t="shared" si="300"/>
        <v>736</v>
      </c>
      <c r="D4107" t="s">
        <v>22</v>
      </c>
      <c r="E4107" t="s">
        <v>29</v>
      </c>
      <c r="F4107" t="s">
        <v>1922</v>
      </c>
      <c r="G4107" t="s">
        <v>1923</v>
      </c>
      <c r="H4107" t="str">
        <f t="shared" si="302"/>
        <v>84250</v>
      </c>
      <c r="I4107" t="s">
        <v>4834</v>
      </c>
    </row>
    <row r="4108" spans="1:12" x14ac:dyDescent="0.3">
      <c r="A4108" t="str">
        <f>"04774051"</f>
        <v>04774051</v>
      </c>
      <c r="B4108" t="s">
        <v>8032</v>
      </c>
      <c r="C4108" t="str">
        <f t="shared" si="300"/>
        <v>736</v>
      </c>
      <c r="D4108" t="s">
        <v>22</v>
      </c>
      <c r="E4108" t="s">
        <v>29</v>
      </c>
      <c r="F4108" t="s">
        <v>702</v>
      </c>
      <c r="G4108" t="s">
        <v>8033</v>
      </c>
      <c r="H4108" t="str">
        <f t="shared" si="302"/>
        <v>84250</v>
      </c>
      <c r="I4108" t="s">
        <v>4834</v>
      </c>
    </row>
    <row r="4109" spans="1:12" x14ac:dyDescent="0.3">
      <c r="A4109" t="str">
        <f>"09828869"</f>
        <v>09828869</v>
      </c>
      <c r="B4109" t="s">
        <v>8034</v>
      </c>
      <c r="C4109" t="str">
        <f t="shared" si="300"/>
        <v>736</v>
      </c>
      <c r="D4109" t="s">
        <v>22</v>
      </c>
      <c r="E4109" t="s">
        <v>23</v>
      </c>
      <c r="F4109" t="s">
        <v>282</v>
      </c>
      <c r="G4109" t="s">
        <v>8035</v>
      </c>
      <c r="H4109" t="str">
        <f t="shared" si="302"/>
        <v>84250</v>
      </c>
      <c r="I4109" t="s">
        <v>4834</v>
      </c>
    </row>
    <row r="4110" spans="1:12" x14ac:dyDescent="0.3">
      <c r="A4110" t="str">
        <f>"75045231"</f>
        <v>75045231</v>
      </c>
      <c r="B4110" t="s">
        <v>8036</v>
      </c>
      <c r="C4110" t="str">
        <f t="shared" si="300"/>
        <v>736</v>
      </c>
      <c r="D4110" t="s">
        <v>22</v>
      </c>
      <c r="E4110" t="s">
        <v>23</v>
      </c>
      <c r="F4110" t="s">
        <v>350</v>
      </c>
      <c r="G4110" t="s">
        <v>8037</v>
      </c>
      <c r="H4110" t="str">
        <f t="shared" si="302"/>
        <v>84250</v>
      </c>
      <c r="I4110" t="s">
        <v>4834</v>
      </c>
    </row>
    <row r="4111" spans="1:12" x14ac:dyDescent="0.3">
      <c r="A4111" t="str">
        <f>"65469241"</f>
        <v>65469241</v>
      </c>
      <c r="B4111" t="s">
        <v>8038</v>
      </c>
      <c r="C4111" t="str">
        <f t="shared" si="300"/>
        <v>736</v>
      </c>
      <c r="D4111" t="s">
        <v>22</v>
      </c>
      <c r="E4111" t="s">
        <v>29</v>
      </c>
      <c r="F4111" t="s">
        <v>271</v>
      </c>
      <c r="G4111" t="s">
        <v>1660</v>
      </c>
      <c r="H4111" t="str">
        <f t="shared" si="302"/>
        <v>84250</v>
      </c>
      <c r="I4111" t="s">
        <v>4834</v>
      </c>
      <c r="J4111" t="s">
        <v>258</v>
      </c>
      <c r="K4111" t="s">
        <v>161</v>
      </c>
      <c r="L4111" t="s">
        <v>2069</v>
      </c>
    </row>
    <row r="4112" spans="1:12" x14ac:dyDescent="0.3">
      <c r="A4112" t="str">
        <f>"65324790"</f>
        <v>65324790</v>
      </c>
      <c r="B4112" t="s">
        <v>8038</v>
      </c>
      <c r="C4112" t="str">
        <f t="shared" si="300"/>
        <v>736</v>
      </c>
      <c r="D4112" t="s">
        <v>22</v>
      </c>
      <c r="E4112" t="s">
        <v>52</v>
      </c>
      <c r="F4112" t="s">
        <v>1170</v>
      </c>
      <c r="G4112" t="s">
        <v>8039</v>
      </c>
      <c r="H4112" t="str">
        <f t="shared" si="302"/>
        <v>84250</v>
      </c>
      <c r="I4112" t="s">
        <v>4834</v>
      </c>
    </row>
    <row r="4113" spans="1:12" x14ac:dyDescent="0.3">
      <c r="A4113" t="str">
        <f>"60383348"</f>
        <v>60383348</v>
      </c>
      <c r="B4113" t="s">
        <v>8040</v>
      </c>
      <c r="C4113" t="str">
        <f t="shared" si="300"/>
        <v>736</v>
      </c>
      <c r="D4113" t="s">
        <v>22</v>
      </c>
      <c r="E4113" t="s">
        <v>83</v>
      </c>
      <c r="F4113" t="s">
        <v>895</v>
      </c>
      <c r="G4113" t="s">
        <v>8041</v>
      </c>
      <c r="H4113" t="str">
        <f t="shared" si="302"/>
        <v>84250</v>
      </c>
      <c r="I4113" t="s">
        <v>4834</v>
      </c>
      <c r="J4113" t="s">
        <v>258</v>
      </c>
      <c r="K4113" t="s">
        <v>2069</v>
      </c>
      <c r="L4113" t="s">
        <v>161</v>
      </c>
    </row>
    <row r="4114" spans="1:12" x14ac:dyDescent="0.3">
      <c r="A4114" t="str">
        <f>"65270347"</f>
        <v>65270347</v>
      </c>
      <c r="B4114" t="s">
        <v>8042</v>
      </c>
      <c r="C4114" t="str">
        <f t="shared" si="300"/>
        <v>736</v>
      </c>
      <c r="D4114" t="s">
        <v>22</v>
      </c>
      <c r="E4114" t="s">
        <v>23</v>
      </c>
      <c r="F4114" t="s">
        <v>3475</v>
      </c>
      <c r="G4114" t="s">
        <v>8043</v>
      </c>
      <c r="H4114" t="str">
        <f t="shared" si="302"/>
        <v>84250</v>
      </c>
      <c r="I4114" t="s">
        <v>4834</v>
      </c>
      <c r="J4114" t="s">
        <v>258</v>
      </c>
      <c r="K4114" t="s">
        <v>161</v>
      </c>
      <c r="L4114" t="s">
        <v>2069</v>
      </c>
    </row>
    <row r="4115" spans="1:12" x14ac:dyDescent="0.3">
      <c r="A4115" t="str">
        <f>"63414201"</f>
        <v>63414201</v>
      </c>
      <c r="B4115" t="s">
        <v>8044</v>
      </c>
      <c r="C4115" t="str">
        <f t="shared" si="300"/>
        <v>736</v>
      </c>
      <c r="D4115" t="s">
        <v>22</v>
      </c>
      <c r="E4115" t="s">
        <v>83</v>
      </c>
      <c r="F4115" t="s">
        <v>815</v>
      </c>
      <c r="G4115" t="s">
        <v>8045</v>
      </c>
      <c r="H4115" t="str">
        <f t="shared" si="302"/>
        <v>84250</v>
      </c>
      <c r="I4115" t="s">
        <v>4834</v>
      </c>
      <c r="J4115" t="s">
        <v>258</v>
      </c>
      <c r="K4115" t="s">
        <v>161</v>
      </c>
      <c r="L4115" t="s">
        <v>2069</v>
      </c>
    </row>
    <row r="4116" spans="1:12" x14ac:dyDescent="0.3">
      <c r="A4116" t="str">
        <f>"60383135"</f>
        <v>60383135</v>
      </c>
      <c r="B4116" t="s">
        <v>8046</v>
      </c>
      <c r="C4116" t="str">
        <f t="shared" si="300"/>
        <v>736</v>
      </c>
      <c r="D4116" t="s">
        <v>22</v>
      </c>
      <c r="E4116" t="s">
        <v>83</v>
      </c>
      <c r="F4116" t="s">
        <v>83</v>
      </c>
      <c r="G4116" t="s">
        <v>8047</v>
      </c>
      <c r="H4116" t="str">
        <f t="shared" si="302"/>
        <v>84250</v>
      </c>
      <c r="I4116" t="s">
        <v>4834</v>
      </c>
      <c r="J4116" t="s">
        <v>258</v>
      </c>
      <c r="K4116" t="s">
        <v>2069</v>
      </c>
      <c r="L4116" t="s">
        <v>161</v>
      </c>
    </row>
    <row r="4117" spans="1:12" x14ac:dyDescent="0.3">
      <c r="A4117" t="str">
        <f>"65325125"</f>
        <v>65325125</v>
      </c>
      <c r="B4117" t="s">
        <v>8048</v>
      </c>
      <c r="C4117" t="str">
        <f t="shared" si="300"/>
        <v>736</v>
      </c>
      <c r="D4117" t="s">
        <v>22</v>
      </c>
      <c r="E4117" t="s">
        <v>52</v>
      </c>
      <c r="F4117" t="s">
        <v>960</v>
      </c>
      <c r="G4117" t="s">
        <v>8049</v>
      </c>
      <c r="H4117" t="str">
        <f t="shared" si="302"/>
        <v>84250</v>
      </c>
      <c r="I4117" t="s">
        <v>4834</v>
      </c>
      <c r="J4117" t="s">
        <v>258</v>
      </c>
      <c r="K4117" t="s">
        <v>161</v>
      </c>
      <c r="L4117" t="s">
        <v>2069</v>
      </c>
    </row>
    <row r="4118" spans="1:12" x14ac:dyDescent="0.3">
      <c r="A4118" t="str">
        <f>"65792777"</f>
        <v>65792777</v>
      </c>
      <c r="B4118" t="s">
        <v>8050</v>
      </c>
      <c r="C4118" t="str">
        <f t="shared" si="300"/>
        <v>736</v>
      </c>
      <c r="D4118" t="s">
        <v>22</v>
      </c>
      <c r="E4118" t="s">
        <v>23</v>
      </c>
      <c r="F4118" t="s">
        <v>5383</v>
      </c>
      <c r="G4118" t="s">
        <v>8051</v>
      </c>
      <c r="H4118" t="str">
        <f t="shared" si="302"/>
        <v>84250</v>
      </c>
      <c r="I4118" t="s">
        <v>4834</v>
      </c>
      <c r="J4118" t="s">
        <v>258</v>
      </c>
      <c r="K4118" t="s">
        <v>161</v>
      </c>
      <c r="L4118" t="s">
        <v>2069</v>
      </c>
    </row>
    <row r="4119" spans="1:12" x14ac:dyDescent="0.3">
      <c r="A4119" t="str">
        <f>"65270151"</f>
        <v>65270151</v>
      </c>
      <c r="B4119" t="s">
        <v>8052</v>
      </c>
      <c r="C4119" t="str">
        <f t="shared" si="300"/>
        <v>736</v>
      </c>
      <c r="D4119" t="s">
        <v>22</v>
      </c>
      <c r="E4119" t="s">
        <v>83</v>
      </c>
      <c r="F4119" t="s">
        <v>1425</v>
      </c>
      <c r="G4119" t="s">
        <v>8053</v>
      </c>
      <c r="H4119" t="str">
        <f t="shared" si="302"/>
        <v>84250</v>
      </c>
      <c r="I4119" t="s">
        <v>4834</v>
      </c>
    </row>
    <row r="4120" spans="1:12" x14ac:dyDescent="0.3">
      <c r="A4120" t="str">
        <f>"75031833"</f>
        <v>75031833</v>
      </c>
      <c r="B4120" t="s">
        <v>8054</v>
      </c>
      <c r="C4120" t="str">
        <f t="shared" si="300"/>
        <v>736</v>
      </c>
      <c r="D4120" t="s">
        <v>22</v>
      </c>
      <c r="E4120" t="s">
        <v>23</v>
      </c>
      <c r="F4120" t="s">
        <v>957</v>
      </c>
      <c r="G4120" t="s">
        <v>5276</v>
      </c>
      <c r="H4120" t="str">
        <f t="shared" si="302"/>
        <v>84250</v>
      </c>
      <c r="I4120" t="s">
        <v>4834</v>
      </c>
    </row>
    <row r="4121" spans="1:12" x14ac:dyDescent="0.3">
      <c r="A4121" t="str">
        <f>"65792866"</f>
        <v>65792866</v>
      </c>
      <c r="B4121" t="s">
        <v>8055</v>
      </c>
      <c r="C4121" t="str">
        <f t="shared" si="300"/>
        <v>736</v>
      </c>
      <c r="D4121" t="s">
        <v>22</v>
      </c>
      <c r="E4121" t="s">
        <v>23</v>
      </c>
      <c r="F4121" t="s">
        <v>5469</v>
      </c>
      <c r="G4121" t="s">
        <v>8056</v>
      </c>
      <c r="H4121" t="str">
        <f t="shared" si="302"/>
        <v>84250</v>
      </c>
      <c r="I4121" t="s">
        <v>4834</v>
      </c>
    </row>
    <row r="4122" spans="1:12" x14ac:dyDescent="0.3">
      <c r="A4122" t="str">
        <f>"65325460"</f>
        <v>65325460</v>
      </c>
      <c r="B4122" t="s">
        <v>8057</v>
      </c>
      <c r="C4122" t="str">
        <f t="shared" si="300"/>
        <v>736</v>
      </c>
      <c r="D4122" t="s">
        <v>22</v>
      </c>
      <c r="E4122" t="s">
        <v>52</v>
      </c>
      <c r="F4122" t="s">
        <v>612</v>
      </c>
      <c r="G4122" t="s">
        <v>8058</v>
      </c>
      <c r="H4122" t="str">
        <f t="shared" si="302"/>
        <v>84250</v>
      </c>
      <c r="I4122" t="s">
        <v>4834</v>
      </c>
      <c r="J4122" t="s">
        <v>258</v>
      </c>
      <c r="K4122" t="s">
        <v>161</v>
      </c>
      <c r="L4122" t="s">
        <v>2069</v>
      </c>
    </row>
    <row r="4123" spans="1:12" x14ac:dyDescent="0.3">
      <c r="A4123" t="str">
        <f>"65324986"</f>
        <v>65324986</v>
      </c>
      <c r="B4123" t="s">
        <v>8059</v>
      </c>
      <c r="C4123" t="str">
        <f t="shared" si="300"/>
        <v>736</v>
      </c>
      <c r="D4123" t="s">
        <v>22</v>
      </c>
      <c r="E4123" t="s">
        <v>52</v>
      </c>
      <c r="F4123" t="s">
        <v>488</v>
      </c>
      <c r="G4123" t="s">
        <v>8060</v>
      </c>
      <c r="H4123" t="str">
        <f t="shared" si="302"/>
        <v>84250</v>
      </c>
      <c r="I4123" t="s">
        <v>4834</v>
      </c>
    </row>
    <row r="4124" spans="1:12" x14ac:dyDescent="0.3">
      <c r="A4124" t="str">
        <f>"65325257"</f>
        <v>65325257</v>
      </c>
      <c r="B4124" t="s">
        <v>8061</v>
      </c>
      <c r="C4124" t="str">
        <f t="shared" si="300"/>
        <v>736</v>
      </c>
      <c r="D4124" t="s">
        <v>22</v>
      </c>
      <c r="E4124" t="s">
        <v>52</v>
      </c>
      <c r="F4124" t="s">
        <v>781</v>
      </c>
      <c r="G4124" t="s">
        <v>8062</v>
      </c>
      <c r="H4124" t="str">
        <f t="shared" si="302"/>
        <v>84250</v>
      </c>
      <c r="I4124" t="s">
        <v>4834</v>
      </c>
    </row>
    <row r="4125" spans="1:12" x14ac:dyDescent="0.3">
      <c r="A4125" t="str">
        <f>"60383275"</f>
        <v>60383275</v>
      </c>
      <c r="B4125" t="s">
        <v>8063</v>
      </c>
      <c r="C4125" t="str">
        <f t="shared" si="300"/>
        <v>736</v>
      </c>
      <c r="D4125" t="s">
        <v>22</v>
      </c>
      <c r="E4125" t="s">
        <v>83</v>
      </c>
      <c r="F4125" t="s">
        <v>6225</v>
      </c>
      <c r="G4125" t="s">
        <v>8064</v>
      </c>
      <c r="H4125" t="str">
        <f t="shared" si="302"/>
        <v>84250</v>
      </c>
      <c r="I4125" t="s">
        <v>4834</v>
      </c>
      <c r="J4125" t="s">
        <v>161</v>
      </c>
      <c r="K4125" t="s">
        <v>2069</v>
      </c>
    </row>
    <row r="4126" spans="1:12" x14ac:dyDescent="0.3">
      <c r="A4126" t="str">
        <f>"65469208"</f>
        <v>65469208</v>
      </c>
      <c r="B4126" t="s">
        <v>8065</v>
      </c>
      <c r="C4126" t="str">
        <f t="shared" si="300"/>
        <v>736</v>
      </c>
      <c r="D4126" t="s">
        <v>22</v>
      </c>
      <c r="E4126" t="s">
        <v>29</v>
      </c>
      <c r="F4126" t="s">
        <v>5168</v>
      </c>
      <c r="G4126" t="s">
        <v>5169</v>
      </c>
      <c r="H4126" t="str">
        <f t="shared" si="302"/>
        <v>84250</v>
      </c>
      <c r="I4126" t="s">
        <v>4834</v>
      </c>
      <c r="J4126" t="s">
        <v>258</v>
      </c>
      <c r="K4126" t="s">
        <v>161</v>
      </c>
      <c r="L4126" t="s">
        <v>2069</v>
      </c>
    </row>
    <row r="4127" spans="1:12" x14ac:dyDescent="0.3">
      <c r="A4127" t="str">
        <f>"68729375"</f>
        <v>68729375</v>
      </c>
      <c r="B4127" t="s">
        <v>8066</v>
      </c>
      <c r="C4127" t="str">
        <f t="shared" si="300"/>
        <v>736</v>
      </c>
      <c r="D4127" t="s">
        <v>22</v>
      </c>
      <c r="E4127" t="s">
        <v>23</v>
      </c>
      <c r="F4127" t="s">
        <v>3449</v>
      </c>
      <c r="G4127" t="s">
        <v>8067</v>
      </c>
      <c r="H4127" t="str">
        <f t="shared" si="302"/>
        <v>84250</v>
      </c>
      <c r="I4127" t="s">
        <v>4834</v>
      </c>
      <c r="J4127" t="s">
        <v>258</v>
      </c>
      <c r="K4127" t="s">
        <v>161</v>
      </c>
      <c r="L4127" t="s">
        <v>2069</v>
      </c>
    </row>
    <row r="4128" spans="1:12" x14ac:dyDescent="0.3">
      <c r="A4128" t="str">
        <f>"65822307"</f>
        <v>65822307</v>
      </c>
      <c r="B4128" t="s">
        <v>8068</v>
      </c>
      <c r="C4128" t="str">
        <f t="shared" si="300"/>
        <v>736</v>
      </c>
      <c r="D4128" t="s">
        <v>22</v>
      </c>
      <c r="E4128" t="s">
        <v>23</v>
      </c>
      <c r="F4128" t="s">
        <v>975</v>
      </c>
      <c r="G4128" t="s">
        <v>8007</v>
      </c>
      <c r="H4128" t="str">
        <f t="shared" si="302"/>
        <v>84250</v>
      </c>
      <c r="I4128" t="s">
        <v>4834</v>
      </c>
    </row>
    <row r="4129" spans="1:12" x14ac:dyDescent="0.3">
      <c r="A4129" t="str">
        <f>"60383976"</f>
        <v>60383976</v>
      </c>
      <c r="B4129" t="s">
        <v>8069</v>
      </c>
      <c r="C4129" t="str">
        <f t="shared" si="300"/>
        <v>736</v>
      </c>
      <c r="D4129" t="s">
        <v>22</v>
      </c>
      <c r="E4129" t="s">
        <v>83</v>
      </c>
      <c r="F4129" t="s">
        <v>1000</v>
      </c>
      <c r="G4129" t="s">
        <v>8070</v>
      </c>
      <c r="H4129" t="str">
        <f t="shared" si="302"/>
        <v>84250</v>
      </c>
      <c r="I4129" t="s">
        <v>4834</v>
      </c>
      <c r="J4129" t="s">
        <v>258</v>
      </c>
      <c r="K4129" t="s">
        <v>2069</v>
      </c>
      <c r="L4129" t="s">
        <v>161</v>
      </c>
    </row>
    <row r="4130" spans="1:12" x14ac:dyDescent="0.3">
      <c r="A4130" t="str">
        <f>"63459574"</f>
        <v>63459574</v>
      </c>
      <c r="B4130" t="s">
        <v>8071</v>
      </c>
      <c r="C4130" t="str">
        <f t="shared" si="300"/>
        <v>736</v>
      </c>
      <c r="D4130" t="s">
        <v>22</v>
      </c>
      <c r="E4130" t="s">
        <v>83</v>
      </c>
      <c r="F4130" t="s">
        <v>881</v>
      </c>
      <c r="G4130" t="s">
        <v>8072</v>
      </c>
      <c r="H4130" t="str">
        <f t="shared" si="302"/>
        <v>84250</v>
      </c>
      <c r="I4130" t="s">
        <v>4834</v>
      </c>
      <c r="J4130" t="s">
        <v>258</v>
      </c>
      <c r="K4130" t="s">
        <v>161</v>
      </c>
      <c r="L4130" t="s">
        <v>2069</v>
      </c>
    </row>
    <row r="4131" spans="1:12" x14ac:dyDescent="0.3">
      <c r="A4131" t="str">
        <f>"68729383"</f>
        <v>68729383</v>
      </c>
      <c r="B4131" t="s">
        <v>8073</v>
      </c>
      <c r="C4131" t="str">
        <f t="shared" si="300"/>
        <v>736</v>
      </c>
      <c r="D4131" t="s">
        <v>22</v>
      </c>
      <c r="E4131" t="s">
        <v>23</v>
      </c>
      <c r="F4131" t="s">
        <v>3332</v>
      </c>
      <c r="G4131" t="s">
        <v>8074</v>
      </c>
      <c r="H4131" t="str">
        <f t="shared" si="302"/>
        <v>84250</v>
      </c>
      <c r="I4131" t="s">
        <v>4834</v>
      </c>
      <c r="J4131" t="s">
        <v>258</v>
      </c>
      <c r="K4131" t="s">
        <v>161</v>
      </c>
      <c r="L4131" t="s">
        <v>2069</v>
      </c>
    </row>
    <row r="4132" spans="1:12" x14ac:dyDescent="0.3">
      <c r="A4132" t="str">
        <f>"65325052"</f>
        <v>65325052</v>
      </c>
      <c r="B4132" t="s">
        <v>8075</v>
      </c>
      <c r="C4132" t="str">
        <f t="shared" si="300"/>
        <v>736</v>
      </c>
      <c r="D4132" t="s">
        <v>22</v>
      </c>
      <c r="E4132" t="s">
        <v>52</v>
      </c>
      <c r="F4132" t="s">
        <v>631</v>
      </c>
      <c r="G4132" t="s">
        <v>8076</v>
      </c>
      <c r="H4132" t="str">
        <f t="shared" si="302"/>
        <v>84250</v>
      </c>
      <c r="I4132" t="s">
        <v>4834</v>
      </c>
    </row>
    <row r="4133" spans="1:12" x14ac:dyDescent="0.3">
      <c r="A4133" t="str">
        <f>"65324951"</f>
        <v>65324951</v>
      </c>
      <c r="B4133" t="s">
        <v>8077</v>
      </c>
      <c r="C4133" t="str">
        <f t="shared" si="300"/>
        <v>736</v>
      </c>
      <c r="D4133" t="s">
        <v>22</v>
      </c>
      <c r="E4133" t="s">
        <v>52</v>
      </c>
      <c r="F4133" t="s">
        <v>1773</v>
      </c>
      <c r="G4133" t="s">
        <v>8078</v>
      </c>
      <c r="H4133" t="str">
        <f t="shared" si="302"/>
        <v>84250</v>
      </c>
      <c r="I4133" t="s">
        <v>4834</v>
      </c>
    </row>
    <row r="4134" spans="1:12" x14ac:dyDescent="0.3">
      <c r="A4134" t="str">
        <f>"65793048"</f>
        <v>65793048</v>
      </c>
      <c r="B4134" t="s">
        <v>8077</v>
      </c>
      <c r="C4134" t="str">
        <f t="shared" si="300"/>
        <v>736</v>
      </c>
      <c r="D4134" t="s">
        <v>22</v>
      </c>
      <c r="E4134" t="s">
        <v>23</v>
      </c>
      <c r="F4134" t="s">
        <v>1773</v>
      </c>
      <c r="G4134" t="s">
        <v>8000</v>
      </c>
      <c r="H4134" t="str">
        <f t="shared" si="302"/>
        <v>84250</v>
      </c>
      <c r="I4134" t="s">
        <v>4834</v>
      </c>
      <c r="J4134" t="s">
        <v>161</v>
      </c>
      <c r="K4134" t="s">
        <v>2069</v>
      </c>
      <c r="L4134" t="s">
        <v>59</v>
      </c>
    </row>
    <row r="4135" spans="1:12" x14ac:dyDescent="0.3">
      <c r="A4135" t="str">
        <f>"65792793"</f>
        <v>65792793</v>
      </c>
      <c r="B4135" t="s">
        <v>8079</v>
      </c>
      <c r="C4135" t="str">
        <f t="shared" si="300"/>
        <v>736</v>
      </c>
      <c r="D4135" t="s">
        <v>22</v>
      </c>
      <c r="E4135" t="s">
        <v>23</v>
      </c>
      <c r="F4135" t="s">
        <v>713</v>
      </c>
      <c r="G4135" t="s">
        <v>1009</v>
      </c>
      <c r="H4135" t="str">
        <f t="shared" si="302"/>
        <v>84250</v>
      </c>
      <c r="I4135" t="s">
        <v>4834</v>
      </c>
    </row>
    <row r="4136" spans="1:12" x14ac:dyDescent="0.3">
      <c r="A4136" t="str">
        <f>"65324889"</f>
        <v>65324889</v>
      </c>
      <c r="B4136" t="s">
        <v>8080</v>
      </c>
      <c r="C4136" t="str">
        <f t="shared" si="300"/>
        <v>736</v>
      </c>
      <c r="D4136" t="s">
        <v>22</v>
      </c>
      <c r="E4136" t="s">
        <v>52</v>
      </c>
      <c r="F4136" t="s">
        <v>344</v>
      </c>
      <c r="G4136" t="s">
        <v>8081</v>
      </c>
      <c r="H4136" t="str">
        <f t="shared" si="302"/>
        <v>84250</v>
      </c>
      <c r="I4136" t="s">
        <v>4834</v>
      </c>
    </row>
    <row r="4137" spans="1:12" x14ac:dyDescent="0.3">
      <c r="A4137" t="str">
        <f>"65792955"</f>
        <v>65792955</v>
      </c>
      <c r="B4137" t="s">
        <v>8082</v>
      </c>
      <c r="C4137" t="str">
        <f t="shared" si="300"/>
        <v>736</v>
      </c>
      <c r="D4137" t="s">
        <v>22</v>
      </c>
      <c r="E4137" t="s">
        <v>23</v>
      </c>
      <c r="F4137" t="s">
        <v>975</v>
      </c>
      <c r="G4137" t="s">
        <v>8083</v>
      </c>
      <c r="H4137" t="str">
        <f t="shared" si="302"/>
        <v>84250</v>
      </c>
      <c r="I4137" t="s">
        <v>4834</v>
      </c>
    </row>
    <row r="4138" spans="1:12" x14ac:dyDescent="0.3">
      <c r="A4138" t="str">
        <f>"60383992"</f>
        <v>60383992</v>
      </c>
      <c r="B4138" t="s">
        <v>8084</v>
      </c>
      <c r="C4138" t="str">
        <f t="shared" si="300"/>
        <v>736</v>
      </c>
      <c r="D4138" t="s">
        <v>22</v>
      </c>
      <c r="E4138" t="s">
        <v>83</v>
      </c>
      <c r="F4138" t="s">
        <v>175</v>
      </c>
      <c r="G4138" t="s">
        <v>8085</v>
      </c>
      <c r="H4138" t="str">
        <f t="shared" si="302"/>
        <v>84250</v>
      </c>
      <c r="I4138" t="s">
        <v>4834</v>
      </c>
      <c r="J4138" t="s">
        <v>258</v>
      </c>
      <c r="K4138" t="s">
        <v>161</v>
      </c>
      <c r="L4138" t="s">
        <v>2069</v>
      </c>
    </row>
    <row r="4139" spans="1:12" x14ac:dyDescent="0.3">
      <c r="A4139" t="str">
        <f>"65325176"</f>
        <v>65325176</v>
      </c>
      <c r="B4139" t="s">
        <v>8086</v>
      </c>
      <c r="C4139" t="str">
        <f t="shared" si="300"/>
        <v>736</v>
      </c>
      <c r="D4139" t="s">
        <v>22</v>
      </c>
      <c r="E4139" t="s">
        <v>52</v>
      </c>
      <c r="F4139" t="s">
        <v>1078</v>
      </c>
      <c r="G4139" t="s">
        <v>1781</v>
      </c>
      <c r="H4139" t="str">
        <f t="shared" si="302"/>
        <v>84250</v>
      </c>
      <c r="I4139" t="s">
        <v>4834</v>
      </c>
    </row>
    <row r="4140" spans="1:12" x14ac:dyDescent="0.3">
      <c r="A4140" t="str">
        <f>"63701952"</f>
        <v>63701952</v>
      </c>
      <c r="B4140" t="s">
        <v>8087</v>
      </c>
      <c r="C4140" t="str">
        <f t="shared" si="300"/>
        <v>736</v>
      </c>
      <c r="D4140" t="s">
        <v>22</v>
      </c>
      <c r="E4140" t="s">
        <v>29</v>
      </c>
      <c r="F4140" t="s">
        <v>1221</v>
      </c>
      <c r="G4140" t="s">
        <v>5077</v>
      </c>
      <c r="H4140" t="str">
        <f t="shared" si="302"/>
        <v>84250</v>
      </c>
      <c r="I4140" t="s">
        <v>4834</v>
      </c>
    </row>
    <row r="4141" spans="1:12" x14ac:dyDescent="0.3">
      <c r="A4141" t="str">
        <f>"65325443"</f>
        <v>65325443</v>
      </c>
      <c r="B4141" t="s">
        <v>8088</v>
      </c>
      <c r="C4141" t="str">
        <f t="shared" si="300"/>
        <v>736</v>
      </c>
      <c r="D4141" t="s">
        <v>22</v>
      </c>
      <c r="E4141" t="s">
        <v>52</v>
      </c>
      <c r="F4141" t="s">
        <v>612</v>
      </c>
      <c r="G4141" t="s">
        <v>8089</v>
      </c>
      <c r="H4141" t="str">
        <f t="shared" si="302"/>
        <v>84250</v>
      </c>
      <c r="I4141" t="s">
        <v>4834</v>
      </c>
    </row>
    <row r="4142" spans="1:12" x14ac:dyDescent="0.3">
      <c r="A4142" t="str">
        <f>"63414449"</f>
        <v>63414449</v>
      </c>
      <c r="B4142" t="s">
        <v>8090</v>
      </c>
      <c r="C4142" t="str">
        <f t="shared" ref="C4142:C4205" si="303">"736"</f>
        <v>736</v>
      </c>
      <c r="D4142" t="s">
        <v>22</v>
      </c>
      <c r="E4142" t="s">
        <v>83</v>
      </c>
      <c r="F4142" t="s">
        <v>4562</v>
      </c>
      <c r="G4142" t="s">
        <v>8091</v>
      </c>
      <c r="H4142" t="str">
        <f t="shared" si="302"/>
        <v>84250</v>
      </c>
      <c r="I4142" t="s">
        <v>4834</v>
      </c>
      <c r="J4142" t="s">
        <v>258</v>
      </c>
      <c r="K4142" t="s">
        <v>2069</v>
      </c>
      <c r="L4142" t="s">
        <v>161</v>
      </c>
    </row>
    <row r="4143" spans="1:12" x14ac:dyDescent="0.3">
      <c r="A4143" t="str">
        <f>"63414147"</f>
        <v>63414147</v>
      </c>
      <c r="B4143" t="s">
        <v>8092</v>
      </c>
      <c r="C4143" t="str">
        <f t="shared" si="303"/>
        <v>736</v>
      </c>
      <c r="D4143" t="s">
        <v>22</v>
      </c>
      <c r="E4143" t="s">
        <v>83</v>
      </c>
      <c r="F4143" t="s">
        <v>5472</v>
      </c>
      <c r="G4143" t="s">
        <v>8093</v>
      </c>
      <c r="H4143" t="str">
        <f t="shared" si="302"/>
        <v>84250</v>
      </c>
      <c r="I4143" t="s">
        <v>4834</v>
      </c>
      <c r="J4143" t="s">
        <v>258</v>
      </c>
      <c r="K4143" t="s">
        <v>161</v>
      </c>
      <c r="L4143" t="s">
        <v>2069</v>
      </c>
    </row>
    <row r="4144" spans="1:12" x14ac:dyDescent="0.3">
      <c r="A4144" t="str">
        <f>"65469259"</f>
        <v>65469259</v>
      </c>
      <c r="B4144" t="s">
        <v>8094</v>
      </c>
      <c r="C4144" t="str">
        <f t="shared" si="303"/>
        <v>736</v>
      </c>
      <c r="D4144" t="s">
        <v>22</v>
      </c>
      <c r="E4144" t="s">
        <v>29</v>
      </c>
      <c r="F4144" t="s">
        <v>1473</v>
      </c>
      <c r="G4144" t="s">
        <v>8095</v>
      </c>
      <c r="H4144" t="str">
        <f t="shared" si="302"/>
        <v>84250</v>
      </c>
      <c r="I4144" t="s">
        <v>4834</v>
      </c>
      <c r="J4144" t="s">
        <v>258</v>
      </c>
      <c r="K4144" t="s">
        <v>161</v>
      </c>
      <c r="L4144" t="s">
        <v>2069</v>
      </c>
    </row>
    <row r="4145" spans="1:12" x14ac:dyDescent="0.3">
      <c r="A4145" t="str">
        <f>"68729481"</f>
        <v>68729481</v>
      </c>
      <c r="B4145" t="s">
        <v>8096</v>
      </c>
      <c r="C4145" t="str">
        <f t="shared" si="303"/>
        <v>736</v>
      </c>
      <c r="D4145" t="s">
        <v>22</v>
      </c>
      <c r="E4145" t="s">
        <v>23</v>
      </c>
      <c r="F4145" t="s">
        <v>68</v>
      </c>
      <c r="G4145" t="s">
        <v>8097</v>
      </c>
      <c r="H4145" t="str">
        <f t="shared" si="302"/>
        <v>84250</v>
      </c>
      <c r="I4145" t="s">
        <v>4834</v>
      </c>
      <c r="J4145" t="s">
        <v>258</v>
      </c>
      <c r="K4145" t="s">
        <v>161</v>
      </c>
      <c r="L4145" t="s">
        <v>2069</v>
      </c>
    </row>
    <row r="4146" spans="1:12" x14ac:dyDescent="0.3">
      <c r="A4146" t="str">
        <f>"63459531"</f>
        <v>63459531</v>
      </c>
      <c r="B4146" t="s">
        <v>8098</v>
      </c>
      <c r="C4146" t="str">
        <f t="shared" si="303"/>
        <v>736</v>
      </c>
      <c r="D4146" t="s">
        <v>22</v>
      </c>
      <c r="E4146" t="s">
        <v>83</v>
      </c>
      <c r="F4146" t="s">
        <v>480</v>
      </c>
      <c r="G4146" t="s">
        <v>8099</v>
      </c>
      <c r="H4146" t="str">
        <f t="shared" si="302"/>
        <v>84250</v>
      </c>
      <c r="I4146" t="s">
        <v>4834</v>
      </c>
    </row>
    <row r="4147" spans="1:12" x14ac:dyDescent="0.3">
      <c r="A4147" t="str">
        <f>"65270266"</f>
        <v>65270266</v>
      </c>
      <c r="B4147" t="s">
        <v>8100</v>
      </c>
      <c r="C4147" t="str">
        <f t="shared" si="303"/>
        <v>736</v>
      </c>
      <c r="D4147" t="s">
        <v>22</v>
      </c>
      <c r="E4147" t="s">
        <v>83</v>
      </c>
      <c r="F4147" t="s">
        <v>520</v>
      </c>
      <c r="G4147" t="s">
        <v>1786</v>
      </c>
      <c r="H4147" t="str">
        <f t="shared" si="302"/>
        <v>84250</v>
      </c>
      <c r="I4147" t="s">
        <v>4834</v>
      </c>
      <c r="J4147" t="s">
        <v>258</v>
      </c>
      <c r="K4147" t="s">
        <v>161</v>
      </c>
      <c r="L4147" t="s">
        <v>2069</v>
      </c>
    </row>
    <row r="4148" spans="1:12" x14ac:dyDescent="0.3">
      <c r="A4148" t="str">
        <f>"72055511"</f>
        <v>72055511</v>
      </c>
      <c r="B4148" t="s">
        <v>8101</v>
      </c>
      <c r="C4148" t="str">
        <f t="shared" si="303"/>
        <v>736</v>
      </c>
      <c r="D4148" t="s">
        <v>22</v>
      </c>
      <c r="E4148" t="s">
        <v>83</v>
      </c>
      <c r="F4148" t="s">
        <v>5317</v>
      </c>
      <c r="G4148" t="s">
        <v>8102</v>
      </c>
      <c r="H4148" t="str">
        <f t="shared" si="302"/>
        <v>84250</v>
      </c>
      <c r="I4148" t="s">
        <v>4834</v>
      </c>
      <c r="J4148" t="s">
        <v>258</v>
      </c>
      <c r="K4148" t="s">
        <v>161</v>
      </c>
      <c r="L4148" t="s">
        <v>2069</v>
      </c>
    </row>
    <row r="4149" spans="1:12" x14ac:dyDescent="0.3">
      <c r="A4149" t="str">
        <f>"63414490"</f>
        <v>63414490</v>
      </c>
      <c r="B4149" t="s">
        <v>8103</v>
      </c>
      <c r="C4149" t="str">
        <f t="shared" si="303"/>
        <v>736</v>
      </c>
      <c r="D4149" t="s">
        <v>22</v>
      </c>
      <c r="E4149" t="s">
        <v>83</v>
      </c>
      <c r="F4149" t="s">
        <v>944</v>
      </c>
      <c r="G4149" t="s">
        <v>8104</v>
      </c>
      <c r="H4149" t="str">
        <f t="shared" si="302"/>
        <v>84250</v>
      </c>
      <c r="I4149" t="s">
        <v>4834</v>
      </c>
    </row>
    <row r="4150" spans="1:12" x14ac:dyDescent="0.3">
      <c r="A4150" t="str">
        <f>"65325117"</f>
        <v>65325117</v>
      </c>
      <c r="B4150" t="s">
        <v>8105</v>
      </c>
      <c r="C4150" t="str">
        <f t="shared" si="303"/>
        <v>736</v>
      </c>
      <c r="D4150" t="s">
        <v>22</v>
      </c>
      <c r="E4150" t="s">
        <v>52</v>
      </c>
      <c r="F4150" t="s">
        <v>1440</v>
      </c>
      <c r="G4150" t="s">
        <v>1441</v>
      </c>
      <c r="H4150" t="str">
        <f t="shared" si="302"/>
        <v>84250</v>
      </c>
      <c r="I4150" t="s">
        <v>4834</v>
      </c>
      <c r="J4150" t="s">
        <v>258</v>
      </c>
      <c r="K4150" t="s">
        <v>161</v>
      </c>
      <c r="L4150" t="s">
        <v>2069</v>
      </c>
    </row>
    <row r="4151" spans="1:12" x14ac:dyDescent="0.3">
      <c r="A4151" t="str">
        <f>"65792432"</f>
        <v>65792432</v>
      </c>
      <c r="B4151" t="s">
        <v>8106</v>
      </c>
      <c r="C4151" t="str">
        <f t="shared" si="303"/>
        <v>736</v>
      </c>
      <c r="D4151" t="s">
        <v>22</v>
      </c>
      <c r="E4151" t="s">
        <v>23</v>
      </c>
      <c r="F4151" t="s">
        <v>350</v>
      </c>
      <c r="G4151" t="s">
        <v>8107</v>
      </c>
      <c r="H4151" t="str">
        <f t="shared" si="302"/>
        <v>84250</v>
      </c>
      <c r="I4151" t="s">
        <v>4834</v>
      </c>
    </row>
    <row r="4152" spans="1:12" x14ac:dyDescent="0.3">
      <c r="A4152" t="str">
        <f>"65270258"</f>
        <v>65270258</v>
      </c>
      <c r="B4152" t="s">
        <v>8108</v>
      </c>
      <c r="C4152" t="str">
        <f t="shared" si="303"/>
        <v>736</v>
      </c>
      <c r="D4152" t="s">
        <v>22</v>
      </c>
      <c r="E4152" t="s">
        <v>83</v>
      </c>
      <c r="F4152" t="s">
        <v>944</v>
      </c>
      <c r="G4152" t="s">
        <v>8109</v>
      </c>
      <c r="H4152" t="str">
        <f t="shared" si="302"/>
        <v>84250</v>
      </c>
      <c r="I4152" t="s">
        <v>4834</v>
      </c>
    </row>
    <row r="4153" spans="1:12" x14ac:dyDescent="0.3">
      <c r="A4153" t="str">
        <f>"68729405"</f>
        <v>68729405</v>
      </c>
      <c r="B4153" t="s">
        <v>8110</v>
      </c>
      <c r="C4153" t="str">
        <f t="shared" si="303"/>
        <v>736</v>
      </c>
      <c r="D4153" t="s">
        <v>22</v>
      </c>
      <c r="E4153" t="s">
        <v>23</v>
      </c>
      <c r="F4153" t="s">
        <v>8111</v>
      </c>
      <c r="G4153" t="s">
        <v>8112</v>
      </c>
      <c r="H4153" t="str">
        <f t="shared" si="302"/>
        <v>84250</v>
      </c>
      <c r="I4153" t="s">
        <v>4834</v>
      </c>
    </row>
    <row r="4154" spans="1:12" x14ac:dyDescent="0.3">
      <c r="A4154" t="str">
        <f>"65270339"</f>
        <v>65270339</v>
      </c>
      <c r="B4154" t="s">
        <v>8113</v>
      </c>
      <c r="C4154" t="str">
        <f t="shared" si="303"/>
        <v>736</v>
      </c>
      <c r="D4154" t="s">
        <v>22</v>
      </c>
      <c r="E4154" t="s">
        <v>83</v>
      </c>
      <c r="F4154" t="s">
        <v>183</v>
      </c>
      <c r="G4154" t="s">
        <v>8114</v>
      </c>
      <c r="H4154" t="str">
        <f t="shared" si="302"/>
        <v>84250</v>
      </c>
      <c r="I4154" t="s">
        <v>4834</v>
      </c>
      <c r="J4154" t="s">
        <v>258</v>
      </c>
      <c r="K4154" t="s">
        <v>161</v>
      </c>
      <c r="L4154" t="s">
        <v>2069</v>
      </c>
    </row>
    <row r="4155" spans="1:12" x14ac:dyDescent="0.3">
      <c r="A4155" t="str">
        <f>"63701642"</f>
        <v>63701642</v>
      </c>
      <c r="B4155" t="s">
        <v>8115</v>
      </c>
      <c r="C4155" t="str">
        <f t="shared" si="303"/>
        <v>736</v>
      </c>
      <c r="D4155" t="s">
        <v>22</v>
      </c>
      <c r="E4155" t="s">
        <v>29</v>
      </c>
      <c r="F4155" t="s">
        <v>670</v>
      </c>
      <c r="G4155" t="s">
        <v>2577</v>
      </c>
      <c r="H4155" t="str">
        <f t="shared" si="302"/>
        <v>84250</v>
      </c>
      <c r="I4155" t="s">
        <v>4834</v>
      </c>
      <c r="J4155" t="s">
        <v>258</v>
      </c>
      <c r="K4155" t="s">
        <v>161</v>
      </c>
      <c r="L4155" t="s">
        <v>2069</v>
      </c>
    </row>
    <row r="4156" spans="1:12" x14ac:dyDescent="0.3">
      <c r="A4156" t="str">
        <f>"64439186"</f>
        <v>64439186</v>
      </c>
      <c r="B4156" t="s">
        <v>8116</v>
      </c>
      <c r="C4156" t="str">
        <f t="shared" si="303"/>
        <v>736</v>
      </c>
      <c r="D4156" t="s">
        <v>22</v>
      </c>
      <c r="E4156" t="s">
        <v>23</v>
      </c>
      <c r="F4156" t="s">
        <v>1885</v>
      </c>
      <c r="G4156" t="s">
        <v>1886</v>
      </c>
      <c r="H4156" t="str">
        <f t="shared" si="302"/>
        <v>84250</v>
      </c>
      <c r="I4156" t="s">
        <v>4834</v>
      </c>
      <c r="J4156" t="s">
        <v>258</v>
      </c>
      <c r="K4156" t="s">
        <v>161</v>
      </c>
      <c r="L4156" t="s">
        <v>2069</v>
      </c>
    </row>
    <row r="4157" spans="1:12" x14ac:dyDescent="0.3">
      <c r="A4157" t="str">
        <f>"65325281"</f>
        <v>65325281</v>
      </c>
      <c r="B4157" t="s">
        <v>8117</v>
      </c>
      <c r="C4157" t="str">
        <f t="shared" si="303"/>
        <v>736</v>
      </c>
      <c r="D4157" t="s">
        <v>22</v>
      </c>
      <c r="E4157" t="s">
        <v>52</v>
      </c>
      <c r="F4157" t="s">
        <v>1788</v>
      </c>
      <c r="G4157" t="s">
        <v>8118</v>
      </c>
      <c r="H4157" t="str">
        <f t="shared" si="302"/>
        <v>84250</v>
      </c>
      <c r="I4157" t="s">
        <v>4834</v>
      </c>
      <c r="J4157" t="s">
        <v>258</v>
      </c>
    </row>
    <row r="4158" spans="1:12" x14ac:dyDescent="0.3">
      <c r="A4158" t="str">
        <f>"68729421"</f>
        <v>68729421</v>
      </c>
      <c r="B4158" t="s">
        <v>8119</v>
      </c>
      <c r="C4158" t="str">
        <f t="shared" si="303"/>
        <v>736</v>
      </c>
      <c r="D4158" t="s">
        <v>22</v>
      </c>
      <c r="E4158" t="s">
        <v>23</v>
      </c>
      <c r="F4158" t="s">
        <v>1631</v>
      </c>
      <c r="G4158" t="s">
        <v>2579</v>
      </c>
      <c r="H4158" t="str">
        <f t="shared" si="302"/>
        <v>84250</v>
      </c>
      <c r="I4158" t="s">
        <v>4834</v>
      </c>
    </row>
    <row r="4159" spans="1:12" x14ac:dyDescent="0.3">
      <c r="A4159" t="str">
        <f>"65792998"</f>
        <v>65792998</v>
      </c>
      <c r="B4159" t="s">
        <v>8120</v>
      </c>
      <c r="C4159" t="str">
        <f t="shared" si="303"/>
        <v>736</v>
      </c>
      <c r="D4159" t="s">
        <v>22</v>
      </c>
      <c r="E4159" t="s">
        <v>23</v>
      </c>
      <c r="F4159" t="s">
        <v>5336</v>
      </c>
      <c r="G4159" t="s">
        <v>8121</v>
      </c>
      <c r="H4159" t="str">
        <f t="shared" si="302"/>
        <v>84250</v>
      </c>
      <c r="I4159" t="s">
        <v>4834</v>
      </c>
    </row>
    <row r="4160" spans="1:12" x14ac:dyDescent="0.3">
      <c r="A4160" t="str">
        <f>"65325320"</f>
        <v>65325320</v>
      </c>
      <c r="B4160" t="s">
        <v>8122</v>
      </c>
      <c r="C4160" t="str">
        <f t="shared" si="303"/>
        <v>736</v>
      </c>
      <c r="D4160" t="s">
        <v>22</v>
      </c>
      <c r="E4160" t="s">
        <v>52</v>
      </c>
      <c r="F4160" t="s">
        <v>1973</v>
      </c>
      <c r="G4160" t="s">
        <v>1974</v>
      </c>
      <c r="H4160" t="str">
        <f t="shared" si="302"/>
        <v>84250</v>
      </c>
      <c r="I4160" t="s">
        <v>4834</v>
      </c>
    </row>
    <row r="4161" spans="1:12" x14ac:dyDescent="0.3">
      <c r="A4161" t="str">
        <f>"66599091"</f>
        <v>66599091</v>
      </c>
      <c r="B4161" t="s">
        <v>8123</v>
      </c>
      <c r="C4161" t="str">
        <f t="shared" si="303"/>
        <v>736</v>
      </c>
      <c r="D4161" t="s">
        <v>22</v>
      </c>
      <c r="E4161" t="s">
        <v>23</v>
      </c>
      <c r="F4161" t="s">
        <v>282</v>
      </c>
      <c r="G4161" t="s">
        <v>8035</v>
      </c>
      <c r="H4161" t="str">
        <f t="shared" si="302"/>
        <v>84250</v>
      </c>
      <c r="I4161" t="s">
        <v>4834</v>
      </c>
    </row>
    <row r="4162" spans="1:12" x14ac:dyDescent="0.3">
      <c r="A4162" t="str">
        <f>"63701464"</f>
        <v>63701464</v>
      </c>
      <c r="B4162" t="s">
        <v>8124</v>
      </c>
      <c r="C4162" t="str">
        <f t="shared" si="303"/>
        <v>736</v>
      </c>
      <c r="D4162" t="s">
        <v>22</v>
      </c>
      <c r="E4162" t="s">
        <v>29</v>
      </c>
      <c r="F4162" t="s">
        <v>29</v>
      </c>
      <c r="G4162" t="s">
        <v>8125</v>
      </c>
      <c r="H4162" t="str">
        <f t="shared" si="302"/>
        <v>84250</v>
      </c>
      <c r="I4162" t="s">
        <v>4834</v>
      </c>
      <c r="J4162" t="s">
        <v>258</v>
      </c>
      <c r="K4162" t="s">
        <v>161</v>
      </c>
      <c r="L4162" t="s">
        <v>2069</v>
      </c>
    </row>
    <row r="4163" spans="1:12" x14ac:dyDescent="0.3">
      <c r="A4163" t="str">
        <f>"63701855"</f>
        <v>63701855</v>
      </c>
      <c r="B4163" t="s">
        <v>8126</v>
      </c>
      <c r="C4163" t="str">
        <f t="shared" si="303"/>
        <v>736</v>
      </c>
      <c r="D4163" t="s">
        <v>22</v>
      </c>
      <c r="E4163" t="s">
        <v>29</v>
      </c>
      <c r="F4163" t="s">
        <v>503</v>
      </c>
      <c r="G4163" t="s">
        <v>8127</v>
      </c>
      <c r="H4163" t="str">
        <f t="shared" si="302"/>
        <v>84250</v>
      </c>
      <c r="I4163" t="s">
        <v>4834</v>
      </c>
      <c r="J4163" t="s">
        <v>258</v>
      </c>
      <c r="K4163" t="s">
        <v>2069</v>
      </c>
      <c r="L4163" t="s">
        <v>161</v>
      </c>
    </row>
    <row r="4164" spans="1:12" x14ac:dyDescent="0.3">
      <c r="A4164" t="str">
        <f>"68729430"</f>
        <v>68729430</v>
      </c>
      <c r="B4164" t="s">
        <v>8128</v>
      </c>
      <c r="C4164" t="str">
        <f t="shared" si="303"/>
        <v>736</v>
      </c>
      <c r="D4164" t="s">
        <v>22</v>
      </c>
      <c r="E4164" t="s">
        <v>23</v>
      </c>
      <c r="F4164" t="s">
        <v>245</v>
      </c>
      <c r="G4164" t="s">
        <v>8129</v>
      </c>
      <c r="H4164" t="str">
        <f t="shared" si="302"/>
        <v>84250</v>
      </c>
      <c r="I4164" t="s">
        <v>4834</v>
      </c>
      <c r="J4164" t="s">
        <v>258</v>
      </c>
      <c r="K4164" t="s">
        <v>161</v>
      </c>
      <c r="L4164" t="s">
        <v>2069</v>
      </c>
    </row>
    <row r="4165" spans="1:12" x14ac:dyDescent="0.3">
      <c r="A4165" t="str">
        <f>"63701774"</f>
        <v>63701774</v>
      </c>
      <c r="B4165" t="s">
        <v>8130</v>
      </c>
      <c r="C4165" t="str">
        <f t="shared" si="303"/>
        <v>736</v>
      </c>
      <c r="D4165" t="s">
        <v>22</v>
      </c>
      <c r="E4165" t="s">
        <v>29</v>
      </c>
      <c r="F4165" t="s">
        <v>1796</v>
      </c>
      <c r="G4165" t="s">
        <v>8131</v>
      </c>
      <c r="H4165" t="str">
        <f t="shared" si="302"/>
        <v>84250</v>
      </c>
      <c r="I4165" t="s">
        <v>4834</v>
      </c>
    </row>
    <row r="4166" spans="1:12" x14ac:dyDescent="0.3">
      <c r="A4166" t="str">
        <f>"68729448"</f>
        <v>68729448</v>
      </c>
      <c r="B4166" t="s">
        <v>8132</v>
      </c>
      <c r="C4166" t="str">
        <f t="shared" si="303"/>
        <v>736</v>
      </c>
      <c r="D4166" t="s">
        <v>22</v>
      </c>
      <c r="E4166" t="s">
        <v>23</v>
      </c>
      <c r="F4166" t="s">
        <v>1418</v>
      </c>
      <c r="G4166" t="s">
        <v>8133</v>
      </c>
      <c r="H4166" t="str">
        <f t="shared" si="302"/>
        <v>84250</v>
      </c>
      <c r="I4166" t="s">
        <v>4834</v>
      </c>
    </row>
    <row r="4167" spans="1:12" x14ac:dyDescent="0.3">
      <c r="A4167" t="str">
        <f>"65822323"</f>
        <v>65822323</v>
      </c>
      <c r="B4167" t="s">
        <v>8134</v>
      </c>
      <c r="C4167" t="str">
        <f t="shared" si="303"/>
        <v>736</v>
      </c>
      <c r="D4167" t="s">
        <v>22</v>
      </c>
      <c r="E4167" t="s">
        <v>23</v>
      </c>
      <c r="F4167" t="s">
        <v>8135</v>
      </c>
      <c r="G4167" t="s">
        <v>8136</v>
      </c>
      <c r="H4167" t="str">
        <f t="shared" si="302"/>
        <v>84250</v>
      </c>
      <c r="I4167" t="s">
        <v>4834</v>
      </c>
    </row>
    <row r="4168" spans="1:12" x14ac:dyDescent="0.3">
      <c r="A4168" t="str">
        <f>"65324749"</f>
        <v>65324749</v>
      </c>
      <c r="B4168" t="s">
        <v>8137</v>
      </c>
      <c r="C4168" t="str">
        <f t="shared" si="303"/>
        <v>736</v>
      </c>
      <c r="D4168" t="s">
        <v>22</v>
      </c>
      <c r="E4168" t="s">
        <v>52</v>
      </c>
      <c r="F4168" t="s">
        <v>113</v>
      </c>
      <c r="G4168" t="s">
        <v>8138</v>
      </c>
      <c r="H4168" t="str">
        <f t="shared" ref="H4168:H4231" si="304">"84250"</f>
        <v>84250</v>
      </c>
      <c r="I4168" t="s">
        <v>4834</v>
      </c>
    </row>
    <row r="4169" spans="1:12" x14ac:dyDescent="0.3">
      <c r="A4169" t="str">
        <f>"65888375"</f>
        <v>65888375</v>
      </c>
      <c r="B4169" t="s">
        <v>8139</v>
      </c>
      <c r="C4169" t="str">
        <f t="shared" si="303"/>
        <v>736</v>
      </c>
      <c r="D4169" t="s">
        <v>22</v>
      </c>
      <c r="E4169" t="s">
        <v>29</v>
      </c>
      <c r="F4169" t="s">
        <v>38</v>
      </c>
      <c r="G4169" t="s">
        <v>8140</v>
      </c>
      <c r="H4169" t="str">
        <f t="shared" si="304"/>
        <v>84250</v>
      </c>
      <c r="I4169" t="s">
        <v>4834</v>
      </c>
      <c r="J4169" t="s">
        <v>258</v>
      </c>
      <c r="K4169" t="s">
        <v>161</v>
      </c>
      <c r="L4169" t="s">
        <v>2069</v>
      </c>
    </row>
    <row r="4170" spans="1:12" x14ac:dyDescent="0.3">
      <c r="A4170" t="str">
        <f>"65274491"</f>
        <v>65274491</v>
      </c>
      <c r="B4170" t="s">
        <v>8141</v>
      </c>
      <c r="C4170" t="str">
        <f t="shared" si="303"/>
        <v>736</v>
      </c>
      <c r="D4170" t="s">
        <v>22</v>
      </c>
      <c r="E4170" t="s">
        <v>83</v>
      </c>
      <c r="F4170" t="s">
        <v>175</v>
      </c>
      <c r="G4170" t="s">
        <v>8142</v>
      </c>
      <c r="H4170" t="str">
        <f t="shared" si="304"/>
        <v>84250</v>
      </c>
      <c r="I4170" t="s">
        <v>4834</v>
      </c>
      <c r="J4170" t="s">
        <v>258</v>
      </c>
      <c r="K4170" t="s">
        <v>161</v>
      </c>
      <c r="L4170" t="s">
        <v>2069</v>
      </c>
    </row>
    <row r="4171" spans="1:12" x14ac:dyDescent="0.3">
      <c r="A4171" t="str">
        <f>"63414082"</f>
        <v>63414082</v>
      </c>
      <c r="B4171" t="s">
        <v>8143</v>
      </c>
      <c r="C4171" t="str">
        <f t="shared" si="303"/>
        <v>736</v>
      </c>
      <c r="D4171" t="s">
        <v>22</v>
      </c>
      <c r="E4171" t="s">
        <v>83</v>
      </c>
      <c r="F4171" t="s">
        <v>183</v>
      </c>
      <c r="G4171" t="s">
        <v>8144</v>
      </c>
      <c r="H4171" t="str">
        <f t="shared" si="304"/>
        <v>84250</v>
      </c>
      <c r="I4171" t="s">
        <v>4834</v>
      </c>
      <c r="J4171" t="s">
        <v>258</v>
      </c>
      <c r="K4171" t="s">
        <v>161</v>
      </c>
      <c r="L4171" t="s">
        <v>2069</v>
      </c>
    </row>
    <row r="4172" spans="1:12" x14ac:dyDescent="0.3">
      <c r="A4172" t="str">
        <f>"63701651"</f>
        <v>63701651</v>
      </c>
      <c r="B4172" t="s">
        <v>8145</v>
      </c>
      <c r="C4172" t="str">
        <f t="shared" si="303"/>
        <v>736</v>
      </c>
      <c r="D4172" t="s">
        <v>22</v>
      </c>
      <c r="E4172" t="s">
        <v>29</v>
      </c>
      <c r="F4172" t="s">
        <v>775</v>
      </c>
      <c r="G4172" t="s">
        <v>8146</v>
      </c>
      <c r="H4172" t="str">
        <f t="shared" si="304"/>
        <v>84250</v>
      </c>
      <c r="I4172" t="s">
        <v>4834</v>
      </c>
      <c r="J4172" t="s">
        <v>258</v>
      </c>
      <c r="K4172" t="s">
        <v>2069</v>
      </c>
      <c r="L4172" t="s">
        <v>161</v>
      </c>
    </row>
    <row r="4173" spans="1:12" x14ac:dyDescent="0.3">
      <c r="A4173" t="str">
        <f>"63414104"</f>
        <v>63414104</v>
      </c>
      <c r="B4173" t="s">
        <v>8147</v>
      </c>
      <c r="C4173" t="str">
        <f t="shared" si="303"/>
        <v>736</v>
      </c>
      <c r="D4173" t="s">
        <v>22</v>
      </c>
      <c r="E4173" t="s">
        <v>83</v>
      </c>
      <c r="F4173" t="s">
        <v>1525</v>
      </c>
      <c r="G4173" t="s">
        <v>8148</v>
      </c>
      <c r="H4173" t="str">
        <f t="shared" si="304"/>
        <v>84250</v>
      </c>
      <c r="I4173" t="s">
        <v>4834</v>
      </c>
      <c r="J4173" t="s">
        <v>258</v>
      </c>
      <c r="K4173" t="s">
        <v>161</v>
      </c>
      <c r="L4173" t="s">
        <v>2069</v>
      </c>
    </row>
    <row r="4174" spans="1:12" x14ac:dyDescent="0.3">
      <c r="A4174" t="str">
        <f>"67025544"</f>
        <v>67025544</v>
      </c>
      <c r="B4174" t="s">
        <v>8149</v>
      </c>
      <c r="C4174" t="str">
        <f t="shared" si="303"/>
        <v>736</v>
      </c>
      <c r="D4174" t="s">
        <v>22</v>
      </c>
      <c r="E4174" t="s">
        <v>23</v>
      </c>
      <c r="F4174" t="s">
        <v>1953</v>
      </c>
      <c r="G4174" t="s">
        <v>8150</v>
      </c>
      <c r="H4174" t="str">
        <f t="shared" si="304"/>
        <v>84250</v>
      </c>
      <c r="I4174" t="s">
        <v>4834</v>
      </c>
      <c r="J4174" t="s">
        <v>258</v>
      </c>
      <c r="K4174" t="s">
        <v>2069</v>
      </c>
      <c r="L4174" t="s">
        <v>161</v>
      </c>
    </row>
    <row r="4175" spans="1:12" x14ac:dyDescent="0.3">
      <c r="A4175" t="str">
        <f>"63701821"</f>
        <v>63701821</v>
      </c>
      <c r="B4175" t="s">
        <v>8151</v>
      </c>
      <c r="C4175" t="str">
        <f t="shared" si="303"/>
        <v>736</v>
      </c>
      <c r="D4175" t="s">
        <v>22</v>
      </c>
      <c r="E4175" t="s">
        <v>29</v>
      </c>
      <c r="F4175" t="s">
        <v>607</v>
      </c>
      <c r="G4175" t="s">
        <v>8152</v>
      </c>
      <c r="H4175" t="str">
        <f t="shared" si="304"/>
        <v>84250</v>
      </c>
      <c r="I4175" t="s">
        <v>4834</v>
      </c>
    </row>
    <row r="4176" spans="1:12" x14ac:dyDescent="0.3">
      <c r="A4176" t="str">
        <f>"65325265"</f>
        <v>65325265</v>
      </c>
      <c r="B4176" t="s">
        <v>8153</v>
      </c>
      <c r="C4176" t="str">
        <f t="shared" si="303"/>
        <v>736</v>
      </c>
      <c r="D4176" t="s">
        <v>22</v>
      </c>
      <c r="E4176" t="s">
        <v>52</v>
      </c>
      <c r="F4176" t="s">
        <v>2078</v>
      </c>
      <c r="G4176" t="s">
        <v>8154</v>
      </c>
      <c r="H4176" t="str">
        <f t="shared" si="304"/>
        <v>84250</v>
      </c>
      <c r="I4176" t="s">
        <v>4834</v>
      </c>
    </row>
    <row r="4177" spans="1:12" x14ac:dyDescent="0.3">
      <c r="A4177" t="str">
        <f>"65325001"</f>
        <v>65325001</v>
      </c>
      <c r="B4177" t="s">
        <v>8155</v>
      </c>
      <c r="C4177" t="str">
        <f t="shared" si="303"/>
        <v>736</v>
      </c>
      <c r="D4177" t="s">
        <v>22</v>
      </c>
      <c r="E4177" t="s">
        <v>52</v>
      </c>
      <c r="F4177" t="s">
        <v>8156</v>
      </c>
      <c r="G4177" t="s">
        <v>8157</v>
      </c>
      <c r="H4177" t="str">
        <f t="shared" si="304"/>
        <v>84250</v>
      </c>
      <c r="I4177" t="s">
        <v>4834</v>
      </c>
    </row>
    <row r="4178" spans="1:12" x14ac:dyDescent="0.3">
      <c r="A4178" t="str">
        <f>"65325401"</f>
        <v>65325401</v>
      </c>
      <c r="B4178" t="s">
        <v>8158</v>
      </c>
      <c r="C4178" t="str">
        <f t="shared" si="303"/>
        <v>736</v>
      </c>
      <c r="D4178" t="s">
        <v>22</v>
      </c>
      <c r="E4178" t="s">
        <v>52</v>
      </c>
      <c r="F4178" t="s">
        <v>1729</v>
      </c>
      <c r="G4178" t="s">
        <v>8159</v>
      </c>
      <c r="H4178" t="str">
        <f t="shared" si="304"/>
        <v>84250</v>
      </c>
      <c r="I4178" t="s">
        <v>4834</v>
      </c>
      <c r="J4178" t="s">
        <v>258</v>
      </c>
      <c r="K4178" t="s">
        <v>161</v>
      </c>
      <c r="L4178" t="s">
        <v>2069</v>
      </c>
    </row>
    <row r="4179" spans="1:12" x14ac:dyDescent="0.3">
      <c r="A4179" t="str">
        <f>"65823150"</f>
        <v>65823150</v>
      </c>
      <c r="B4179" t="s">
        <v>8160</v>
      </c>
      <c r="C4179" t="str">
        <f t="shared" si="303"/>
        <v>736</v>
      </c>
      <c r="D4179" t="s">
        <v>22</v>
      </c>
      <c r="E4179" t="s">
        <v>23</v>
      </c>
      <c r="F4179" t="s">
        <v>744</v>
      </c>
      <c r="G4179" t="s">
        <v>8161</v>
      </c>
      <c r="H4179" t="str">
        <f t="shared" si="304"/>
        <v>84250</v>
      </c>
      <c r="I4179" t="s">
        <v>4834</v>
      </c>
    </row>
    <row r="4180" spans="1:12" x14ac:dyDescent="0.3">
      <c r="A4180" t="str">
        <f>"63701898"</f>
        <v>63701898</v>
      </c>
      <c r="B4180" t="s">
        <v>8162</v>
      </c>
      <c r="C4180" t="str">
        <f t="shared" si="303"/>
        <v>736</v>
      </c>
      <c r="D4180" t="s">
        <v>22</v>
      </c>
      <c r="E4180" t="s">
        <v>29</v>
      </c>
      <c r="F4180" t="s">
        <v>653</v>
      </c>
      <c r="G4180" t="s">
        <v>8163</v>
      </c>
      <c r="H4180" t="str">
        <f t="shared" si="304"/>
        <v>84250</v>
      </c>
      <c r="I4180" t="s">
        <v>4834</v>
      </c>
    </row>
    <row r="4181" spans="1:12" x14ac:dyDescent="0.3">
      <c r="A4181" t="str">
        <f>"65274440"</f>
        <v>65274440</v>
      </c>
      <c r="B4181" t="s">
        <v>8164</v>
      </c>
      <c r="C4181" t="str">
        <f t="shared" si="303"/>
        <v>736</v>
      </c>
      <c r="D4181" t="s">
        <v>22</v>
      </c>
      <c r="E4181" t="s">
        <v>83</v>
      </c>
      <c r="F4181" t="s">
        <v>4374</v>
      </c>
      <c r="G4181" t="s">
        <v>8165</v>
      </c>
      <c r="H4181" t="str">
        <f t="shared" si="304"/>
        <v>84250</v>
      </c>
      <c r="I4181" t="s">
        <v>4834</v>
      </c>
    </row>
    <row r="4182" spans="1:12" x14ac:dyDescent="0.3">
      <c r="A4182" t="str">
        <f>"63701782"</f>
        <v>63701782</v>
      </c>
      <c r="B4182" t="s">
        <v>8166</v>
      </c>
      <c r="C4182" t="str">
        <f t="shared" si="303"/>
        <v>736</v>
      </c>
      <c r="D4182" t="s">
        <v>22</v>
      </c>
      <c r="E4182" t="s">
        <v>29</v>
      </c>
      <c r="F4182" t="s">
        <v>1810</v>
      </c>
      <c r="G4182" t="s">
        <v>8030</v>
      </c>
      <c r="H4182" t="str">
        <f t="shared" si="304"/>
        <v>84250</v>
      </c>
      <c r="I4182" t="s">
        <v>4834</v>
      </c>
      <c r="J4182" t="s">
        <v>258</v>
      </c>
      <c r="K4182" t="s">
        <v>2069</v>
      </c>
      <c r="L4182" t="s">
        <v>161</v>
      </c>
    </row>
    <row r="4183" spans="1:12" x14ac:dyDescent="0.3">
      <c r="A4183" t="str">
        <f>"64123677"</f>
        <v>64123677</v>
      </c>
      <c r="B4183" t="s">
        <v>8167</v>
      </c>
      <c r="C4183" t="str">
        <f t="shared" si="303"/>
        <v>736</v>
      </c>
      <c r="D4183" t="s">
        <v>22</v>
      </c>
      <c r="E4183" t="s">
        <v>29</v>
      </c>
      <c r="F4183" t="s">
        <v>195</v>
      </c>
      <c r="G4183" t="s">
        <v>8168</v>
      </c>
      <c r="H4183" t="str">
        <f t="shared" si="304"/>
        <v>84250</v>
      </c>
      <c r="I4183" t="s">
        <v>4834</v>
      </c>
    </row>
    <row r="4184" spans="1:12" x14ac:dyDescent="0.3">
      <c r="A4184" t="str">
        <f>"65325346"</f>
        <v>65325346</v>
      </c>
      <c r="B4184" t="s">
        <v>8169</v>
      </c>
      <c r="C4184" t="str">
        <f t="shared" si="303"/>
        <v>736</v>
      </c>
      <c r="D4184" t="s">
        <v>22</v>
      </c>
      <c r="E4184" t="s">
        <v>52</v>
      </c>
      <c r="F4184" t="s">
        <v>1257</v>
      </c>
      <c r="G4184" t="s">
        <v>8170</v>
      </c>
      <c r="H4184" t="str">
        <f t="shared" si="304"/>
        <v>84250</v>
      </c>
      <c r="I4184" t="s">
        <v>4834</v>
      </c>
      <c r="J4184" t="s">
        <v>161</v>
      </c>
      <c r="K4184" t="s">
        <v>2069</v>
      </c>
    </row>
    <row r="4185" spans="1:12" x14ac:dyDescent="0.3">
      <c r="A4185" t="str">
        <f>"65792459"</f>
        <v>65792459</v>
      </c>
      <c r="B4185" t="s">
        <v>8171</v>
      </c>
      <c r="C4185" t="str">
        <f t="shared" si="303"/>
        <v>736</v>
      </c>
      <c r="D4185" t="s">
        <v>22</v>
      </c>
      <c r="E4185" t="s">
        <v>23</v>
      </c>
      <c r="F4185" t="s">
        <v>350</v>
      </c>
      <c r="G4185" t="s">
        <v>5386</v>
      </c>
      <c r="H4185" t="str">
        <f t="shared" si="304"/>
        <v>84250</v>
      </c>
      <c r="I4185" t="s">
        <v>4834</v>
      </c>
    </row>
    <row r="4186" spans="1:12" x14ac:dyDescent="0.3">
      <c r="A4186" t="str">
        <f>"65270118"</f>
        <v>65270118</v>
      </c>
      <c r="B4186" t="s">
        <v>8172</v>
      </c>
      <c r="C4186" t="str">
        <f t="shared" si="303"/>
        <v>736</v>
      </c>
      <c r="D4186" t="s">
        <v>22</v>
      </c>
      <c r="E4186" t="s">
        <v>83</v>
      </c>
      <c r="F4186" t="s">
        <v>83</v>
      </c>
      <c r="G4186" t="s">
        <v>8173</v>
      </c>
      <c r="H4186" t="str">
        <f t="shared" si="304"/>
        <v>84250</v>
      </c>
      <c r="I4186" t="s">
        <v>4834</v>
      </c>
      <c r="J4186" t="s">
        <v>258</v>
      </c>
      <c r="K4186" t="s">
        <v>161</v>
      </c>
      <c r="L4186" t="s">
        <v>2069</v>
      </c>
    </row>
    <row r="4187" spans="1:12" x14ac:dyDescent="0.3">
      <c r="A4187" t="str">
        <f>"65793072"</f>
        <v>65793072</v>
      </c>
      <c r="B4187" t="s">
        <v>8174</v>
      </c>
      <c r="C4187" t="str">
        <f t="shared" si="303"/>
        <v>736</v>
      </c>
      <c r="D4187" t="s">
        <v>22</v>
      </c>
      <c r="E4187" t="s">
        <v>23</v>
      </c>
      <c r="F4187" t="s">
        <v>303</v>
      </c>
      <c r="G4187" t="s">
        <v>8175</v>
      </c>
      <c r="H4187" t="str">
        <f t="shared" si="304"/>
        <v>84250</v>
      </c>
      <c r="I4187" t="s">
        <v>4834</v>
      </c>
    </row>
    <row r="4188" spans="1:12" x14ac:dyDescent="0.3">
      <c r="A4188" t="str">
        <f>"68729456"</f>
        <v>68729456</v>
      </c>
      <c r="B4188" t="s">
        <v>8176</v>
      </c>
      <c r="C4188" t="str">
        <f t="shared" si="303"/>
        <v>736</v>
      </c>
      <c r="D4188" t="s">
        <v>22</v>
      </c>
      <c r="E4188" t="s">
        <v>23</v>
      </c>
      <c r="F4188" t="s">
        <v>1815</v>
      </c>
      <c r="G4188" t="s">
        <v>4356</v>
      </c>
      <c r="H4188" t="str">
        <f t="shared" si="304"/>
        <v>84250</v>
      </c>
      <c r="I4188" t="s">
        <v>4834</v>
      </c>
    </row>
    <row r="4189" spans="1:12" x14ac:dyDescent="0.3">
      <c r="A4189" t="str">
        <f>"63458772"</f>
        <v>63458772</v>
      </c>
      <c r="B4189" t="s">
        <v>8177</v>
      </c>
      <c r="C4189" t="str">
        <f t="shared" si="303"/>
        <v>736</v>
      </c>
      <c r="D4189" t="s">
        <v>22</v>
      </c>
      <c r="E4189" t="s">
        <v>83</v>
      </c>
      <c r="F4189" t="s">
        <v>537</v>
      </c>
      <c r="G4189" t="s">
        <v>8178</v>
      </c>
      <c r="H4189" t="str">
        <f t="shared" si="304"/>
        <v>84250</v>
      </c>
      <c r="I4189" t="s">
        <v>4834</v>
      </c>
    </row>
    <row r="4190" spans="1:12" x14ac:dyDescent="0.3">
      <c r="A4190" t="str">
        <f>"63701791"</f>
        <v>63701791</v>
      </c>
      <c r="B4190" t="s">
        <v>8179</v>
      </c>
      <c r="C4190" t="str">
        <f t="shared" si="303"/>
        <v>736</v>
      </c>
      <c r="D4190" t="s">
        <v>22</v>
      </c>
      <c r="E4190" t="s">
        <v>29</v>
      </c>
      <c r="F4190" t="s">
        <v>685</v>
      </c>
      <c r="G4190" t="s">
        <v>8180</v>
      </c>
      <c r="H4190" t="str">
        <f t="shared" si="304"/>
        <v>84250</v>
      </c>
      <c r="I4190" t="s">
        <v>4834</v>
      </c>
    </row>
    <row r="4191" spans="1:12" x14ac:dyDescent="0.3">
      <c r="A4191" t="str">
        <f>"65888367"</f>
        <v>65888367</v>
      </c>
      <c r="B4191" t="s">
        <v>8181</v>
      </c>
      <c r="C4191" t="str">
        <f t="shared" si="303"/>
        <v>736</v>
      </c>
      <c r="D4191" t="s">
        <v>22</v>
      </c>
      <c r="E4191" t="s">
        <v>29</v>
      </c>
      <c r="F4191" t="s">
        <v>1654</v>
      </c>
      <c r="G4191" t="s">
        <v>1820</v>
      </c>
      <c r="H4191" t="str">
        <f t="shared" si="304"/>
        <v>84250</v>
      </c>
      <c r="I4191" t="s">
        <v>4834</v>
      </c>
      <c r="J4191" t="s">
        <v>258</v>
      </c>
      <c r="K4191" t="s">
        <v>161</v>
      </c>
      <c r="L4191" t="s">
        <v>2069</v>
      </c>
    </row>
    <row r="4192" spans="1:12" x14ac:dyDescent="0.3">
      <c r="A4192" t="str">
        <f>"68729464"</f>
        <v>68729464</v>
      </c>
      <c r="B4192" t="s">
        <v>8182</v>
      </c>
      <c r="C4192" t="str">
        <f t="shared" si="303"/>
        <v>736</v>
      </c>
      <c r="D4192" t="s">
        <v>22</v>
      </c>
      <c r="E4192" t="s">
        <v>23</v>
      </c>
      <c r="F4192" t="s">
        <v>1657</v>
      </c>
      <c r="G4192" t="s">
        <v>8183</v>
      </c>
      <c r="H4192" t="str">
        <f t="shared" si="304"/>
        <v>84250</v>
      </c>
      <c r="I4192" t="s">
        <v>4834</v>
      </c>
    </row>
    <row r="4193" spans="1:12" x14ac:dyDescent="0.3">
      <c r="A4193" t="str">
        <f>"63701901"</f>
        <v>63701901</v>
      </c>
      <c r="B4193" t="s">
        <v>8184</v>
      </c>
      <c r="C4193" t="str">
        <f t="shared" si="303"/>
        <v>736</v>
      </c>
      <c r="D4193" t="s">
        <v>22</v>
      </c>
      <c r="E4193" t="s">
        <v>29</v>
      </c>
      <c r="F4193" t="s">
        <v>250</v>
      </c>
      <c r="G4193" t="s">
        <v>8185</v>
      </c>
      <c r="H4193" t="str">
        <f t="shared" si="304"/>
        <v>84250</v>
      </c>
      <c r="I4193" t="s">
        <v>4834</v>
      </c>
      <c r="J4193" t="s">
        <v>258</v>
      </c>
      <c r="K4193" t="s">
        <v>2069</v>
      </c>
      <c r="L4193" t="s">
        <v>161</v>
      </c>
    </row>
    <row r="4194" spans="1:12" x14ac:dyDescent="0.3">
      <c r="A4194" t="str">
        <f>"65324803"</f>
        <v>65324803</v>
      </c>
      <c r="B4194" t="s">
        <v>8186</v>
      </c>
      <c r="C4194" t="str">
        <f t="shared" si="303"/>
        <v>736</v>
      </c>
      <c r="D4194" t="s">
        <v>22</v>
      </c>
      <c r="E4194" t="s">
        <v>52</v>
      </c>
      <c r="F4194" t="s">
        <v>1229</v>
      </c>
      <c r="G4194" t="s">
        <v>8187</v>
      </c>
      <c r="H4194" t="str">
        <f t="shared" si="304"/>
        <v>84250</v>
      </c>
      <c r="I4194" t="s">
        <v>4834</v>
      </c>
    </row>
    <row r="4195" spans="1:12" x14ac:dyDescent="0.3">
      <c r="A4195" t="str">
        <f>"65324838"</f>
        <v>65324838</v>
      </c>
      <c r="B4195" t="s">
        <v>8188</v>
      </c>
      <c r="C4195" t="str">
        <f t="shared" si="303"/>
        <v>736</v>
      </c>
      <c r="D4195" t="s">
        <v>22</v>
      </c>
      <c r="E4195" t="s">
        <v>52</v>
      </c>
      <c r="F4195" t="s">
        <v>2795</v>
      </c>
      <c r="G4195" t="s">
        <v>2796</v>
      </c>
      <c r="H4195" t="str">
        <f t="shared" si="304"/>
        <v>84250</v>
      </c>
      <c r="I4195" t="s">
        <v>4834</v>
      </c>
    </row>
    <row r="4196" spans="1:12" x14ac:dyDescent="0.3">
      <c r="A4196" t="str">
        <f>"63414341"</f>
        <v>63414341</v>
      </c>
      <c r="B4196" t="s">
        <v>8188</v>
      </c>
      <c r="C4196" t="str">
        <f t="shared" si="303"/>
        <v>736</v>
      </c>
      <c r="D4196" t="s">
        <v>22</v>
      </c>
      <c r="E4196" t="s">
        <v>83</v>
      </c>
      <c r="F4196" t="s">
        <v>2795</v>
      </c>
      <c r="G4196" t="s">
        <v>8189</v>
      </c>
      <c r="H4196" t="str">
        <f t="shared" si="304"/>
        <v>84250</v>
      </c>
      <c r="I4196" t="s">
        <v>4834</v>
      </c>
      <c r="J4196" t="s">
        <v>258</v>
      </c>
      <c r="K4196" t="s">
        <v>161</v>
      </c>
      <c r="L4196" t="s">
        <v>2069</v>
      </c>
    </row>
    <row r="4197" spans="1:12" x14ac:dyDescent="0.3">
      <c r="A4197" t="str">
        <f>"63701472"</f>
        <v>63701472</v>
      </c>
      <c r="B4197" t="s">
        <v>8190</v>
      </c>
      <c r="C4197" t="str">
        <f t="shared" si="303"/>
        <v>736</v>
      </c>
      <c r="D4197" t="s">
        <v>22</v>
      </c>
      <c r="E4197" t="s">
        <v>29</v>
      </c>
      <c r="F4197" t="s">
        <v>876</v>
      </c>
      <c r="G4197" t="s">
        <v>5416</v>
      </c>
      <c r="H4197" t="str">
        <f t="shared" si="304"/>
        <v>84250</v>
      </c>
      <c r="I4197" t="s">
        <v>4834</v>
      </c>
    </row>
    <row r="4198" spans="1:12" x14ac:dyDescent="0.3">
      <c r="A4198" t="str">
        <f>"63701961"</f>
        <v>63701961</v>
      </c>
      <c r="B4198" t="s">
        <v>8191</v>
      </c>
      <c r="C4198" t="str">
        <f t="shared" si="303"/>
        <v>736</v>
      </c>
      <c r="D4198" t="s">
        <v>22</v>
      </c>
      <c r="E4198" t="s">
        <v>29</v>
      </c>
      <c r="F4198" t="s">
        <v>1569</v>
      </c>
      <c r="G4198" t="s">
        <v>6059</v>
      </c>
      <c r="H4198" t="str">
        <f t="shared" si="304"/>
        <v>84250</v>
      </c>
      <c r="I4198" t="s">
        <v>4834</v>
      </c>
      <c r="J4198" t="s">
        <v>258</v>
      </c>
      <c r="K4198" t="s">
        <v>161</v>
      </c>
      <c r="L4198" t="s">
        <v>2069</v>
      </c>
    </row>
    <row r="4199" spans="1:12" x14ac:dyDescent="0.3">
      <c r="A4199" t="str">
        <f>"65270410"</f>
        <v>65270410</v>
      </c>
      <c r="B4199" t="s">
        <v>8192</v>
      </c>
      <c r="C4199" t="str">
        <f t="shared" si="303"/>
        <v>736</v>
      </c>
      <c r="D4199" t="s">
        <v>22</v>
      </c>
      <c r="E4199" t="s">
        <v>83</v>
      </c>
      <c r="F4199" t="s">
        <v>3388</v>
      </c>
      <c r="G4199" t="s">
        <v>5409</v>
      </c>
      <c r="H4199" t="str">
        <f t="shared" si="304"/>
        <v>84250</v>
      </c>
      <c r="I4199" t="s">
        <v>4834</v>
      </c>
    </row>
    <row r="4200" spans="1:12" x14ac:dyDescent="0.3">
      <c r="A4200" t="str">
        <f>"62833065"</f>
        <v>62833065</v>
      </c>
      <c r="B4200" t="s">
        <v>8193</v>
      </c>
      <c r="C4200" t="str">
        <f t="shared" si="303"/>
        <v>736</v>
      </c>
      <c r="D4200" t="s">
        <v>22</v>
      </c>
      <c r="E4200" t="s">
        <v>52</v>
      </c>
      <c r="F4200" t="s">
        <v>52</v>
      </c>
      <c r="G4200" t="s">
        <v>8194</v>
      </c>
      <c r="H4200" t="str">
        <f t="shared" si="304"/>
        <v>84250</v>
      </c>
      <c r="I4200" t="s">
        <v>4834</v>
      </c>
      <c r="J4200" t="s">
        <v>258</v>
      </c>
      <c r="K4200" t="s">
        <v>161</v>
      </c>
      <c r="L4200" t="s">
        <v>2069</v>
      </c>
    </row>
    <row r="4201" spans="1:12" x14ac:dyDescent="0.3">
      <c r="A4201" t="str">
        <f>"65469461"</f>
        <v>65469461</v>
      </c>
      <c r="B4201" t="s">
        <v>8195</v>
      </c>
      <c r="C4201" t="str">
        <f t="shared" si="303"/>
        <v>736</v>
      </c>
      <c r="D4201" t="s">
        <v>22</v>
      </c>
      <c r="E4201" t="s">
        <v>29</v>
      </c>
      <c r="F4201" t="s">
        <v>135</v>
      </c>
      <c r="G4201" t="s">
        <v>8196</v>
      </c>
      <c r="H4201" t="str">
        <f t="shared" si="304"/>
        <v>84250</v>
      </c>
      <c r="I4201" t="s">
        <v>4834</v>
      </c>
    </row>
    <row r="4202" spans="1:12" x14ac:dyDescent="0.3">
      <c r="A4202" t="str">
        <f>"63701481"</f>
        <v>63701481</v>
      </c>
      <c r="B4202" t="s">
        <v>8197</v>
      </c>
      <c r="C4202" t="str">
        <f t="shared" si="303"/>
        <v>736</v>
      </c>
      <c r="D4202" t="s">
        <v>22</v>
      </c>
      <c r="E4202" t="s">
        <v>29</v>
      </c>
      <c r="F4202" t="s">
        <v>29</v>
      </c>
      <c r="G4202" t="s">
        <v>7996</v>
      </c>
      <c r="H4202" t="str">
        <f t="shared" si="304"/>
        <v>84250</v>
      </c>
      <c r="I4202" t="s">
        <v>4834</v>
      </c>
      <c r="J4202" t="s">
        <v>258</v>
      </c>
      <c r="K4202" t="s">
        <v>161</v>
      </c>
      <c r="L4202" t="s">
        <v>2069</v>
      </c>
    </row>
    <row r="4203" spans="1:12" x14ac:dyDescent="0.3">
      <c r="A4203" t="str">
        <f>"68729499"</f>
        <v>68729499</v>
      </c>
      <c r="B4203" t="s">
        <v>8198</v>
      </c>
      <c r="C4203" t="str">
        <f t="shared" si="303"/>
        <v>736</v>
      </c>
      <c r="D4203" t="s">
        <v>22</v>
      </c>
      <c r="E4203" t="s">
        <v>23</v>
      </c>
      <c r="F4203" t="s">
        <v>1555</v>
      </c>
      <c r="G4203" t="s">
        <v>8199</v>
      </c>
      <c r="H4203" t="str">
        <f t="shared" si="304"/>
        <v>84250</v>
      </c>
      <c r="I4203" t="s">
        <v>4834</v>
      </c>
    </row>
    <row r="4204" spans="1:12" x14ac:dyDescent="0.3">
      <c r="A4204" t="str">
        <f>"68729502"</f>
        <v>68729502</v>
      </c>
      <c r="B4204" t="s">
        <v>8200</v>
      </c>
      <c r="C4204" t="str">
        <f t="shared" si="303"/>
        <v>736</v>
      </c>
      <c r="D4204" t="s">
        <v>22</v>
      </c>
      <c r="E4204" t="s">
        <v>23</v>
      </c>
      <c r="F4204" t="s">
        <v>5441</v>
      </c>
      <c r="G4204" t="s">
        <v>5442</v>
      </c>
      <c r="H4204" t="str">
        <f t="shared" si="304"/>
        <v>84250</v>
      </c>
      <c r="I4204" t="s">
        <v>4834</v>
      </c>
      <c r="J4204" t="s">
        <v>258</v>
      </c>
      <c r="K4204" t="s">
        <v>161</v>
      </c>
      <c r="L4204" t="s">
        <v>2069</v>
      </c>
    </row>
    <row r="4205" spans="1:12" x14ac:dyDescent="0.3">
      <c r="A4205" t="str">
        <f>"63701553"</f>
        <v>63701553</v>
      </c>
      <c r="B4205" t="s">
        <v>8201</v>
      </c>
      <c r="C4205" t="str">
        <f t="shared" si="303"/>
        <v>736</v>
      </c>
      <c r="D4205" t="s">
        <v>22</v>
      </c>
      <c r="E4205" t="s">
        <v>29</v>
      </c>
      <c r="F4205" t="s">
        <v>195</v>
      </c>
      <c r="G4205" t="s">
        <v>8202</v>
      </c>
      <c r="H4205" t="str">
        <f t="shared" si="304"/>
        <v>84250</v>
      </c>
      <c r="I4205" t="s">
        <v>4834</v>
      </c>
      <c r="J4205" t="s">
        <v>2069</v>
      </c>
      <c r="K4205" t="s">
        <v>161</v>
      </c>
    </row>
    <row r="4206" spans="1:12" x14ac:dyDescent="0.3">
      <c r="A4206" t="str">
        <f>"65822765"</f>
        <v>65822765</v>
      </c>
      <c r="B4206" t="s">
        <v>8203</v>
      </c>
      <c r="C4206" t="str">
        <f t="shared" ref="C4206:C4269" si="305">"736"</f>
        <v>736</v>
      </c>
      <c r="D4206" t="s">
        <v>22</v>
      </c>
      <c r="E4206" t="s">
        <v>23</v>
      </c>
      <c r="F4206" t="s">
        <v>5392</v>
      </c>
      <c r="G4206" t="s">
        <v>8204</v>
      </c>
      <c r="H4206" t="str">
        <f t="shared" si="304"/>
        <v>84250</v>
      </c>
      <c r="I4206" t="s">
        <v>4834</v>
      </c>
      <c r="J4206" t="s">
        <v>258</v>
      </c>
      <c r="K4206" t="s">
        <v>161</v>
      </c>
      <c r="L4206" t="s">
        <v>2069</v>
      </c>
    </row>
    <row r="4207" spans="1:12" x14ac:dyDescent="0.3">
      <c r="A4207" t="str">
        <f>"68729472"</f>
        <v>68729472</v>
      </c>
      <c r="B4207" t="s">
        <v>8205</v>
      </c>
      <c r="C4207" t="str">
        <f t="shared" si="305"/>
        <v>736</v>
      </c>
      <c r="D4207" t="s">
        <v>22</v>
      </c>
      <c r="E4207" t="s">
        <v>23</v>
      </c>
      <c r="F4207" t="s">
        <v>8206</v>
      </c>
      <c r="G4207" t="s">
        <v>8207</v>
      </c>
      <c r="H4207" t="str">
        <f t="shared" si="304"/>
        <v>84250</v>
      </c>
      <c r="I4207" t="s">
        <v>4834</v>
      </c>
    </row>
    <row r="4208" spans="1:12" x14ac:dyDescent="0.3">
      <c r="A4208" t="str">
        <f>"65270126"</f>
        <v>65270126</v>
      </c>
      <c r="B4208" t="s">
        <v>8205</v>
      </c>
      <c r="C4208" t="str">
        <f t="shared" si="305"/>
        <v>736</v>
      </c>
      <c r="D4208" t="s">
        <v>22</v>
      </c>
      <c r="E4208" t="s">
        <v>83</v>
      </c>
      <c r="F4208" t="s">
        <v>230</v>
      </c>
      <c r="G4208" t="s">
        <v>8208</v>
      </c>
      <c r="H4208" t="str">
        <f t="shared" si="304"/>
        <v>84250</v>
      </c>
      <c r="I4208" t="s">
        <v>4834</v>
      </c>
    </row>
    <row r="4209" spans="1:12" x14ac:dyDescent="0.3">
      <c r="A4209" t="str">
        <f>"65274504"</f>
        <v>65274504</v>
      </c>
      <c r="B4209" t="s">
        <v>8209</v>
      </c>
      <c r="C4209" t="str">
        <f t="shared" si="305"/>
        <v>736</v>
      </c>
      <c r="D4209" t="s">
        <v>22</v>
      </c>
      <c r="E4209" t="s">
        <v>83</v>
      </c>
      <c r="F4209" t="s">
        <v>8210</v>
      </c>
      <c r="G4209" t="s">
        <v>8211</v>
      </c>
      <c r="H4209" t="str">
        <f t="shared" si="304"/>
        <v>84250</v>
      </c>
      <c r="I4209" t="s">
        <v>4834</v>
      </c>
      <c r="J4209" t="s">
        <v>258</v>
      </c>
      <c r="K4209" t="s">
        <v>161</v>
      </c>
      <c r="L4209" t="s">
        <v>2069</v>
      </c>
    </row>
    <row r="4210" spans="1:12" x14ac:dyDescent="0.3">
      <c r="A4210" t="str">
        <f>"65822731"</f>
        <v>65822731</v>
      </c>
      <c r="B4210" t="s">
        <v>8212</v>
      </c>
      <c r="C4210" t="str">
        <f t="shared" si="305"/>
        <v>736</v>
      </c>
      <c r="D4210" t="s">
        <v>22</v>
      </c>
      <c r="E4210" t="s">
        <v>23</v>
      </c>
      <c r="F4210" t="s">
        <v>4156</v>
      </c>
      <c r="G4210" t="s">
        <v>8213</v>
      </c>
      <c r="H4210" t="str">
        <f t="shared" si="304"/>
        <v>84250</v>
      </c>
      <c r="I4210" t="s">
        <v>4834</v>
      </c>
      <c r="J4210" t="s">
        <v>258</v>
      </c>
      <c r="K4210" t="s">
        <v>161</v>
      </c>
      <c r="L4210" t="s">
        <v>2069</v>
      </c>
    </row>
    <row r="4211" spans="1:12" x14ac:dyDescent="0.3">
      <c r="A4211" t="str">
        <f>"63701910"</f>
        <v>63701910</v>
      </c>
      <c r="B4211" t="s">
        <v>8214</v>
      </c>
      <c r="C4211" t="str">
        <f t="shared" si="305"/>
        <v>736</v>
      </c>
      <c r="D4211" t="s">
        <v>22</v>
      </c>
      <c r="E4211" t="s">
        <v>29</v>
      </c>
      <c r="F4211" t="s">
        <v>1004</v>
      </c>
      <c r="G4211" t="s">
        <v>2365</v>
      </c>
      <c r="H4211" t="str">
        <f t="shared" si="304"/>
        <v>84250</v>
      </c>
      <c r="I4211" t="s">
        <v>4834</v>
      </c>
      <c r="J4211" t="s">
        <v>258</v>
      </c>
      <c r="K4211" t="s">
        <v>161</v>
      </c>
      <c r="L4211" t="s">
        <v>2069</v>
      </c>
    </row>
    <row r="4212" spans="1:12" x14ac:dyDescent="0.3">
      <c r="A4212" t="str">
        <f>"65469232"</f>
        <v>65469232</v>
      </c>
      <c r="B4212" t="s">
        <v>8215</v>
      </c>
      <c r="C4212" t="str">
        <f t="shared" si="305"/>
        <v>736</v>
      </c>
      <c r="D4212" t="s">
        <v>22</v>
      </c>
      <c r="E4212" t="s">
        <v>29</v>
      </c>
      <c r="F4212" t="s">
        <v>271</v>
      </c>
      <c r="G4212" t="s">
        <v>1606</v>
      </c>
      <c r="H4212" t="str">
        <f t="shared" si="304"/>
        <v>84250</v>
      </c>
      <c r="I4212" t="s">
        <v>4834</v>
      </c>
    </row>
    <row r="4213" spans="1:12" x14ac:dyDescent="0.3">
      <c r="A4213" t="str">
        <f>"68729511"</f>
        <v>68729511</v>
      </c>
      <c r="B4213" t="s">
        <v>8216</v>
      </c>
      <c r="C4213" t="str">
        <f t="shared" si="305"/>
        <v>736</v>
      </c>
      <c r="D4213" t="s">
        <v>22</v>
      </c>
      <c r="E4213" t="s">
        <v>23</v>
      </c>
      <c r="F4213" t="s">
        <v>2467</v>
      </c>
      <c r="G4213" t="s">
        <v>8217</v>
      </c>
      <c r="H4213" t="str">
        <f t="shared" si="304"/>
        <v>84250</v>
      </c>
      <c r="I4213" t="s">
        <v>4834</v>
      </c>
    </row>
    <row r="4214" spans="1:12" x14ac:dyDescent="0.3">
      <c r="A4214" t="str">
        <f>"65891317"</f>
        <v>65891317</v>
      </c>
      <c r="B4214" t="s">
        <v>8218</v>
      </c>
      <c r="C4214" t="str">
        <f t="shared" si="305"/>
        <v>736</v>
      </c>
      <c r="D4214" t="s">
        <v>22</v>
      </c>
      <c r="E4214" t="s">
        <v>29</v>
      </c>
      <c r="F4214" t="s">
        <v>5333</v>
      </c>
      <c r="G4214" t="s">
        <v>5334</v>
      </c>
      <c r="H4214" t="str">
        <f t="shared" si="304"/>
        <v>84250</v>
      </c>
      <c r="I4214" t="s">
        <v>4834</v>
      </c>
    </row>
    <row r="4215" spans="1:12" x14ac:dyDescent="0.3">
      <c r="A4215" t="str">
        <f>"68729529"</f>
        <v>68729529</v>
      </c>
      <c r="B4215" t="s">
        <v>8219</v>
      </c>
      <c r="C4215" t="str">
        <f t="shared" si="305"/>
        <v>736</v>
      </c>
      <c r="D4215" t="s">
        <v>22</v>
      </c>
      <c r="E4215" t="s">
        <v>23</v>
      </c>
      <c r="F4215" t="s">
        <v>99</v>
      </c>
      <c r="G4215" t="s">
        <v>8220</v>
      </c>
      <c r="H4215" t="str">
        <f t="shared" si="304"/>
        <v>84250</v>
      </c>
      <c r="I4215" t="s">
        <v>4834</v>
      </c>
      <c r="J4215" t="s">
        <v>258</v>
      </c>
      <c r="K4215" t="s">
        <v>161</v>
      </c>
      <c r="L4215" t="s">
        <v>2069</v>
      </c>
    </row>
    <row r="4216" spans="1:12" x14ac:dyDescent="0.3">
      <c r="A4216" t="str">
        <f>"63701677"</f>
        <v>63701677</v>
      </c>
      <c r="B4216" t="s">
        <v>8221</v>
      </c>
      <c r="C4216" t="str">
        <f t="shared" si="305"/>
        <v>736</v>
      </c>
      <c r="D4216" t="s">
        <v>22</v>
      </c>
      <c r="E4216" t="s">
        <v>29</v>
      </c>
      <c r="F4216" t="s">
        <v>778</v>
      </c>
      <c r="G4216" t="s">
        <v>8222</v>
      </c>
      <c r="H4216" t="str">
        <f t="shared" si="304"/>
        <v>84250</v>
      </c>
      <c r="I4216" t="s">
        <v>4834</v>
      </c>
      <c r="J4216" t="s">
        <v>258</v>
      </c>
      <c r="K4216" t="s">
        <v>161</v>
      </c>
      <c r="L4216" t="s">
        <v>2069</v>
      </c>
    </row>
    <row r="4217" spans="1:12" x14ac:dyDescent="0.3">
      <c r="A4217" t="str">
        <f>"65325095"</f>
        <v>65325095</v>
      </c>
      <c r="B4217" t="s">
        <v>8223</v>
      </c>
      <c r="C4217" t="str">
        <f t="shared" si="305"/>
        <v>736</v>
      </c>
      <c r="D4217" t="s">
        <v>22</v>
      </c>
      <c r="E4217" t="s">
        <v>52</v>
      </c>
      <c r="F4217" t="s">
        <v>927</v>
      </c>
      <c r="G4217" t="s">
        <v>5052</v>
      </c>
      <c r="H4217" t="str">
        <f t="shared" si="304"/>
        <v>84250</v>
      </c>
      <c r="I4217" t="s">
        <v>4834</v>
      </c>
      <c r="J4217" t="s">
        <v>258</v>
      </c>
      <c r="K4217" t="s">
        <v>161</v>
      </c>
      <c r="L4217" t="s">
        <v>2069</v>
      </c>
    </row>
    <row r="4218" spans="1:12" x14ac:dyDescent="0.3">
      <c r="A4218" t="str">
        <f>"63414368"</f>
        <v>63414368</v>
      </c>
      <c r="B4218" t="s">
        <v>8224</v>
      </c>
      <c r="C4218" t="str">
        <f t="shared" si="305"/>
        <v>736</v>
      </c>
      <c r="D4218" t="s">
        <v>22</v>
      </c>
      <c r="E4218" t="s">
        <v>83</v>
      </c>
      <c r="F4218" t="s">
        <v>183</v>
      </c>
      <c r="G4218" t="s">
        <v>8225</v>
      </c>
      <c r="H4218" t="str">
        <f t="shared" si="304"/>
        <v>84250</v>
      </c>
      <c r="I4218" t="s">
        <v>4834</v>
      </c>
      <c r="J4218" t="s">
        <v>258</v>
      </c>
      <c r="K4218" t="s">
        <v>161</v>
      </c>
      <c r="L4218" t="s">
        <v>2069</v>
      </c>
    </row>
    <row r="4219" spans="1:12" x14ac:dyDescent="0.3">
      <c r="A4219" t="str">
        <f>"63458713"</f>
        <v>63458713</v>
      </c>
      <c r="B4219" t="s">
        <v>8226</v>
      </c>
      <c r="C4219" t="str">
        <f t="shared" si="305"/>
        <v>736</v>
      </c>
      <c r="D4219" t="s">
        <v>22</v>
      </c>
      <c r="E4219" t="s">
        <v>83</v>
      </c>
      <c r="F4219" t="s">
        <v>2703</v>
      </c>
      <c r="G4219" t="s">
        <v>8227</v>
      </c>
      <c r="H4219" t="str">
        <f t="shared" si="304"/>
        <v>84250</v>
      </c>
      <c r="I4219" t="s">
        <v>4834</v>
      </c>
      <c r="J4219" t="s">
        <v>258</v>
      </c>
      <c r="K4219" t="s">
        <v>161</v>
      </c>
      <c r="L4219" t="s">
        <v>2069</v>
      </c>
    </row>
    <row r="4220" spans="1:12" x14ac:dyDescent="0.3">
      <c r="A4220" t="str">
        <f>"68729553"</f>
        <v>68729553</v>
      </c>
      <c r="B4220" t="s">
        <v>8228</v>
      </c>
      <c r="C4220" t="str">
        <f t="shared" si="305"/>
        <v>736</v>
      </c>
      <c r="D4220" t="s">
        <v>22</v>
      </c>
      <c r="E4220" t="s">
        <v>23</v>
      </c>
      <c r="F4220" t="s">
        <v>8229</v>
      </c>
      <c r="G4220" t="s">
        <v>8230</v>
      </c>
      <c r="H4220" t="str">
        <f t="shared" si="304"/>
        <v>84250</v>
      </c>
      <c r="I4220" t="s">
        <v>4834</v>
      </c>
      <c r="J4220" t="s">
        <v>258</v>
      </c>
      <c r="K4220" t="s">
        <v>161</v>
      </c>
      <c r="L4220" t="s">
        <v>2069</v>
      </c>
    </row>
    <row r="4221" spans="1:12" x14ac:dyDescent="0.3">
      <c r="A4221" t="str">
        <f>"65891376"</f>
        <v>65891376</v>
      </c>
      <c r="B4221" t="s">
        <v>8231</v>
      </c>
      <c r="C4221" t="str">
        <f t="shared" si="305"/>
        <v>736</v>
      </c>
      <c r="D4221" t="s">
        <v>22</v>
      </c>
      <c r="E4221" t="s">
        <v>29</v>
      </c>
      <c r="F4221" t="s">
        <v>271</v>
      </c>
      <c r="G4221" t="s">
        <v>8232</v>
      </c>
      <c r="H4221" t="str">
        <f t="shared" si="304"/>
        <v>84250</v>
      </c>
      <c r="I4221" t="s">
        <v>4834</v>
      </c>
    </row>
    <row r="4222" spans="1:12" x14ac:dyDescent="0.3">
      <c r="A4222" t="str">
        <f>"65325435"</f>
        <v>65325435</v>
      </c>
      <c r="B4222" t="s">
        <v>8233</v>
      </c>
      <c r="C4222" t="str">
        <f t="shared" si="305"/>
        <v>736</v>
      </c>
      <c r="D4222" t="s">
        <v>22</v>
      </c>
      <c r="E4222" t="s">
        <v>52</v>
      </c>
      <c r="F4222" t="s">
        <v>2038</v>
      </c>
      <c r="G4222" t="s">
        <v>8234</v>
      </c>
      <c r="H4222" t="str">
        <f t="shared" si="304"/>
        <v>84250</v>
      </c>
      <c r="I4222" t="s">
        <v>4834</v>
      </c>
      <c r="J4222" t="s">
        <v>258</v>
      </c>
      <c r="K4222" t="s">
        <v>161</v>
      </c>
      <c r="L4222" t="s">
        <v>2069</v>
      </c>
    </row>
    <row r="4223" spans="1:12" x14ac:dyDescent="0.3">
      <c r="A4223" t="str">
        <f>"65274431"</f>
        <v>65274431</v>
      </c>
      <c r="B4223" t="s">
        <v>8235</v>
      </c>
      <c r="C4223" t="str">
        <f t="shared" si="305"/>
        <v>736</v>
      </c>
      <c r="D4223" t="s">
        <v>22</v>
      </c>
      <c r="E4223" t="s">
        <v>83</v>
      </c>
      <c r="F4223" t="s">
        <v>1425</v>
      </c>
      <c r="G4223" t="s">
        <v>8236</v>
      </c>
      <c r="H4223" t="str">
        <f t="shared" si="304"/>
        <v>84250</v>
      </c>
      <c r="I4223" t="s">
        <v>4834</v>
      </c>
      <c r="J4223" t="s">
        <v>258</v>
      </c>
      <c r="K4223" t="s">
        <v>161</v>
      </c>
      <c r="L4223" t="s">
        <v>2069</v>
      </c>
    </row>
    <row r="4224" spans="1:12" x14ac:dyDescent="0.3">
      <c r="A4224" t="str">
        <f>"65325133"</f>
        <v>65325133</v>
      </c>
      <c r="B4224" t="s">
        <v>8237</v>
      </c>
      <c r="C4224" t="str">
        <f t="shared" si="305"/>
        <v>736</v>
      </c>
      <c r="D4224" t="s">
        <v>22</v>
      </c>
      <c r="E4224" t="s">
        <v>52</v>
      </c>
      <c r="F4224" t="s">
        <v>1829</v>
      </c>
      <c r="G4224" t="s">
        <v>8238</v>
      </c>
      <c r="H4224" t="str">
        <f t="shared" si="304"/>
        <v>84250</v>
      </c>
      <c r="I4224" t="s">
        <v>4834</v>
      </c>
    </row>
    <row r="4225" spans="1:12" x14ac:dyDescent="0.3">
      <c r="A4225" t="str">
        <f>"65270142"</f>
        <v>65270142</v>
      </c>
      <c r="B4225" t="s">
        <v>8239</v>
      </c>
      <c r="C4225" t="str">
        <f t="shared" si="305"/>
        <v>736</v>
      </c>
      <c r="D4225" t="s">
        <v>22</v>
      </c>
      <c r="E4225" t="s">
        <v>83</v>
      </c>
      <c r="F4225" t="s">
        <v>4274</v>
      </c>
      <c r="G4225" t="s">
        <v>8240</v>
      </c>
      <c r="H4225" t="str">
        <f t="shared" si="304"/>
        <v>84250</v>
      </c>
      <c r="I4225" t="s">
        <v>4834</v>
      </c>
    </row>
    <row r="4226" spans="1:12" x14ac:dyDescent="0.3">
      <c r="A4226" t="str">
        <f>"65324897"</f>
        <v>65324897</v>
      </c>
      <c r="B4226" t="s">
        <v>8241</v>
      </c>
      <c r="C4226" t="str">
        <f t="shared" si="305"/>
        <v>736</v>
      </c>
      <c r="D4226" t="s">
        <v>22</v>
      </c>
      <c r="E4226" t="s">
        <v>52</v>
      </c>
      <c r="F4226" t="s">
        <v>1625</v>
      </c>
      <c r="G4226" t="s">
        <v>8242</v>
      </c>
      <c r="H4226" t="str">
        <f t="shared" si="304"/>
        <v>84250</v>
      </c>
      <c r="I4226" t="s">
        <v>4834</v>
      </c>
    </row>
    <row r="4227" spans="1:12" x14ac:dyDescent="0.3">
      <c r="A4227" t="str">
        <f>"65270371"</f>
        <v>65270371</v>
      </c>
      <c r="B4227" t="s">
        <v>8243</v>
      </c>
      <c r="C4227" t="str">
        <f t="shared" si="305"/>
        <v>736</v>
      </c>
      <c r="D4227" t="s">
        <v>22</v>
      </c>
      <c r="E4227" t="s">
        <v>83</v>
      </c>
      <c r="F4227" t="s">
        <v>230</v>
      </c>
      <c r="G4227" t="s">
        <v>8244</v>
      </c>
      <c r="H4227" t="str">
        <f t="shared" si="304"/>
        <v>84250</v>
      </c>
      <c r="I4227" t="s">
        <v>4834</v>
      </c>
    </row>
    <row r="4228" spans="1:12" x14ac:dyDescent="0.3">
      <c r="A4228" t="str">
        <f>"65324811"</f>
        <v>65324811</v>
      </c>
      <c r="B4228" t="s">
        <v>8245</v>
      </c>
      <c r="C4228" t="str">
        <f t="shared" si="305"/>
        <v>736</v>
      </c>
      <c r="D4228" t="s">
        <v>22</v>
      </c>
      <c r="E4228" t="s">
        <v>52</v>
      </c>
      <c r="F4228" t="s">
        <v>4748</v>
      </c>
      <c r="G4228" t="s">
        <v>4749</v>
      </c>
      <c r="H4228" t="str">
        <f t="shared" si="304"/>
        <v>84250</v>
      </c>
      <c r="I4228" t="s">
        <v>4834</v>
      </c>
      <c r="J4228" t="s">
        <v>258</v>
      </c>
      <c r="K4228" t="s">
        <v>161</v>
      </c>
      <c r="L4228" t="s">
        <v>2069</v>
      </c>
    </row>
    <row r="4229" spans="1:12" x14ac:dyDescent="0.3">
      <c r="A4229" t="str">
        <f>"04779401"</f>
        <v>04779401</v>
      </c>
      <c r="B4229" t="s">
        <v>8246</v>
      </c>
      <c r="C4229" t="str">
        <f t="shared" si="305"/>
        <v>736</v>
      </c>
      <c r="D4229" t="s">
        <v>22</v>
      </c>
      <c r="E4229" t="s">
        <v>29</v>
      </c>
      <c r="F4229" t="s">
        <v>1926</v>
      </c>
      <c r="G4229" t="s">
        <v>2587</v>
      </c>
      <c r="H4229" t="str">
        <f t="shared" si="304"/>
        <v>84250</v>
      </c>
      <c r="I4229" t="s">
        <v>4834</v>
      </c>
    </row>
    <row r="4230" spans="1:12" x14ac:dyDescent="0.3">
      <c r="A4230" t="str">
        <f>"47930331"</f>
        <v>47930331</v>
      </c>
      <c r="B4230" t="s">
        <v>8247</v>
      </c>
      <c r="C4230" t="str">
        <f t="shared" si="305"/>
        <v>736</v>
      </c>
      <c r="D4230" t="s">
        <v>22</v>
      </c>
      <c r="E4230" t="s">
        <v>83</v>
      </c>
      <c r="F4230" t="s">
        <v>83</v>
      </c>
      <c r="G4230" t="s">
        <v>7989</v>
      </c>
      <c r="H4230" t="str">
        <f t="shared" si="304"/>
        <v>84250</v>
      </c>
      <c r="I4230" t="s">
        <v>4834</v>
      </c>
    </row>
    <row r="4231" spans="1:12" x14ac:dyDescent="0.3">
      <c r="A4231" t="str">
        <f>"65792815"</f>
        <v>65792815</v>
      </c>
      <c r="B4231" t="s">
        <v>8248</v>
      </c>
      <c r="C4231" t="str">
        <f t="shared" si="305"/>
        <v>736</v>
      </c>
      <c r="D4231" t="s">
        <v>22</v>
      </c>
      <c r="E4231" t="s">
        <v>23</v>
      </c>
      <c r="F4231" t="s">
        <v>3268</v>
      </c>
      <c r="G4231" t="s">
        <v>8249</v>
      </c>
      <c r="H4231" t="str">
        <f t="shared" si="304"/>
        <v>84250</v>
      </c>
      <c r="I4231" t="s">
        <v>4834</v>
      </c>
    </row>
    <row r="4232" spans="1:12" x14ac:dyDescent="0.3">
      <c r="A4232" t="str">
        <f>"65324765"</f>
        <v>65324765</v>
      </c>
      <c r="B4232" t="s">
        <v>8250</v>
      </c>
      <c r="C4232" t="str">
        <f t="shared" si="305"/>
        <v>736</v>
      </c>
      <c r="D4232" t="s">
        <v>22</v>
      </c>
      <c r="E4232" t="s">
        <v>52</v>
      </c>
      <c r="F4232" t="s">
        <v>673</v>
      </c>
      <c r="G4232" t="s">
        <v>5261</v>
      </c>
      <c r="H4232" t="str">
        <f t="shared" ref="H4232:H4259" si="306">"84250"</f>
        <v>84250</v>
      </c>
      <c r="I4232" t="s">
        <v>4834</v>
      </c>
      <c r="J4232" t="s">
        <v>258</v>
      </c>
      <c r="K4232" t="s">
        <v>161</v>
      </c>
      <c r="L4232" t="s">
        <v>2069</v>
      </c>
    </row>
    <row r="4233" spans="1:12" x14ac:dyDescent="0.3">
      <c r="A4233" t="str">
        <f>"64123936"</f>
        <v>64123936</v>
      </c>
      <c r="B4233" t="s">
        <v>8251</v>
      </c>
      <c r="C4233" t="str">
        <f t="shared" si="305"/>
        <v>736</v>
      </c>
      <c r="D4233" t="s">
        <v>22</v>
      </c>
      <c r="E4233" t="s">
        <v>29</v>
      </c>
      <c r="F4233" t="s">
        <v>234</v>
      </c>
      <c r="G4233" t="s">
        <v>5568</v>
      </c>
      <c r="H4233" t="str">
        <f t="shared" si="306"/>
        <v>84250</v>
      </c>
      <c r="I4233" t="s">
        <v>4834</v>
      </c>
      <c r="J4233" t="s">
        <v>258</v>
      </c>
      <c r="K4233" t="s">
        <v>161</v>
      </c>
      <c r="L4233" t="s">
        <v>2069</v>
      </c>
    </row>
    <row r="4234" spans="1:12" x14ac:dyDescent="0.3">
      <c r="A4234" t="str">
        <f>"61703389"</f>
        <v>61703389</v>
      </c>
      <c r="B4234" t="s">
        <v>8251</v>
      </c>
      <c r="C4234" t="str">
        <f t="shared" si="305"/>
        <v>736</v>
      </c>
      <c r="D4234" t="s">
        <v>22</v>
      </c>
      <c r="E4234" t="s">
        <v>52</v>
      </c>
      <c r="F4234" t="s">
        <v>234</v>
      </c>
      <c r="G4234" t="s">
        <v>8252</v>
      </c>
      <c r="H4234" t="str">
        <f t="shared" si="306"/>
        <v>84250</v>
      </c>
      <c r="I4234" t="s">
        <v>4834</v>
      </c>
      <c r="J4234" t="s">
        <v>258</v>
      </c>
      <c r="K4234" t="s">
        <v>161</v>
      </c>
      <c r="L4234" t="s">
        <v>2069</v>
      </c>
    </row>
    <row r="4235" spans="1:12" x14ac:dyDescent="0.3">
      <c r="A4235" t="str">
        <f>"63459060"</f>
        <v>63459060</v>
      </c>
      <c r="B4235" t="s">
        <v>8253</v>
      </c>
      <c r="C4235" t="str">
        <f t="shared" si="305"/>
        <v>736</v>
      </c>
      <c r="D4235" t="s">
        <v>22</v>
      </c>
      <c r="E4235" t="s">
        <v>83</v>
      </c>
      <c r="F4235" t="s">
        <v>1532</v>
      </c>
      <c r="G4235" t="s">
        <v>5036</v>
      </c>
      <c r="H4235" t="str">
        <f t="shared" si="306"/>
        <v>84250</v>
      </c>
      <c r="I4235" t="s">
        <v>4834</v>
      </c>
      <c r="J4235" t="s">
        <v>258</v>
      </c>
      <c r="K4235" t="s">
        <v>161</v>
      </c>
      <c r="L4235" t="s">
        <v>2069</v>
      </c>
    </row>
    <row r="4236" spans="1:12" x14ac:dyDescent="0.3">
      <c r="A4236" t="str">
        <f>"75065258"</f>
        <v>75065258</v>
      </c>
      <c r="B4236" t="s">
        <v>8254</v>
      </c>
      <c r="C4236" t="str">
        <f t="shared" si="305"/>
        <v>736</v>
      </c>
      <c r="D4236" t="s">
        <v>22</v>
      </c>
      <c r="E4236" t="s">
        <v>83</v>
      </c>
      <c r="F4236" t="s">
        <v>409</v>
      </c>
      <c r="G4236" t="s">
        <v>8255</v>
      </c>
      <c r="H4236" t="str">
        <f t="shared" si="306"/>
        <v>84250</v>
      </c>
      <c r="I4236" t="s">
        <v>4834</v>
      </c>
      <c r="J4236" t="s">
        <v>258</v>
      </c>
      <c r="K4236" t="s">
        <v>161</v>
      </c>
      <c r="L4236" t="s">
        <v>2069</v>
      </c>
    </row>
    <row r="4237" spans="1:12" x14ac:dyDescent="0.3">
      <c r="A4237" t="str">
        <f>"65793056"</f>
        <v>65793056</v>
      </c>
      <c r="B4237" t="s">
        <v>8256</v>
      </c>
      <c r="C4237" t="str">
        <f t="shared" si="305"/>
        <v>736</v>
      </c>
      <c r="D4237" t="s">
        <v>22</v>
      </c>
      <c r="E4237" t="s">
        <v>23</v>
      </c>
      <c r="F4237" t="s">
        <v>24</v>
      </c>
      <c r="G4237" t="s">
        <v>8257</v>
      </c>
      <c r="H4237" t="str">
        <f t="shared" si="306"/>
        <v>84250</v>
      </c>
      <c r="I4237" t="s">
        <v>4834</v>
      </c>
      <c r="J4237" t="s">
        <v>258</v>
      </c>
      <c r="K4237" t="s">
        <v>161</v>
      </c>
      <c r="L4237" t="s">
        <v>2069</v>
      </c>
    </row>
    <row r="4238" spans="1:12" x14ac:dyDescent="0.3">
      <c r="A4238" t="str">
        <f>"63414724"</f>
        <v>63414724</v>
      </c>
      <c r="B4238" t="s">
        <v>8258</v>
      </c>
      <c r="C4238" t="str">
        <f t="shared" si="305"/>
        <v>736</v>
      </c>
      <c r="D4238" t="s">
        <v>22</v>
      </c>
      <c r="E4238" t="s">
        <v>83</v>
      </c>
      <c r="F4238" t="s">
        <v>4471</v>
      </c>
      <c r="G4238" t="s">
        <v>8259</v>
      </c>
      <c r="H4238" t="str">
        <f t="shared" si="306"/>
        <v>84250</v>
      </c>
      <c r="I4238" t="s">
        <v>4834</v>
      </c>
      <c r="J4238" t="s">
        <v>258</v>
      </c>
      <c r="K4238" t="s">
        <v>161</v>
      </c>
      <c r="L4238" t="s">
        <v>2069</v>
      </c>
    </row>
    <row r="4239" spans="1:12" x14ac:dyDescent="0.3">
      <c r="A4239" t="str">
        <f>"63701847"</f>
        <v>63701847</v>
      </c>
      <c r="B4239" t="s">
        <v>8260</v>
      </c>
      <c r="C4239" t="str">
        <f t="shared" si="305"/>
        <v>736</v>
      </c>
      <c r="D4239" t="s">
        <v>22</v>
      </c>
      <c r="E4239" t="s">
        <v>29</v>
      </c>
      <c r="F4239" t="s">
        <v>1836</v>
      </c>
      <c r="G4239" t="s">
        <v>8261</v>
      </c>
      <c r="H4239" t="str">
        <f t="shared" si="306"/>
        <v>84250</v>
      </c>
      <c r="I4239" t="s">
        <v>4834</v>
      </c>
    </row>
    <row r="4240" spans="1:12" x14ac:dyDescent="0.3">
      <c r="A4240" t="str">
        <f>"63459442"</f>
        <v>63459442</v>
      </c>
      <c r="B4240" t="s">
        <v>8262</v>
      </c>
      <c r="C4240" t="str">
        <f t="shared" si="305"/>
        <v>736</v>
      </c>
      <c r="D4240" t="s">
        <v>22</v>
      </c>
      <c r="E4240" t="s">
        <v>83</v>
      </c>
      <c r="F4240" t="s">
        <v>5486</v>
      </c>
      <c r="G4240" t="s">
        <v>5487</v>
      </c>
      <c r="H4240" t="str">
        <f t="shared" si="306"/>
        <v>84250</v>
      </c>
      <c r="I4240" t="s">
        <v>4834</v>
      </c>
      <c r="J4240" t="s">
        <v>258</v>
      </c>
      <c r="K4240" t="s">
        <v>161</v>
      </c>
      <c r="L4240" t="s">
        <v>2069</v>
      </c>
    </row>
    <row r="4241" spans="1:13" x14ac:dyDescent="0.3">
      <c r="A4241" t="str">
        <f>"63701812"</f>
        <v>63701812</v>
      </c>
      <c r="B4241" t="s">
        <v>8263</v>
      </c>
      <c r="C4241" t="str">
        <f t="shared" si="305"/>
        <v>736</v>
      </c>
      <c r="D4241" t="s">
        <v>22</v>
      </c>
      <c r="E4241" t="s">
        <v>29</v>
      </c>
      <c r="F4241" t="s">
        <v>1839</v>
      </c>
      <c r="G4241" t="s">
        <v>2841</v>
      </c>
      <c r="H4241" t="str">
        <f t="shared" si="306"/>
        <v>84250</v>
      </c>
      <c r="I4241" t="s">
        <v>4834</v>
      </c>
      <c r="J4241" t="s">
        <v>258</v>
      </c>
      <c r="K4241" t="s">
        <v>2069</v>
      </c>
      <c r="L4241" t="s">
        <v>161</v>
      </c>
    </row>
    <row r="4242" spans="1:13" x14ac:dyDescent="0.3">
      <c r="A4242" t="str">
        <f>"65469275"</f>
        <v>65469275</v>
      </c>
      <c r="B4242" t="s">
        <v>8264</v>
      </c>
      <c r="C4242" t="str">
        <f t="shared" si="305"/>
        <v>736</v>
      </c>
      <c r="D4242" t="s">
        <v>22</v>
      </c>
      <c r="E4242" t="s">
        <v>29</v>
      </c>
      <c r="F4242" t="s">
        <v>135</v>
      </c>
      <c r="G4242" t="s">
        <v>2594</v>
      </c>
      <c r="H4242" t="str">
        <f t="shared" si="306"/>
        <v>84250</v>
      </c>
      <c r="I4242" t="s">
        <v>4834</v>
      </c>
      <c r="J4242" t="s">
        <v>258</v>
      </c>
      <c r="K4242" t="s">
        <v>161</v>
      </c>
      <c r="L4242" t="s">
        <v>2069</v>
      </c>
    </row>
    <row r="4243" spans="1:13" x14ac:dyDescent="0.3">
      <c r="A4243" t="str">
        <f>"65792548"</f>
        <v>65792548</v>
      </c>
      <c r="B4243" t="s">
        <v>8265</v>
      </c>
      <c r="C4243" t="str">
        <f t="shared" si="305"/>
        <v>736</v>
      </c>
      <c r="D4243" t="s">
        <v>22</v>
      </c>
      <c r="E4243" t="s">
        <v>23</v>
      </c>
      <c r="F4243" t="s">
        <v>2706</v>
      </c>
      <c r="G4243" t="s">
        <v>8014</v>
      </c>
      <c r="H4243" t="str">
        <f t="shared" si="306"/>
        <v>84250</v>
      </c>
      <c r="I4243" t="s">
        <v>4834</v>
      </c>
      <c r="J4243" t="s">
        <v>258</v>
      </c>
      <c r="K4243" t="s">
        <v>161</v>
      </c>
      <c r="L4243" t="s">
        <v>2069</v>
      </c>
    </row>
    <row r="4244" spans="1:13" x14ac:dyDescent="0.3">
      <c r="A4244" t="str">
        <f>"63414473"</f>
        <v>63414473</v>
      </c>
      <c r="B4244" t="s">
        <v>8265</v>
      </c>
      <c r="C4244" t="str">
        <f t="shared" si="305"/>
        <v>736</v>
      </c>
      <c r="D4244" t="s">
        <v>22</v>
      </c>
      <c r="E4244" t="s">
        <v>83</v>
      </c>
      <c r="F4244" t="s">
        <v>1867</v>
      </c>
      <c r="G4244" t="s">
        <v>8266</v>
      </c>
      <c r="H4244" t="str">
        <f t="shared" si="306"/>
        <v>84250</v>
      </c>
      <c r="I4244" t="s">
        <v>4834</v>
      </c>
      <c r="J4244" t="s">
        <v>258</v>
      </c>
      <c r="K4244" t="s">
        <v>161</v>
      </c>
      <c r="L4244" t="s">
        <v>2069</v>
      </c>
    </row>
    <row r="4245" spans="1:13" x14ac:dyDescent="0.3">
      <c r="A4245" t="str">
        <f>"65891368"</f>
        <v>65891368</v>
      </c>
      <c r="B4245" t="s">
        <v>8265</v>
      </c>
      <c r="C4245" t="str">
        <f t="shared" si="305"/>
        <v>736</v>
      </c>
      <c r="D4245" t="s">
        <v>22</v>
      </c>
      <c r="E4245" t="s">
        <v>29</v>
      </c>
      <c r="F4245" t="s">
        <v>271</v>
      </c>
      <c r="G4245" t="s">
        <v>8267</v>
      </c>
      <c r="H4245" t="str">
        <f t="shared" si="306"/>
        <v>84250</v>
      </c>
      <c r="I4245" t="s">
        <v>4834</v>
      </c>
      <c r="J4245" t="s">
        <v>258</v>
      </c>
      <c r="K4245" t="s">
        <v>161</v>
      </c>
      <c r="L4245" t="s">
        <v>2069</v>
      </c>
    </row>
    <row r="4246" spans="1:13" x14ac:dyDescent="0.3">
      <c r="A4246" t="str">
        <f>"63701499"</f>
        <v>63701499</v>
      </c>
      <c r="B4246" t="s">
        <v>8268</v>
      </c>
      <c r="C4246" t="str">
        <f t="shared" si="305"/>
        <v>736</v>
      </c>
      <c r="D4246" t="s">
        <v>22</v>
      </c>
      <c r="E4246" t="s">
        <v>29</v>
      </c>
      <c r="F4246" t="s">
        <v>2591</v>
      </c>
      <c r="G4246" t="s">
        <v>5489</v>
      </c>
      <c r="H4246" t="str">
        <f t="shared" si="306"/>
        <v>84250</v>
      </c>
      <c r="I4246" t="s">
        <v>4834</v>
      </c>
      <c r="J4246" t="s">
        <v>258</v>
      </c>
      <c r="K4246" t="s">
        <v>161</v>
      </c>
      <c r="L4246" t="s">
        <v>2069</v>
      </c>
    </row>
    <row r="4247" spans="1:13" x14ac:dyDescent="0.3">
      <c r="A4247" t="str">
        <f>"65325338"</f>
        <v>65325338</v>
      </c>
      <c r="B4247" t="s">
        <v>8269</v>
      </c>
      <c r="C4247" t="str">
        <f t="shared" si="305"/>
        <v>736</v>
      </c>
      <c r="D4247" t="s">
        <v>22</v>
      </c>
      <c r="E4247" t="s">
        <v>52</v>
      </c>
      <c r="F4247" t="s">
        <v>1257</v>
      </c>
      <c r="G4247" t="s">
        <v>8270</v>
      </c>
      <c r="H4247" t="str">
        <f t="shared" si="306"/>
        <v>84250</v>
      </c>
      <c r="I4247" t="s">
        <v>4834</v>
      </c>
    </row>
    <row r="4248" spans="1:13" x14ac:dyDescent="0.3">
      <c r="A4248" t="str">
        <f>"65469283"</f>
        <v>65469283</v>
      </c>
      <c r="B4248" t="s">
        <v>8271</v>
      </c>
      <c r="C4248" t="str">
        <f t="shared" si="305"/>
        <v>736</v>
      </c>
      <c r="D4248" t="s">
        <v>22</v>
      </c>
      <c r="E4248" t="s">
        <v>29</v>
      </c>
      <c r="F4248" t="s">
        <v>135</v>
      </c>
      <c r="G4248" t="s">
        <v>8272</v>
      </c>
      <c r="H4248" t="str">
        <f t="shared" si="306"/>
        <v>84250</v>
      </c>
      <c r="I4248" t="s">
        <v>4834</v>
      </c>
    </row>
    <row r="4249" spans="1:13" x14ac:dyDescent="0.3">
      <c r="A4249" t="str">
        <f>"65822714"</f>
        <v>65822714</v>
      </c>
      <c r="B4249" t="s">
        <v>8273</v>
      </c>
      <c r="C4249" t="str">
        <f t="shared" si="305"/>
        <v>736</v>
      </c>
      <c r="D4249" t="s">
        <v>22</v>
      </c>
      <c r="E4249" t="s">
        <v>23</v>
      </c>
      <c r="F4249" t="s">
        <v>8274</v>
      </c>
      <c r="G4249" t="s">
        <v>8275</v>
      </c>
      <c r="H4249" t="str">
        <f t="shared" si="306"/>
        <v>84250</v>
      </c>
      <c r="I4249" t="s">
        <v>4834</v>
      </c>
    </row>
    <row r="4250" spans="1:13" x14ac:dyDescent="0.3">
      <c r="A4250" t="str">
        <f>"63414031"</f>
        <v>63414031</v>
      </c>
      <c r="B4250" t="s">
        <v>8276</v>
      </c>
      <c r="C4250" t="str">
        <f t="shared" si="305"/>
        <v>736</v>
      </c>
      <c r="D4250" t="s">
        <v>22</v>
      </c>
      <c r="E4250" t="s">
        <v>83</v>
      </c>
      <c r="F4250" t="s">
        <v>540</v>
      </c>
      <c r="G4250" t="s">
        <v>8277</v>
      </c>
      <c r="H4250" t="str">
        <f t="shared" si="306"/>
        <v>84250</v>
      </c>
      <c r="I4250" t="s">
        <v>4834</v>
      </c>
    </row>
    <row r="4251" spans="1:13" x14ac:dyDescent="0.3">
      <c r="A4251" t="str">
        <f>"63701839"</f>
        <v>63701839</v>
      </c>
      <c r="B4251" t="s">
        <v>8278</v>
      </c>
      <c r="C4251" t="str">
        <f t="shared" si="305"/>
        <v>736</v>
      </c>
      <c r="D4251" t="s">
        <v>22</v>
      </c>
      <c r="E4251" t="s">
        <v>29</v>
      </c>
      <c r="F4251" t="s">
        <v>702</v>
      </c>
      <c r="G4251" t="s">
        <v>8033</v>
      </c>
      <c r="H4251" t="str">
        <f t="shared" si="306"/>
        <v>84250</v>
      </c>
      <c r="I4251" t="s">
        <v>4834</v>
      </c>
    </row>
    <row r="4252" spans="1:13" x14ac:dyDescent="0.3">
      <c r="A4252" t="str">
        <f>"65822331"</f>
        <v>65822331</v>
      </c>
      <c r="B4252" t="s">
        <v>8279</v>
      </c>
      <c r="C4252" t="str">
        <f t="shared" si="305"/>
        <v>736</v>
      </c>
      <c r="D4252" t="s">
        <v>22</v>
      </c>
      <c r="E4252" t="s">
        <v>23</v>
      </c>
      <c r="F4252" t="s">
        <v>1581</v>
      </c>
      <c r="G4252" t="s">
        <v>8280</v>
      </c>
      <c r="H4252" t="str">
        <f t="shared" si="306"/>
        <v>84250</v>
      </c>
      <c r="I4252" t="s">
        <v>4834</v>
      </c>
    </row>
    <row r="4253" spans="1:13" x14ac:dyDescent="0.3">
      <c r="A4253" t="str">
        <f>"65792734"</f>
        <v>65792734</v>
      </c>
      <c r="B4253" t="s">
        <v>8281</v>
      </c>
      <c r="C4253" t="str">
        <f t="shared" si="305"/>
        <v>736</v>
      </c>
      <c r="D4253" t="s">
        <v>22</v>
      </c>
      <c r="E4253" t="s">
        <v>23</v>
      </c>
      <c r="F4253" t="s">
        <v>107</v>
      </c>
      <c r="G4253" t="s">
        <v>8282</v>
      </c>
      <c r="H4253" t="str">
        <f t="shared" si="306"/>
        <v>84250</v>
      </c>
      <c r="I4253" t="s">
        <v>4834</v>
      </c>
      <c r="J4253" t="s">
        <v>258</v>
      </c>
      <c r="K4253" t="s">
        <v>161</v>
      </c>
      <c r="L4253" t="s">
        <v>2069</v>
      </c>
    </row>
    <row r="4254" spans="1:13" x14ac:dyDescent="0.3">
      <c r="A4254" t="str">
        <f>"65822528"</f>
        <v>65822528</v>
      </c>
      <c r="B4254" t="s">
        <v>8283</v>
      </c>
      <c r="C4254" t="str">
        <f t="shared" si="305"/>
        <v>736</v>
      </c>
      <c r="D4254" t="s">
        <v>22</v>
      </c>
      <c r="E4254" t="s">
        <v>23</v>
      </c>
      <c r="F4254" t="s">
        <v>4891</v>
      </c>
      <c r="G4254" t="s">
        <v>8284</v>
      </c>
      <c r="H4254" t="str">
        <f t="shared" si="306"/>
        <v>84250</v>
      </c>
      <c r="I4254" t="s">
        <v>4834</v>
      </c>
      <c r="J4254" t="s">
        <v>258</v>
      </c>
      <c r="K4254" t="s">
        <v>161</v>
      </c>
      <c r="L4254" t="s">
        <v>2069</v>
      </c>
    </row>
    <row r="4255" spans="1:13" x14ac:dyDescent="0.3">
      <c r="A4255" t="str">
        <f>"63701537"</f>
        <v>63701537</v>
      </c>
      <c r="B4255" t="s">
        <v>8285</v>
      </c>
      <c r="C4255" t="str">
        <f t="shared" si="305"/>
        <v>736</v>
      </c>
      <c r="D4255" t="s">
        <v>22</v>
      </c>
      <c r="E4255" t="s">
        <v>29</v>
      </c>
      <c r="F4255" t="s">
        <v>676</v>
      </c>
      <c r="G4255" t="s">
        <v>8286</v>
      </c>
      <c r="H4255" t="str">
        <f t="shared" si="306"/>
        <v>84250</v>
      </c>
      <c r="I4255" t="s">
        <v>4834</v>
      </c>
      <c r="J4255" t="s">
        <v>258</v>
      </c>
      <c r="K4255" t="s">
        <v>5966</v>
      </c>
      <c r="L4255" t="s">
        <v>161</v>
      </c>
      <c r="M4255" t="s">
        <v>2069</v>
      </c>
    </row>
    <row r="4256" spans="1:13" x14ac:dyDescent="0.3">
      <c r="A4256" t="str">
        <f>"60383313"</f>
        <v>60383313</v>
      </c>
      <c r="B4256" t="s">
        <v>8287</v>
      </c>
      <c r="C4256" t="str">
        <f t="shared" si="305"/>
        <v>736</v>
      </c>
      <c r="D4256" t="s">
        <v>22</v>
      </c>
      <c r="E4256" t="s">
        <v>83</v>
      </c>
      <c r="F4256" t="s">
        <v>1425</v>
      </c>
      <c r="G4256" t="s">
        <v>8288</v>
      </c>
      <c r="H4256" t="str">
        <f t="shared" si="306"/>
        <v>84250</v>
      </c>
      <c r="I4256" t="s">
        <v>4834</v>
      </c>
      <c r="J4256" t="s">
        <v>161</v>
      </c>
      <c r="K4256" t="s">
        <v>2069</v>
      </c>
    </row>
    <row r="4257" spans="1:12" x14ac:dyDescent="0.3">
      <c r="A4257" t="str">
        <f>"71221417"</f>
        <v>71221417</v>
      </c>
      <c r="B4257" t="s">
        <v>8289</v>
      </c>
      <c r="C4257" t="str">
        <f t="shared" si="305"/>
        <v>736</v>
      </c>
      <c r="D4257" t="s">
        <v>22</v>
      </c>
      <c r="E4257" t="s">
        <v>83</v>
      </c>
      <c r="F4257" t="s">
        <v>1846</v>
      </c>
      <c r="G4257" t="s">
        <v>7741</v>
      </c>
      <c r="H4257" t="str">
        <f t="shared" si="306"/>
        <v>84250</v>
      </c>
      <c r="I4257" t="s">
        <v>4834</v>
      </c>
      <c r="J4257" t="s">
        <v>258</v>
      </c>
      <c r="K4257" t="s">
        <v>161</v>
      </c>
      <c r="L4257" t="s">
        <v>2069</v>
      </c>
    </row>
    <row r="4258" spans="1:12" x14ac:dyDescent="0.3">
      <c r="A4258" t="str">
        <f>"63701995"</f>
        <v>63701995</v>
      </c>
      <c r="B4258" t="s">
        <v>8290</v>
      </c>
      <c r="C4258" t="str">
        <f t="shared" si="305"/>
        <v>736</v>
      </c>
      <c r="D4258" t="s">
        <v>22</v>
      </c>
      <c r="E4258" t="s">
        <v>29</v>
      </c>
      <c r="F4258" t="s">
        <v>306</v>
      </c>
      <c r="G4258" t="s">
        <v>5263</v>
      </c>
      <c r="H4258" t="str">
        <f t="shared" si="306"/>
        <v>84250</v>
      </c>
      <c r="I4258" t="s">
        <v>4834</v>
      </c>
    </row>
    <row r="4259" spans="1:12" x14ac:dyDescent="0.3">
      <c r="A4259" t="str">
        <f>"68729570"</f>
        <v>68729570</v>
      </c>
      <c r="B4259" t="s">
        <v>8290</v>
      </c>
      <c r="C4259" t="str">
        <f t="shared" si="305"/>
        <v>736</v>
      </c>
      <c r="D4259" t="s">
        <v>22</v>
      </c>
      <c r="E4259" t="s">
        <v>23</v>
      </c>
      <c r="F4259" t="s">
        <v>306</v>
      </c>
      <c r="G4259" t="s">
        <v>8291</v>
      </c>
      <c r="H4259" t="str">
        <f t="shared" si="306"/>
        <v>84250</v>
      </c>
      <c r="I4259" t="s">
        <v>4834</v>
      </c>
    </row>
    <row r="4260" spans="1:12" x14ac:dyDescent="0.3">
      <c r="A4260" t="str">
        <f>"63414414"</f>
        <v>63414414</v>
      </c>
      <c r="B4260" t="s">
        <v>8292</v>
      </c>
      <c r="C4260" t="str">
        <f t="shared" si="305"/>
        <v>736</v>
      </c>
      <c r="D4260" t="s">
        <v>22</v>
      </c>
      <c r="E4260" t="s">
        <v>83</v>
      </c>
      <c r="F4260" t="s">
        <v>540</v>
      </c>
      <c r="G4260" t="s">
        <v>8293</v>
      </c>
      <c r="H4260" t="str">
        <f>"8425"</f>
        <v>8425</v>
      </c>
      <c r="I4260" t="s">
        <v>4834</v>
      </c>
      <c r="J4260" t="s">
        <v>258</v>
      </c>
      <c r="K4260" t="s">
        <v>161</v>
      </c>
      <c r="L4260" t="s">
        <v>2069</v>
      </c>
    </row>
    <row r="4261" spans="1:12" x14ac:dyDescent="0.3">
      <c r="A4261" t="str">
        <f>"63459477"</f>
        <v>63459477</v>
      </c>
      <c r="B4261" t="s">
        <v>8294</v>
      </c>
      <c r="C4261" t="str">
        <f t="shared" si="305"/>
        <v>736</v>
      </c>
      <c r="D4261" t="s">
        <v>22</v>
      </c>
      <c r="E4261" t="s">
        <v>83</v>
      </c>
      <c r="F4261" t="s">
        <v>2845</v>
      </c>
      <c r="G4261" t="s">
        <v>8295</v>
      </c>
      <c r="H4261" t="str">
        <f t="shared" ref="H4261:H4270" si="307">"84250"</f>
        <v>84250</v>
      </c>
      <c r="I4261" t="s">
        <v>4834</v>
      </c>
      <c r="J4261" t="s">
        <v>258</v>
      </c>
      <c r="K4261" t="s">
        <v>161</v>
      </c>
      <c r="L4261" t="s">
        <v>2069</v>
      </c>
    </row>
    <row r="4262" spans="1:12" x14ac:dyDescent="0.3">
      <c r="A4262" t="str">
        <f>"65792874"</f>
        <v>65792874</v>
      </c>
      <c r="B4262" t="s">
        <v>8296</v>
      </c>
      <c r="C4262" t="str">
        <f t="shared" si="305"/>
        <v>736</v>
      </c>
      <c r="D4262" t="s">
        <v>22</v>
      </c>
      <c r="E4262" t="s">
        <v>23</v>
      </c>
      <c r="F4262" t="s">
        <v>2318</v>
      </c>
      <c r="G4262" t="s">
        <v>3407</v>
      </c>
      <c r="H4262" t="str">
        <f t="shared" si="307"/>
        <v>84250</v>
      </c>
      <c r="I4262" t="s">
        <v>4834</v>
      </c>
      <c r="J4262" t="s">
        <v>258</v>
      </c>
      <c r="K4262" t="s">
        <v>161</v>
      </c>
      <c r="L4262" t="s">
        <v>2069</v>
      </c>
    </row>
    <row r="4263" spans="1:12" x14ac:dyDescent="0.3">
      <c r="A4263" t="str">
        <f>"63414902"</f>
        <v>63414902</v>
      </c>
      <c r="B4263" t="s">
        <v>8297</v>
      </c>
      <c r="C4263" t="str">
        <f t="shared" si="305"/>
        <v>736</v>
      </c>
      <c r="D4263" t="s">
        <v>22</v>
      </c>
      <c r="E4263" t="s">
        <v>83</v>
      </c>
      <c r="F4263" t="s">
        <v>2423</v>
      </c>
      <c r="G4263" t="s">
        <v>8298</v>
      </c>
      <c r="H4263" t="str">
        <f t="shared" si="307"/>
        <v>84250</v>
      </c>
      <c r="I4263" t="s">
        <v>4834</v>
      </c>
      <c r="J4263" t="s">
        <v>258</v>
      </c>
      <c r="K4263" t="s">
        <v>2069</v>
      </c>
      <c r="L4263" t="s">
        <v>161</v>
      </c>
    </row>
    <row r="4264" spans="1:12" x14ac:dyDescent="0.3">
      <c r="A4264" t="str">
        <f>"65792556"</f>
        <v>65792556</v>
      </c>
      <c r="B4264" t="s">
        <v>8299</v>
      </c>
      <c r="C4264" t="str">
        <f t="shared" si="305"/>
        <v>736</v>
      </c>
      <c r="D4264" t="s">
        <v>22</v>
      </c>
      <c r="E4264" t="s">
        <v>23</v>
      </c>
      <c r="F4264" t="s">
        <v>99</v>
      </c>
      <c r="G4264" t="s">
        <v>8300</v>
      </c>
      <c r="H4264" t="str">
        <f t="shared" si="307"/>
        <v>84250</v>
      </c>
      <c r="I4264" t="s">
        <v>4834</v>
      </c>
    </row>
    <row r="4265" spans="1:12" x14ac:dyDescent="0.3">
      <c r="A4265" t="str">
        <f>"65822510"</f>
        <v>65822510</v>
      </c>
      <c r="B4265" t="s">
        <v>8301</v>
      </c>
      <c r="C4265" t="str">
        <f t="shared" si="305"/>
        <v>736</v>
      </c>
      <c r="D4265" t="s">
        <v>22</v>
      </c>
      <c r="E4265" t="s">
        <v>23</v>
      </c>
      <c r="F4265" t="s">
        <v>35</v>
      </c>
      <c r="G4265" t="s">
        <v>700</v>
      </c>
      <c r="H4265" t="str">
        <f t="shared" si="307"/>
        <v>84250</v>
      </c>
      <c r="I4265" t="s">
        <v>4834</v>
      </c>
    </row>
    <row r="4266" spans="1:12" x14ac:dyDescent="0.3">
      <c r="A4266" t="str">
        <f>"75045214"</f>
        <v>75045214</v>
      </c>
      <c r="B4266" t="s">
        <v>8302</v>
      </c>
      <c r="C4266" t="str">
        <f t="shared" si="305"/>
        <v>736</v>
      </c>
      <c r="D4266" t="s">
        <v>22</v>
      </c>
      <c r="E4266" t="s">
        <v>23</v>
      </c>
      <c r="F4266" t="s">
        <v>5347</v>
      </c>
      <c r="G4266" t="s">
        <v>8303</v>
      </c>
      <c r="H4266" t="str">
        <f t="shared" si="307"/>
        <v>84250</v>
      </c>
      <c r="I4266" t="s">
        <v>4834</v>
      </c>
    </row>
    <row r="4267" spans="1:12" x14ac:dyDescent="0.3">
      <c r="A4267" t="str">
        <f>"65792416"</f>
        <v>65792416</v>
      </c>
      <c r="B4267" t="s">
        <v>8304</v>
      </c>
      <c r="C4267" t="str">
        <f t="shared" si="305"/>
        <v>736</v>
      </c>
      <c r="D4267" t="s">
        <v>22</v>
      </c>
      <c r="E4267" t="s">
        <v>23</v>
      </c>
      <c r="F4267" t="s">
        <v>1734</v>
      </c>
      <c r="G4267" t="s">
        <v>8305</v>
      </c>
      <c r="H4267" t="str">
        <f t="shared" si="307"/>
        <v>84250</v>
      </c>
      <c r="I4267" t="s">
        <v>4834</v>
      </c>
    </row>
    <row r="4268" spans="1:12" x14ac:dyDescent="0.3">
      <c r="A4268" t="str">
        <f>"60383224"</f>
        <v>60383224</v>
      </c>
      <c r="B4268" t="s">
        <v>8306</v>
      </c>
      <c r="C4268" t="str">
        <f t="shared" si="305"/>
        <v>736</v>
      </c>
      <c r="D4268" t="s">
        <v>22</v>
      </c>
      <c r="E4268" t="s">
        <v>83</v>
      </c>
      <c r="F4268" t="s">
        <v>3465</v>
      </c>
      <c r="G4268" t="s">
        <v>5520</v>
      </c>
      <c r="H4268" t="str">
        <f t="shared" si="307"/>
        <v>84250</v>
      </c>
      <c r="I4268" t="s">
        <v>4834</v>
      </c>
      <c r="J4268" t="s">
        <v>258</v>
      </c>
      <c r="K4268" t="s">
        <v>161</v>
      </c>
      <c r="L4268" t="s">
        <v>2069</v>
      </c>
    </row>
    <row r="4269" spans="1:12" x14ac:dyDescent="0.3">
      <c r="A4269" t="str">
        <f>"65469402"</f>
        <v>65469402</v>
      </c>
      <c r="B4269" t="s">
        <v>8307</v>
      </c>
      <c r="C4269" t="str">
        <f t="shared" si="305"/>
        <v>736</v>
      </c>
      <c r="D4269" t="s">
        <v>22</v>
      </c>
      <c r="E4269" t="s">
        <v>29</v>
      </c>
      <c r="F4269" t="s">
        <v>3236</v>
      </c>
      <c r="G4269" t="s">
        <v>8308</v>
      </c>
      <c r="H4269" t="str">
        <f t="shared" si="307"/>
        <v>84250</v>
      </c>
      <c r="I4269" t="s">
        <v>4834</v>
      </c>
      <c r="J4269" t="s">
        <v>258</v>
      </c>
      <c r="K4269" t="s">
        <v>2069</v>
      </c>
      <c r="L4269" t="s">
        <v>161</v>
      </c>
    </row>
    <row r="4270" spans="1:12" x14ac:dyDescent="0.3">
      <c r="A4270" t="str">
        <f>"62180690"</f>
        <v>62180690</v>
      </c>
      <c r="B4270" t="s">
        <v>8309</v>
      </c>
      <c r="C4270" t="str">
        <f t="shared" ref="C4270:C4333" si="308">"736"</f>
        <v>736</v>
      </c>
      <c r="D4270" t="s">
        <v>22</v>
      </c>
      <c r="E4270" t="s">
        <v>23</v>
      </c>
      <c r="F4270" t="s">
        <v>1063</v>
      </c>
      <c r="G4270" t="s">
        <v>8310</v>
      </c>
      <c r="H4270" t="str">
        <f t="shared" si="307"/>
        <v>84250</v>
      </c>
      <c r="I4270" t="s">
        <v>4834</v>
      </c>
    </row>
    <row r="4271" spans="1:12" x14ac:dyDescent="0.3">
      <c r="A4271" t="str">
        <f>"04940547"</f>
        <v>04940547</v>
      </c>
      <c r="B4271" t="s">
        <v>8311</v>
      </c>
      <c r="C4271" t="str">
        <f t="shared" si="308"/>
        <v>736</v>
      </c>
      <c r="D4271" t="s">
        <v>22</v>
      </c>
      <c r="E4271" t="s">
        <v>29</v>
      </c>
      <c r="F4271" t="s">
        <v>1040</v>
      </c>
      <c r="G4271" t="s">
        <v>5524</v>
      </c>
      <c r="H4271" t="str">
        <f>"8425"</f>
        <v>8425</v>
      </c>
      <c r="I4271" t="s">
        <v>4834</v>
      </c>
    </row>
    <row r="4272" spans="1:12" x14ac:dyDescent="0.3">
      <c r="A4272" t="str">
        <f>"63701600"</f>
        <v>63701600</v>
      </c>
      <c r="B4272" t="s">
        <v>8312</v>
      </c>
      <c r="C4272" t="str">
        <f t="shared" si="308"/>
        <v>736</v>
      </c>
      <c r="D4272" t="s">
        <v>22</v>
      </c>
      <c r="E4272" t="s">
        <v>29</v>
      </c>
      <c r="F4272" t="s">
        <v>718</v>
      </c>
      <c r="G4272" t="s">
        <v>8313</v>
      </c>
      <c r="H4272" t="str">
        <f t="shared" ref="H4272:H4283" si="309">"84250"</f>
        <v>84250</v>
      </c>
      <c r="I4272" t="s">
        <v>4834</v>
      </c>
    </row>
    <row r="4273" spans="1:12" x14ac:dyDescent="0.3">
      <c r="A4273" t="str">
        <f>"63414112"</f>
        <v>63414112</v>
      </c>
      <c r="B4273" t="s">
        <v>8314</v>
      </c>
      <c r="C4273" t="str">
        <f t="shared" si="308"/>
        <v>736</v>
      </c>
      <c r="D4273" t="s">
        <v>22</v>
      </c>
      <c r="E4273" t="s">
        <v>83</v>
      </c>
      <c r="F4273" t="s">
        <v>3361</v>
      </c>
      <c r="G4273" t="s">
        <v>5526</v>
      </c>
      <c r="H4273" t="str">
        <f t="shared" si="309"/>
        <v>84250</v>
      </c>
      <c r="I4273" t="s">
        <v>4834</v>
      </c>
    </row>
    <row r="4274" spans="1:12" x14ac:dyDescent="0.3">
      <c r="A4274" t="str">
        <f>"13692313"</f>
        <v>13692313</v>
      </c>
      <c r="B4274" t="s">
        <v>8315</v>
      </c>
      <c r="C4274" t="str">
        <f t="shared" si="308"/>
        <v>736</v>
      </c>
      <c r="D4274" t="s">
        <v>22</v>
      </c>
      <c r="E4274" t="s">
        <v>52</v>
      </c>
      <c r="F4274" t="s">
        <v>52</v>
      </c>
      <c r="G4274" t="s">
        <v>8316</v>
      </c>
      <c r="H4274" t="str">
        <f t="shared" si="309"/>
        <v>84250</v>
      </c>
      <c r="I4274" t="s">
        <v>4834</v>
      </c>
    </row>
    <row r="4275" spans="1:12" x14ac:dyDescent="0.3">
      <c r="A4275" t="str">
        <f>"63459469"</f>
        <v>63459469</v>
      </c>
      <c r="B4275" t="s">
        <v>8317</v>
      </c>
      <c r="C4275" t="str">
        <f t="shared" si="308"/>
        <v>736</v>
      </c>
      <c r="D4275" t="s">
        <v>22</v>
      </c>
      <c r="E4275" t="s">
        <v>83</v>
      </c>
      <c r="F4275" t="s">
        <v>1635</v>
      </c>
      <c r="G4275" t="s">
        <v>8318</v>
      </c>
      <c r="H4275" t="str">
        <f t="shared" si="309"/>
        <v>84250</v>
      </c>
      <c r="I4275" t="s">
        <v>4834</v>
      </c>
    </row>
    <row r="4276" spans="1:12" x14ac:dyDescent="0.3">
      <c r="A4276" t="str">
        <f>"68687737"</f>
        <v>68687737</v>
      </c>
      <c r="B4276" t="s">
        <v>8319</v>
      </c>
      <c r="C4276" t="str">
        <f t="shared" si="308"/>
        <v>736</v>
      </c>
      <c r="D4276" t="s">
        <v>22</v>
      </c>
      <c r="E4276" t="s">
        <v>83</v>
      </c>
      <c r="F4276" t="s">
        <v>3465</v>
      </c>
      <c r="G4276" t="s">
        <v>8320</v>
      </c>
      <c r="H4276" t="str">
        <f t="shared" si="309"/>
        <v>84250</v>
      </c>
      <c r="I4276" t="s">
        <v>4834</v>
      </c>
    </row>
    <row r="4277" spans="1:12" x14ac:dyDescent="0.3">
      <c r="A4277" t="str">
        <f>"62833073"</f>
        <v>62833073</v>
      </c>
      <c r="B4277" t="s">
        <v>8321</v>
      </c>
      <c r="C4277" t="str">
        <f t="shared" si="308"/>
        <v>736</v>
      </c>
      <c r="D4277" t="s">
        <v>22</v>
      </c>
      <c r="E4277" t="s">
        <v>52</v>
      </c>
      <c r="F4277" t="s">
        <v>52</v>
      </c>
      <c r="G4277" t="s">
        <v>8322</v>
      </c>
      <c r="H4277" t="str">
        <f t="shared" si="309"/>
        <v>84250</v>
      </c>
      <c r="I4277" t="s">
        <v>4834</v>
      </c>
      <c r="J4277" t="s">
        <v>258</v>
      </c>
      <c r="K4277" t="s">
        <v>161</v>
      </c>
      <c r="L4277" t="s">
        <v>2069</v>
      </c>
    </row>
    <row r="4278" spans="1:12" x14ac:dyDescent="0.3">
      <c r="A4278" t="str">
        <f>"63701979"</f>
        <v>63701979</v>
      </c>
      <c r="B4278" t="s">
        <v>8323</v>
      </c>
      <c r="C4278" t="str">
        <f t="shared" si="308"/>
        <v>736</v>
      </c>
      <c r="D4278" t="s">
        <v>22</v>
      </c>
      <c r="E4278" t="s">
        <v>29</v>
      </c>
      <c r="F4278" t="s">
        <v>3480</v>
      </c>
      <c r="G4278" t="s">
        <v>8324</v>
      </c>
      <c r="H4278" t="str">
        <f t="shared" si="309"/>
        <v>84250</v>
      </c>
      <c r="I4278" t="s">
        <v>4834</v>
      </c>
    </row>
    <row r="4279" spans="1:12" x14ac:dyDescent="0.3">
      <c r="A4279" t="str">
        <f>"68729588"</f>
        <v>68729588</v>
      </c>
      <c r="B4279" t="s">
        <v>8325</v>
      </c>
      <c r="C4279" t="str">
        <f t="shared" si="308"/>
        <v>736</v>
      </c>
      <c r="D4279" t="s">
        <v>22</v>
      </c>
      <c r="E4279" t="s">
        <v>23</v>
      </c>
      <c r="F4279" t="s">
        <v>107</v>
      </c>
      <c r="G4279" t="s">
        <v>2612</v>
      </c>
      <c r="H4279" t="str">
        <f t="shared" si="309"/>
        <v>84250</v>
      </c>
      <c r="I4279" t="s">
        <v>4834</v>
      </c>
      <c r="J4279" t="s">
        <v>258</v>
      </c>
      <c r="K4279" t="s">
        <v>2069</v>
      </c>
      <c r="L4279" t="s">
        <v>161</v>
      </c>
    </row>
    <row r="4280" spans="1:12" x14ac:dyDescent="0.3">
      <c r="A4280" t="str">
        <f>"65325079"</f>
        <v>65325079</v>
      </c>
      <c r="B4280" t="s">
        <v>8326</v>
      </c>
      <c r="C4280" t="str">
        <f t="shared" si="308"/>
        <v>736</v>
      </c>
      <c r="D4280" t="s">
        <v>22</v>
      </c>
      <c r="E4280" t="s">
        <v>52</v>
      </c>
      <c r="F4280" t="s">
        <v>4762</v>
      </c>
      <c r="G4280" t="s">
        <v>4763</v>
      </c>
      <c r="H4280" t="str">
        <f t="shared" si="309"/>
        <v>84250</v>
      </c>
      <c r="I4280" t="s">
        <v>4834</v>
      </c>
    </row>
    <row r="4281" spans="1:12" x14ac:dyDescent="0.3">
      <c r="A4281" t="str">
        <f>"60383305"</f>
        <v>60383305</v>
      </c>
      <c r="B4281" t="s">
        <v>8327</v>
      </c>
      <c r="C4281" t="str">
        <f t="shared" si="308"/>
        <v>736</v>
      </c>
      <c r="D4281" t="s">
        <v>22</v>
      </c>
      <c r="E4281" t="s">
        <v>83</v>
      </c>
      <c r="F4281" t="s">
        <v>217</v>
      </c>
      <c r="G4281" t="s">
        <v>1670</v>
      </c>
      <c r="H4281" t="str">
        <f t="shared" si="309"/>
        <v>84250</v>
      </c>
      <c r="I4281" t="s">
        <v>4834</v>
      </c>
      <c r="J4281" t="s">
        <v>161</v>
      </c>
      <c r="K4281" t="s">
        <v>2069</v>
      </c>
    </row>
    <row r="4282" spans="1:12" x14ac:dyDescent="0.3">
      <c r="A4282" t="str">
        <f>"65325036"</f>
        <v>65325036</v>
      </c>
      <c r="B4282" t="s">
        <v>8328</v>
      </c>
      <c r="C4282" t="str">
        <f t="shared" si="308"/>
        <v>736</v>
      </c>
      <c r="D4282" t="s">
        <v>22</v>
      </c>
      <c r="E4282" t="s">
        <v>52</v>
      </c>
      <c r="F4282" t="s">
        <v>144</v>
      </c>
      <c r="G4282" t="s">
        <v>8329</v>
      </c>
      <c r="H4282" t="str">
        <f t="shared" si="309"/>
        <v>84250</v>
      </c>
      <c r="I4282" t="s">
        <v>4834</v>
      </c>
    </row>
    <row r="4283" spans="1:12" x14ac:dyDescent="0.3">
      <c r="A4283" t="str">
        <f>"60383216"</f>
        <v>60383216</v>
      </c>
      <c r="B4283" t="s">
        <v>8330</v>
      </c>
      <c r="C4283" t="str">
        <f t="shared" si="308"/>
        <v>736</v>
      </c>
      <c r="D4283" t="s">
        <v>22</v>
      </c>
      <c r="E4283" t="s">
        <v>83</v>
      </c>
      <c r="F4283" t="s">
        <v>130</v>
      </c>
      <c r="G4283" t="s">
        <v>8331</v>
      </c>
      <c r="H4283" t="str">
        <f t="shared" si="309"/>
        <v>84250</v>
      </c>
      <c r="I4283" t="s">
        <v>4834</v>
      </c>
      <c r="J4283" t="s">
        <v>258</v>
      </c>
      <c r="K4283" t="s">
        <v>2069</v>
      </c>
      <c r="L4283" t="s">
        <v>161</v>
      </c>
    </row>
    <row r="4284" spans="1:12" x14ac:dyDescent="0.3">
      <c r="A4284" t="str">
        <f>"68729596"</f>
        <v>68729596</v>
      </c>
      <c r="B4284" t="s">
        <v>8332</v>
      </c>
      <c r="C4284" t="str">
        <f t="shared" si="308"/>
        <v>736</v>
      </c>
      <c r="D4284" t="s">
        <v>22</v>
      </c>
      <c r="E4284" t="s">
        <v>23</v>
      </c>
      <c r="F4284" t="s">
        <v>2429</v>
      </c>
      <c r="G4284" t="s">
        <v>8333</v>
      </c>
      <c r="H4284" t="str">
        <f>"8425"</f>
        <v>8425</v>
      </c>
      <c r="I4284" t="s">
        <v>4834</v>
      </c>
    </row>
    <row r="4285" spans="1:12" x14ac:dyDescent="0.3">
      <c r="A4285" t="str">
        <f>"68729618"</f>
        <v>68729618</v>
      </c>
      <c r="B4285" t="s">
        <v>8334</v>
      </c>
      <c r="C4285" t="str">
        <f t="shared" si="308"/>
        <v>736</v>
      </c>
      <c r="D4285" t="s">
        <v>22</v>
      </c>
      <c r="E4285" t="s">
        <v>23</v>
      </c>
      <c r="F4285" t="s">
        <v>141</v>
      </c>
      <c r="G4285" t="s">
        <v>7994</v>
      </c>
      <c r="H4285" t="str">
        <f t="shared" ref="H4285:H4323" si="310">"84250"</f>
        <v>84250</v>
      </c>
      <c r="I4285" t="s">
        <v>4834</v>
      </c>
      <c r="J4285" t="s">
        <v>258</v>
      </c>
      <c r="K4285" t="s">
        <v>161</v>
      </c>
      <c r="L4285" t="s">
        <v>2069</v>
      </c>
    </row>
    <row r="4286" spans="1:12" x14ac:dyDescent="0.3">
      <c r="A4286" t="str">
        <f>"65793030"</f>
        <v>65793030</v>
      </c>
      <c r="B4286" t="s">
        <v>8335</v>
      </c>
      <c r="C4286" t="str">
        <f t="shared" si="308"/>
        <v>736</v>
      </c>
      <c r="D4286" t="s">
        <v>22</v>
      </c>
      <c r="E4286" t="s">
        <v>23</v>
      </c>
      <c r="F4286" t="s">
        <v>4441</v>
      </c>
      <c r="G4286" t="s">
        <v>8336</v>
      </c>
      <c r="H4286" t="str">
        <f t="shared" si="310"/>
        <v>84250</v>
      </c>
      <c r="I4286" t="s">
        <v>4834</v>
      </c>
    </row>
    <row r="4287" spans="1:12" x14ac:dyDescent="0.3">
      <c r="A4287" t="str">
        <f>"65325109"</f>
        <v>65325109</v>
      </c>
      <c r="B4287" t="s">
        <v>8337</v>
      </c>
      <c r="C4287" t="str">
        <f t="shared" si="308"/>
        <v>736</v>
      </c>
      <c r="D4287" t="s">
        <v>22</v>
      </c>
      <c r="E4287" t="s">
        <v>52</v>
      </c>
      <c r="F4287" t="s">
        <v>517</v>
      </c>
      <c r="G4287" t="s">
        <v>5477</v>
      </c>
      <c r="H4287" t="str">
        <f t="shared" si="310"/>
        <v>84250</v>
      </c>
      <c r="I4287" t="s">
        <v>4834</v>
      </c>
    </row>
    <row r="4288" spans="1:12" x14ac:dyDescent="0.3">
      <c r="A4288" t="str">
        <f>"65324901"</f>
        <v>65324901</v>
      </c>
      <c r="B4288" t="s">
        <v>8338</v>
      </c>
      <c r="C4288" t="str">
        <f t="shared" si="308"/>
        <v>736</v>
      </c>
      <c r="D4288" t="s">
        <v>22</v>
      </c>
      <c r="E4288" t="s">
        <v>52</v>
      </c>
      <c r="F4288" t="s">
        <v>73</v>
      </c>
      <c r="G4288" t="s">
        <v>4109</v>
      </c>
      <c r="H4288" t="str">
        <f t="shared" si="310"/>
        <v>84250</v>
      </c>
      <c r="I4288" t="s">
        <v>4834</v>
      </c>
    </row>
    <row r="4289" spans="1:12" x14ac:dyDescent="0.3">
      <c r="A4289" t="str">
        <f>"65822391"</f>
        <v>65822391</v>
      </c>
      <c r="B4289" t="s">
        <v>8339</v>
      </c>
      <c r="C4289" t="str">
        <f t="shared" si="308"/>
        <v>736</v>
      </c>
      <c r="D4289" t="s">
        <v>22</v>
      </c>
      <c r="E4289" t="s">
        <v>23</v>
      </c>
      <c r="F4289" t="s">
        <v>966</v>
      </c>
      <c r="G4289" t="s">
        <v>8340</v>
      </c>
      <c r="H4289" t="str">
        <f t="shared" si="310"/>
        <v>84250</v>
      </c>
      <c r="I4289" t="s">
        <v>4834</v>
      </c>
    </row>
    <row r="4290" spans="1:12" x14ac:dyDescent="0.3">
      <c r="A4290" t="str">
        <f>"65793021"</f>
        <v>65793021</v>
      </c>
      <c r="B4290" t="s">
        <v>8341</v>
      </c>
      <c r="C4290" t="str">
        <f t="shared" si="308"/>
        <v>736</v>
      </c>
      <c r="D4290" t="s">
        <v>22</v>
      </c>
      <c r="E4290" t="s">
        <v>23</v>
      </c>
      <c r="F4290" t="s">
        <v>5418</v>
      </c>
      <c r="G4290" t="s">
        <v>8342</v>
      </c>
      <c r="H4290" t="str">
        <f t="shared" si="310"/>
        <v>84250</v>
      </c>
      <c r="I4290" t="s">
        <v>4834</v>
      </c>
      <c r="J4290" t="s">
        <v>258</v>
      </c>
      <c r="K4290" t="s">
        <v>161</v>
      </c>
      <c r="L4290" t="s">
        <v>2069</v>
      </c>
    </row>
    <row r="4291" spans="1:12" x14ac:dyDescent="0.3">
      <c r="A4291" t="str">
        <f>"71195858"</f>
        <v>71195858</v>
      </c>
      <c r="B4291" t="s">
        <v>8343</v>
      </c>
      <c r="C4291" t="str">
        <f t="shared" si="308"/>
        <v>736</v>
      </c>
      <c r="D4291" t="s">
        <v>22</v>
      </c>
      <c r="E4291" t="s">
        <v>83</v>
      </c>
      <c r="F4291" t="s">
        <v>1022</v>
      </c>
      <c r="G4291" t="s">
        <v>8344</v>
      </c>
      <c r="H4291" t="str">
        <f t="shared" si="310"/>
        <v>84250</v>
      </c>
      <c r="I4291" t="s">
        <v>4834</v>
      </c>
      <c r="J4291" t="s">
        <v>258</v>
      </c>
      <c r="K4291" t="s">
        <v>161</v>
      </c>
      <c r="L4291" t="s">
        <v>2069</v>
      </c>
    </row>
    <row r="4292" spans="1:12" x14ac:dyDescent="0.3">
      <c r="A4292" t="str">
        <f>"65469267"</f>
        <v>65469267</v>
      </c>
      <c r="B4292" t="s">
        <v>8345</v>
      </c>
      <c r="C4292" t="str">
        <f t="shared" si="308"/>
        <v>736</v>
      </c>
      <c r="D4292" t="s">
        <v>22</v>
      </c>
      <c r="E4292" t="s">
        <v>29</v>
      </c>
      <c r="F4292" t="s">
        <v>271</v>
      </c>
      <c r="G4292" t="s">
        <v>8346</v>
      </c>
      <c r="H4292" t="str">
        <f t="shared" si="310"/>
        <v>84250</v>
      </c>
      <c r="I4292" t="s">
        <v>4834</v>
      </c>
      <c r="J4292" t="s">
        <v>258</v>
      </c>
      <c r="K4292" t="s">
        <v>161</v>
      </c>
      <c r="L4292" t="s">
        <v>2069</v>
      </c>
    </row>
    <row r="4293" spans="1:12" x14ac:dyDescent="0.3">
      <c r="A4293" t="str">
        <f>"63414198"</f>
        <v>63414198</v>
      </c>
      <c r="B4293" t="s">
        <v>8347</v>
      </c>
      <c r="C4293" t="str">
        <f t="shared" si="308"/>
        <v>736</v>
      </c>
      <c r="D4293" t="s">
        <v>22</v>
      </c>
      <c r="E4293" t="s">
        <v>83</v>
      </c>
      <c r="F4293" t="s">
        <v>944</v>
      </c>
      <c r="G4293" t="s">
        <v>5341</v>
      </c>
      <c r="H4293" t="str">
        <f t="shared" si="310"/>
        <v>84250</v>
      </c>
      <c r="I4293" t="s">
        <v>4834</v>
      </c>
      <c r="J4293" t="s">
        <v>258</v>
      </c>
      <c r="K4293" t="s">
        <v>2069</v>
      </c>
      <c r="L4293" t="s">
        <v>161</v>
      </c>
    </row>
    <row r="4294" spans="1:12" x14ac:dyDescent="0.3">
      <c r="A4294" t="str">
        <f>"68729626"</f>
        <v>68729626</v>
      </c>
      <c r="B4294" t="s">
        <v>8348</v>
      </c>
      <c r="C4294" t="str">
        <f t="shared" si="308"/>
        <v>736</v>
      </c>
      <c r="D4294" t="s">
        <v>22</v>
      </c>
      <c r="E4294" t="s">
        <v>23</v>
      </c>
      <c r="F4294" t="s">
        <v>4161</v>
      </c>
      <c r="G4294" t="s">
        <v>4162</v>
      </c>
      <c r="H4294" t="str">
        <f t="shared" si="310"/>
        <v>84250</v>
      </c>
      <c r="I4294" t="s">
        <v>4834</v>
      </c>
    </row>
    <row r="4295" spans="1:12" x14ac:dyDescent="0.3">
      <c r="A4295" t="str">
        <f>"65792343"</f>
        <v>65792343</v>
      </c>
      <c r="B4295" t="s">
        <v>8349</v>
      </c>
      <c r="C4295" t="str">
        <f t="shared" si="308"/>
        <v>736</v>
      </c>
      <c r="D4295" t="s">
        <v>22</v>
      </c>
      <c r="E4295" t="s">
        <v>23</v>
      </c>
      <c r="F4295" t="s">
        <v>350</v>
      </c>
      <c r="G4295" t="s">
        <v>3403</v>
      </c>
      <c r="H4295" t="str">
        <f t="shared" si="310"/>
        <v>84250</v>
      </c>
      <c r="I4295" t="s">
        <v>4834</v>
      </c>
      <c r="J4295" t="s">
        <v>258</v>
      </c>
      <c r="K4295" t="s">
        <v>161</v>
      </c>
      <c r="L4295" t="s">
        <v>2069</v>
      </c>
    </row>
    <row r="4296" spans="1:12" x14ac:dyDescent="0.3">
      <c r="A4296" t="str">
        <f>"65325397"</f>
        <v>65325397</v>
      </c>
      <c r="B4296" t="s">
        <v>8350</v>
      </c>
      <c r="C4296" t="str">
        <f t="shared" si="308"/>
        <v>736</v>
      </c>
      <c r="D4296" t="s">
        <v>22</v>
      </c>
      <c r="E4296" t="s">
        <v>52</v>
      </c>
      <c r="F4296" t="s">
        <v>1857</v>
      </c>
      <c r="G4296" t="s">
        <v>8351</v>
      </c>
      <c r="H4296" t="str">
        <f t="shared" si="310"/>
        <v>84250</v>
      </c>
      <c r="I4296" t="s">
        <v>4834</v>
      </c>
    </row>
    <row r="4297" spans="1:12" x14ac:dyDescent="0.3">
      <c r="A4297" t="str">
        <f>"65325141"</f>
        <v>65325141</v>
      </c>
      <c r="B4297" t="s">
        <v>8352</v>
      </c>
      <c r="C4297" t="str">
        <f t="shared" si="308"/>
        <v>736</v>
      </c>
      <c r="D4297" t="s">
        <v>22</v>
      </c>
      <c r="E4297" t="s">
        <v>52</v>
      </c>
      <c r="F4297" t="s">
        <v>514</v>
      </c>
      <c r="G4297" t="s">
        <v>8353</v>
      </c>
      <c r="H4297" t="str">
        <f t="shared" si="310"/>
        <v>84250</v>
      </c>
      <c r="I4297" t="s">
        <v>4834</v>
      </c>
    </row>
    <row r="4298" spans="1:12" x14ac:dyDescent="0.3">
      <c r="A4298" t="str">
        <f>"65274555"</f>
        <v>65274555</v>
      </c>
      <c r="B4298" t="s">
        <v>8354</v>
      </c>
      <c r="C4298" t="str">
        <f t="shared" si="308"/>
        <v>736</v>
      </c>
      <c r="D4298" t="s">
        <v>22</v>
      </c>
      <c r="E4298" t="s">
        <v>83</v>
      </c>
      <c r="F4298" t="s">
        <v>650</v>
      </c>
      <c r="G4298" t="s">
        <v>8355</v>
      </c>
      <c r="H4298" t="str">
        <f t="shared" si="310"/>
        <v>84250</v>
      </c>
      <c r="I4298" t="s">
        <v>4834</v>
      </c>
      <c r="J4298" t="s">
        <v>258</v>
      </c>
      <c r="K4298" t="s">
        <v>161</v>
      </c>
      <c r="L4298" t="s">
        <v>2069</v>
      </c>
    </row>
    <row r="4299" spans="1:12" x14ac:dyDescent="0.3">
      <c r="A4299" t="str">
        <f>"63701731"</f>
        <v>63701731</v>
      </c>
      <c r="B4299" t="s">
        <v>8356</v>
      </c>
      <c r="C4299" t="str">
        <f t="shared" si="308"/>
        <v>736</v>
      </c>
      <c r="D4299" t="s">
        <v>22</v>
      </c>
      <c r="E4299" t="s">
        <v>29</v>
      </c>
      <c r="F4299" t="s">
        <v>117</v>
      </c>
      <c r="G4299" t="s">
        <v>8357</v>
      </c>
      <c r="H4299" t="str">
        <f t="shared" si="310"/>
        <v>84250</v>
      </c>
      <c r="I4299" t="s">
        <v>4834</v>
      </c>
      <c r="J4299" t="s">
        <v>258</v>
      </c>
      <c r="K4299" t="s">
        <v>2069</v>
      </c>
      <c r="L4299" t="s">
        <v>161</v>
      </c>
    </row>
    <row r="4300" spans="1:12" x14ac:dyDescent="0.3">
      <c r="A4300" t="str">
        <f>"68729634"</f>
        <v>68729634</v>
      </c>
      <c r="B4300" t="s">
        <v>8358</v>
      </c>
      <c r="C4300" t="str">
        <f t="shared" si="308"/>
        <v>736</v>
      </c>
      <c r="D4300" t="s">
        <v>22</v>
      </c>
      <c r="E4300" t="s">
        <v>23</v>
      </c>
      <c r="F4300" t="s">
        <v>886</v>
      </c>
      <c r="G4300" t="s">
        <v>8359</v>
      </c>
      <c r="H4300" t="str">
        <f t="shared" si="310"/>
        <v>84250</v>
      </c>
      <c r="I4300" t="s">
        <v>4834</v>
      </c>
      <c r="J4300" t="s">
        <v>258</v>
      </c>
      <c r="K4300" t="s">
        <v>161</v>
      </c>
      <c r="L4300" t="s">
        <v>2069</v>
      </c>
    </row>
    <row r="4301" spans="1:12" x14ac:dyDescent="0.3">
      <c r="A4301" t="str">
        <f>"65324919"</f>
        <v>65324919</v>
      </c>
      <c r="B4301" t="s">
        <v>8360</v>
      </c>
      <c r="C4301" t="str">
        <f t="shared" si="308"/>
        <v>736</v>
      </c>
      <c r="D4301" t="s">
        <v>22</v>
      </c>
      <c r="E4301" t="s">
        <v>52</v>
      </c>
      <c r="F4301" t="s">
        <v>2400</v>
      </c>
      <c r="G4301" t="s">
        <v>4021</v>
      </c>
      <c r="H4301" t="str">
        <f t="shared" si="310"/>
        <v>84250</v>
      </c>
      <c r="I4301" t="s">
        <v>4834</v>
      </c>
    </row>
    <row r="4302" spans="1:12" x14ac:dyDescent="0.3">
      <c r="A4302" t="str">
        <f>"63459078"</f>
        <v>63459078</v>
      </c>
      <c r="B4302" t="s">
        <v>8361</v>
      </c>
      <c r="C4302" t="str">
        <f t="shared" si="308"/>
        <v>736</v>
      </c>
      <c r="D4302" t="s">
        <v>22</v>
      </c>
      <c r="E4302" t="s">
        <v>83</v>
      </c>
      <c r="F4302" t="s">
        <v>1576</v>
      </c>
      <c r="G4302" t="s">
        <v>8362</v>
      </c>
      <c r="H4302" t="str">
        <f t="shared" si="310"/>
        <v>84250</v>
      </c>
      <c r="I4302" t="s">
        <v>4834</v>
      </c>
    </row>
    <row r="4303" spans="1:12" x14ac:dyDescent="0.3">
      <c r="A4303" t="str">
        <f>"68729642"</f>
        <v>68729642</v>
      </c>
      <c r="B4303" t="s">
        <v>8363</v>
      </c>
      <c r="C4303" t="str">
        <f t="shared" si="308"/>
        <v>736</v>
      </c>
      <c r="D4303" t="s">
        <v>22</v>
      </c>
      <c r="E4303" t="s">
        <v>23</v>
      </c>
      <c r="F4303" t="s">
        <v>1758</v>
      </c>
      <c r="G4303" t="s">
        <v>4434</v>
      </c>
      <c r="H4303" t="str">
        <f t="shared" si="310"/>
        <v>84250</v>
      </c>
      <c r="I4303" t="s">
        <v>4834</v>
      </c>
      <c r="J4303" t="s">
        <v>258</v>
      </c>
      <c r="K4303" t="s">
        <v>161</v>
      </c>
      <c r="L4303" t="s">
        <v>2069</v>
      </c>
    </row>
    <row r="4304" spans="1:12" x14ac:dyDescent="0.3">
      <c r="A4304" t="str">
        <f>"65325214"</f>
        <v>65325214</v>
      </c>
      <c r="B4304" t="s">
        <v>8364</v>
      </c>
      <c r="C4304" t="str">
        <f t="shared" si="308"/>
        <v>736</v>
      </c>
      <c r="D4304" t="s">
        <v>22</v>
      </c>
      <c r="E4304" t="s">
        <v>52</v>
      </c>
      <c r="F4304" t="s">
        <v>1676</v>
      </c>
      <c r="G4304" t="s">
        <v>8365</v>
      </c>
      <c r="H4304" t="str">
        <f t="shared" si="310"/>
        <v>84250</v>
      </c>
      <c r="I4304" t="s">
        <v>4834</v>
      </c>
      <c r="J4304" t="s">
        <v>2069</v>
      </c>
      <c r="K4304" t="s">
        <v>161</v>
      </c>
    </row>
    <row r="4305" spans="1:13" x14ac:dyDescent="0.3">
      <c r="A4305" t="str">
        <f>"65325206"</f>
        <v>65325206</v>
      </c>
      <c r="B4305" t="s">
        <v>8366</v>
      </c>
      <c r="C4305" t="str">
        <f t="shared" si="308"/>
        <v>736</v>
      </c>
      <c r="D4305" t="s">
        <v>22</v>
      </c>
      <c r="E4305" t="s">
        <v>52</v>
      </c>
      <c r="F4305" t="s">
        <v>334</v>
      </c>
      <c r="G4305" t="s">
        <v>8367</v>
      </c>
      <c r="H4305" t="str">
        <f t="shared" si="310"/>
        <v>84250</v>
      </c>
      <c r="I4305" t="s">
        <v>4834</v>
      </c>
      <c r="J4305" t="s">
        <v>258</v>
      </c>
      <c r="K4305" t="s">
        <v>161</v>
      </c>
      <c r="L4305" t="s">
        <v>2069</v>
      </c>
    </row>
    <row r="4306" spans="1:13" x14ac:dyDescent="0.3">
      <c r="A4306" t="str">
        <f>"65325028"</f>
        <v>65325028</v>
      </c>
      <c r="B4306" t="s">
        <v>8368</v>
      </c>
      <c r="C4306" t="str">
        <f t="shared" si="308"/>
        <v>736</v>
      </c>
      <c r="D4306" t="s">
        <v>22</v>
      </c>
      <c r="E4306" t="s">
        <v>52</v>
      </c>
      <c r="F4306" t="s">
        <v>1027</v>
      </c>
      <c r="G4306" t="s">
        <v>8369</v>
      </c>
      <c r="H4306" t="str">
        <f t="shared" si="310"/>
        <v>84250</v>
      </c>
      <c r="I4306" t="s">
        <v>4834</v>
      </c>
      <c r="J4306" t="s">
        <v>258</v>
      </c>
      <c r="K4306" t="s">
        <v>161</v>
      </c>
      <c r="L4306" t="s">
        <v>2069</v>
      </c>
    </row>
    <row r="4307" spans="1:13" x14ac:dyDescent="0.3">
      <c r="A4307" t="str">
        <f>"65792661"</f>
        <v>65792661</v>
      </c>
      <c r="B4307" t="s">
        <v>8370</v>
      </c>
      <c r="C4307" t="str">
        <f t="shared" si="308"/>
        <v>736</v>
      </c>
      <c r="D4307" t="s">
        <v>22</v>
      </c>
      <c r="E4307" t="s">
        <v>23</v>
      </c>
      <c r="F4307" t="s">
        <v>24</v>
      </c>
      <c r="G4307" t="s">
        <v>8371</v>
      </c>
      <c r="H4307" t="str">
        <f t="shared" si="310"/>
        <v>84250</v>
      </c>
      <c r="I4307" t="s">
        <v>4834</v>
      </c>
    </row>
    <row r="4308" spans="1:13" x14ac:dyDescent="0.3">
      <c r="A4308" t="str">
        <f>"63701987"</f>
        <v>63701987</v>
      </c>
      <c r="B4308" t="s">
        <v>8372</v>
      </c>
      <c r="C4308" t="str">
        <f t="shared" si="308"/>
        <v>736</v>
      </c>
      <c r="D4308" t="s">
        <v>22</v>
      </c>
      <c r="E4308" t="s">
        <v>29</v>
      </c>
      <c r="F4308" t="s">
        <v>1783</v>
      </c>
      <c r="G4308" t="s">
        <v>1784</v>
      </c>
      <c r="H4308" t="str">
        <f t="shared" si="310"/>
        <v>84250</v>
      </c>
      <c r="I4308" t="s">
        <v>4834</v>
      </c>
      <c r="J4308" t="s">
        <v>258</v>
      </c>
      <c r="K4308" t="s">
        <v>161</v>
      </c>
      <c r="L4308" t="s">
        <v>2069</v>
      </c>
    </row>
    <row r="4309" spans="1:13" x14ac:dyDescent="0.3">
      <c r="A4309" t="str">
        <f>"63459264"</f>
        <v>63459264</v>
      </c>
      <c r="B4309" t="s">
        <v>8373</v>
      </c>
      <c r="C4309" t="str">
        <f t="shared" si="308"/>
        <v>736</v>
      </c>
      <c r="D4309" t="s">
        <v>22</v>
      </c>
      <c r="E4309" t="s">
        <v>83</v>
      </c>
      <c r="F4309" t="s">
        <v>224</v>
      </c>
      <c r="G4309" t="s">
        <v>8374</v>
      </c>
      <c r="H4309" t="str">
        <f t="shared" si="310"/>
        <v>84250</v>
      </c>
      <c r="I4309" t="s">
        <v>4834</v>
      </c>
    </row>
    <row r="4310" spans="1:13" x14ac:dyDescent="0.3">
      <c r="A4310" t="str">
        <f>"63414406"</f>
        <v>63414406</v>
      </c>
      <c r="B4310" t="s">
        <v>8375</v>
      </c>
      <c r="C4310" t="str">
        <f t="shared" si="308"/>
        <v>736</v>
      </c>
      <c r="D4310" t="s">
        <v>22</v>
      </c>
      <c r="E4310" t="s">
        <v>83</v>
      </c>
      <c r="F4310" t="s">
        <v>1867</v>
      </c>
      <c r="G4310" t="s">
        <v>8376</v>
      </c>
      <c r="H4310" t="str">
        <f t="shared" si="310"/>
        <v>84250</v>
      </c>
      <c r="I4310" t="s">
        <v>4834</v>
      </c>
      <c r="J4310" t="s">
        <v>258</v>
      </c>
      <c r="K4310" t="s">
        <v>2069</v>
      </c>
      <c r="L4310" t="s">
        <v>161</v>
      </c>
    </row>
    <row r="4311" spans="1:13" x14ac:dyDescent="0.3">
      <c r="A4311" t="str">
        <f>"65324722"</f>
        <v>65324722</v>
      </c>
      <c r="B4311" t="s">
        <v>8377</v>
      </c>
      <c r="C4311" t="str">
        <f t="shared" si="308"/>
        <v>736</v>
      </c>
      <c r="D4311" t="s">
        <v>22</v>
      </c>
      <c r="E4311" t="s">
        <v>52</v>
      </c>
      <c r="F4311" t="s">
        <v>2072</v>
      </c>
      <c r="G4311" t="s">
        <v>5288</v>
      </c>
      <c r="H4311" t="str">
        <f t="shared" si="310"/>
        <v>84250</v>
      </c>
      <c r="I4311" t="s">
        <v>4834</v>
      </c>
    </row>
    <row r="4312" spans="1:13" x14ac:dyDescent="0.3">
      <c r="A4312" t="str">
        <f>"65469470"</f>
        <v>65469470</v>
      </c>
      <c r="B4312" t="s">
        <v>8378</v>
      </c>
      <c r="C4312" t="str">
        <f t="shared" si="308"/>
        <v>736</v>
      </c>
      <c r="D4312" t="s">
        <v>22</v>
      </c>
      <c r="E4312" t="s">
        <v>29</v>
      </c>
      <c r="F4312" t="s">
        <v>135</v>
      </c>
      <c r="G4312" t="s">
        <v>8379</v>
      </c>
      <c r="H4312" t="str">
        <f t="shared" si="310"/>
        <v>84250</v>
      </c>
      <c r="I4312" t="s">
        <v>4834</v>
      </c>
      <c r="J4312" t="s">
        <v>258</v>
      </c>
      <c r="K4312" t="s">
        <v>161</v>
      </c>
      <c r="L4312" t="s">
        <v>2069</v>
      </c>
    </row>
    <row r="4313" spans="1:13" x14ac:dyDescent="0.3">
      <c r="A4313" t="str">
        <f>"68729651"</f>
        <v>68729651</v>
      </c>
      <c r="B4313" t="s">
        <v>8380</v>
      </c>
      <c r="C4313" t="str">
        <f t="shared" si="308"/>
        <v>736</v>
      </c>
      <c r="D4313" t="s">
        <v>22</v>
      </c>
      <c r="E4313" t="s">
        <v>23</v>
      </c>
      <c r="F4313" t="s">
        <v>4569</v>
      </c>
      <c r="G4313" t="s">
        <v>4570</v>
      </c>
      <c r="H4313" t="str">
        <f t="shared" si="310"/>
        <v>84250</v>
      </c>
      <c r="I4313" t="s">
        <v>4834</v>
      </c>
      <c r="J4313" t="s">
        <v>258</v>
      </c>
      <c r="K4313" t="s">
        <v>161</v>
      </c>
      <c r="L4313" t="s">
        <v>2069</v>
      </c>
    </row>
    <row r="4314" spans="1:13" x14ac:dyDescent="0.3">
      <c r="A4314" t="str">
        <f>"65325419"</f>
        <v>65325419</v>
      </c>
      <c r="B4314" t="s">
        <v>8381</v>
      </c>
      <c r="C4314" t="str">
        <f t="shared" si="308"/>
        <v>736</v>
      </c>
      <c r="D4314" t="s">
        <v>22</v>
      </c>
      <c r="E4314" t="s">
        <v>52</v>
      </c>
      <c r="F4314" t="s">
        <v>1765</v>
      </c>
      <c r="G4314" t="s">
        <v>8382</v>
      </c>
      <c r="H4314" t="str">
        <f t="shared" si="310"/>
        <v>84250</v>
      </c>
      <c r="I4314" t="s">
        <v>4834</v>
      </c>
    </row>
    <row r="4315" spans="1:13" x14ac:dyDescent="0.3">
      <c r="A4315" t="str">
        <f>"63414597"</f>
        <v>63414597</v>
      </c>
      <c r="B4315" t="s">
        <v>8383</v>
      </c>
      <c r="C4315" t="str">
        <f t="shared" si="308"/>
        <v>736</v>
      </c>
      <c r="D4315" t="s">
        <v>22</v>
      </c>
      <c r="E4315" t="s">
        <v>83</v>
      </c>
      <c r="F4315" t="s">
        <v>480</v>
      </c>
      <c r="G4315" t="s">
        <v>8384</v>
      </c>
      <c r="H4315" t="str">
        <f t="shared" si="310"/>
        <v>84250</v>
      </c>
      <c r="I4315" t="s">
        <v>4834</v>
      </c>
    </row>
    <row r="4316" spans="1:13" x14ac:dyDescent="0.3">
      <c r="A4316" t="str">
        <f>"63414694"</f>
        <v>63414694</v>
      </c>
      <c r="B4316" t="s">
        <v>8385</v>
      </c>
      <c r="C4316" t="str">
        <f t="shared" si="308"/>
        <v>736</v>
      </c>
      <c r="D4316" t="s">
        <v>22</v>
      </c>
      <c r="E4316" t="s">
        <v>83</v>
      </c>
      <c r="F4316" t="s">
        <v>1627</v>
      </c>
      <c r="G4316" t="s">
        <v>4023</v>
      </c>
      <c r="H4316" t="str">
        <f t="shared" si="310"/>
        <v>84250</v>
      </c>
      <c r="I4316" t="s">
        <v>4834</v>
      </c>
      <c r="J4316" t="s">
        <v>258</v>
      </c>
      <c r="K4316" t="s">
        <v>2069</v>
      </c>
      <c r="L4316" t="s">
        <v>161</v>
      </c>
    </row>
    <row r="4317" spans="1:13" x14ac:dyDescent="0.3">
      <c r="A4317" t="str">
        <f>"68729677"</f>
        <v>68729677</v>
      </c>
      <c r="B4317" t="s">
        <v>8386</v>
      </c>
      <c r="C4317" t="str">
        <f t="shared" si="308"/>
        <v>736</v>
      </c>
      <c r="D4317" t="s">
        <v>22</v>
      </c>
      <c r="E4317" t="s">
        <v>23</v>
      </c>
      <c r="F4317" t="s">
        <v>8387</v>
      </c>
      <c r="G4317" t="s">
        <v>8388</v>
      </c>
      <c r="H4317" t="str">
        <f t="shared" si="310"/>
        <v>84250</v>
      </c>
      <c r="I4317" t="s">
        <v>4834</v>
      </c>
    </row>
    <row r="4318" spans="1:13" x14ac:dyDescent="0.3">
      <c r="A4318" t="str">
        <f>"47930381"</f>
        <v>47930381</v>
      </c>
      <c r="B4318" t="s">
        <v>8389</v>
      </c>
      <c r="C4318" t="str">
        <f t="shared" si="308"/>
        <v>736</v>
      </c>
      <c r="D4318" t="s">
        <v>22</v>
      </c>
      <c r="E4318" t="s">
        <v>83</v>
      </c>
      <c r="F4318" t="s">
        <v>3510</v>
      </c>
      <c r="G4318" t="s">
        <v>8390</v>
      </c>
      <c r="H4318" t="str">
        <f t="shared" si="310"/>
        <v>84250</v>
      </c>
      <c r="I4318" t="s">
        <v>4834</v>
      </c>
      <c r="J4318" t="s">
        <v>258</v>
      </c>
      <c r="K4318" t="s">
        <v>2069</v>
      </c>
      <c r="L4318" t="s">
        <v>2599</v>
      </c>
      <c r="M4318" t="s">
        <v>161</v>
      </c>
    </row>
    <row r="4319" spans="1:13" x14ac:dyDescent="0.3">
      <c r="A4319" t="str">
        <f>"68729669"</f>
        <v>68729669</v>
      </c>
      <c r="B4319" t="s">
        <v>8391</v>
      </c>
      <c r="C4319" t="str">
        <f t="shared" si="308"/>
        <v>736</v>
      </c>
      <c r="D4319" t="s">
        <v>22</v>
      </c>
      <c r="E4319" t="s">
        <v>23</v>
      </c>
      <c r="F4319" t="s">
        <v>6995</v>
      </c>
      <c r="G4319" t="s">
        <v>8392</v>
      </c>
      <c r="H4319" t="str">
        <f t="shared" si="310"/>
        <v>84250</v>
      </c>
      <c r="I4319" t="s">
        <v>4834</v>
      </c>
    </row>
    <row r="4320" spans="1:13" x14ac:dyDescent="0.3">
      <c r="A4320" t="str">
        <f>"63701570"</f>
        <v>63701570</v>
      </c>
      <c r="B4320" t="s">
        <v>8393</v>
      </c>
      <c r="C4320" t="str">
        <f t="shared" si="308"/>
        <v>736</v>
      </c>
      <c r="D4320" t="s">
        <v>22</v>
      </c>
      <c r="E4320" t="s">
        <v>29</v>
      </c>
      <c r="F4320" t="s">
        <v>195</v>
      </c>
      <c r="G4320" t="s">
        <v>6196</v>
      </c>
      <c r="H4320" t="str">
        <f t="shared" si="310"/>
        <v>84250</v>
      </c>
      <c r="I4320" t="s">
        <v>4834</v>
      </c>
      <c r="J4320" t="s">
        <v>161</v>
      </c>
      <c r="K4320" t="s">
        <v>2069</v>
      </c>
    </row>
    <row r="4321" spans="1:12" x14ac:dyDescent="0.3">
      <c r="A4321" t="str">
        <f>"65469224"</f>
        <v>65469224</v>
      </c>
      <c r="B4321" t="s">
        <v>8394</v>
      </c>
      <c r="C4321" t="str">
        <f t="shared" si="308"/>
        <v>736</v>
      </c>
      <c r="D4321" t="s">
        <v>22</v>
      </c>
      <c r="E4321" t="s">
        <v>29</v>
      </c>
      <c r="F4321" t="s">
        <v>274</v>
      </c>
      <c r="G4321" t="s">
        <v>8395</v>
      </c>
      <c r="H4321" t="str">
        <f t="shared" si="310"/>
        <v>84250</v>
      </c>
      <c r="I4321" t="s">
        <v>4834</v>
      </c>
      <c r="J4321" t="s">
        <v>258</v>
      </c>
      <c r="K4321" t="s">
        <v>161</v>
      </c>
      <c r="L4321" t="s">
        <v>2069</v>
      </c>
    </row>
    <row r="4322" spans="1:12" x14ac:dyDescent="0.3">
      <c r="A4322" t="str">
        <f>"68729685"</f>
        <v>68729685</v>
      </c>
      <c r="B4322" t="s">
        <v>8396</v>
      </c>
      <c r="C4322" t="str">
        <f t="shared" si="308"/>
        <v>736</v>
      </c>
      <c r="D4322" t="s">
        <v>22</v>
      </c>
      <c r="E4322" t="s">
        <v>23</v>
      </c>
      <c r="F4322" t="s">
        <v>978</v>
      </c>
      <c r="G4322" t="s">
        <v>8397</v>
      </c>
      <c r="H4322" t="str">
        <f t="shared" si="310"/>
        <v>84250</v>
      </c>
      <c r="I4322" t="s">
        <v>4834</v>
      </c>
    </row>
    <row r="4323" spans="1:12" x14ac:dyDescent="0.3">
      <c r="A4323" t="str">
        <f>"65324943"</f>
        <v>65324943</v>
      </c>
      <c r="B4323" t="s">
        <v>8398</v>
      </c>
      <c r="C4323" t="str">
        <f t="shared" si="308"/>
        <v>736</v>
      </c>
      <c r="D4323" t="s">
        <v>22</v>
      </c>
      <c r="E4323" t="s">
        <v>52</v>
      </c>
      <c r="F4323" t="s">
        <v>1679</v>
      </c>
      <c r="G4323" t="s">
        <v>8399</v>
      </c>
      <c r="H4323" t="str">
        <f t="shared" si="310"/>
        <v>84250</v>
      </c>
      <c r="I4323" t="s">
        <v>4834</v>
      </c>
    </row>
    <row r="4324" spans="1:12" x14ac:dyDescent="0.3">
      <c r="A4324" t="str">
        <f>"04796519"</f>
        <v>04796519</v>
      </c>
      <c r="B4324" t="s">
        <v>8400</v>
      </c>
      <c r="C4324" t="str">
        <f t="shared" si="308"/>
        <v>736</v>
      </c>
      <c r="D4324" t="s">
        <v>22</v>
      </c>
      <c r="E4324" t="s">
        <v>52</v>
      </c>
      <c r="F4324" t="s">
        <v>1679</v>
      </c>
      <c r="G4324" t="s">
        <v>8401</v>
      </c>
      <c r="H4324" t="str">
        <f>"8425"</f>
        <v>8425</v>
      </c>
      <c r="I4324" t="s">
        <v>4834</v>
      </c>
    </row>
    <row r="4325" spans="1:12" x14ac:dyDescent="0.3">
      <c r="A4325" t="str">
        <f>"65469453"</f>
        <v>65469453</v>
      </c>
      <c r="B4325" t="s">
        <v>8402</v>
      </c>
      <c r="C4325" t="str">
        <f t="shared" si="308"/>
        <v>736</v>
      </c>
      <c r="D4325" t="s">
        <v>22</v>
      </c>
      <c r="E4325" t="s">
        <v>29</v>
      </c>
      <c r="F4325" t="s">
        <v>2177</v>
      </c>
      <c r="G4325" t="s">
        <v>2178</v>
      </c>
      <c r="H4325" t="str">
        <f t="shared" ref="H4325:H4375" si="311">"84250"</f>
        <v>84250</v>
      </c>
      <c r="I4325" t="s">
        <v>4834</v>
      </c>
      <c r="J4325" t="s">
        <v>258</v>
      </c>
      <c r="K4325" t="s">
        <v>161</v>
      </c>
      <c r="L4325" t="s">
        <v>2069</v>
      </c>
    </row>
    <row r="4326" spans="1:12" x14ac:dyDescent="0.3">
      <c r="A4326" t="str">
        <f>"65792921"</f>
        <v>65792921</v>
      </c>
      <c r="B4326" t="s">
        <v>8403</v>
      </c>
      <c r="C4326" t="str">
        <f t="shared" si="308"/>
        <v>736</v>
      </c>
      <c r="D4326" t="s">
        <v>22</v>
      </c>
      <c r="E4326" t="s">
        <v>23</v>
      </c>
      <c r="F4326" t="s">
        <v>99</v>
      </c>
      <c r="G4326" t="s">
        <v>5572</v>
      </c>
      <c r="H4326" t="str">
        <f t="shared" si="311"/>
        <v>84250</v>
      </c>
      <c r="I4326" t="s">
        <v>4834</v>
      </c>
    </row>
    <row r="4327" spans="1:12" x14ac:dyDescent="0.3">
      <c r="A4327" t="str">
        <f>"63701588"</f>
        <v>63701588</v>
      </c>
      <c r="B4327" t="s">
        <v>8404</v>
      </c>
      <c r="C4327" t="str">
        <f t="shared" si="308"/>
        <v>736</v>
      </c>
      <c r="D4327" t="s">
        <v>22</v>
      </c>
      <c r="E4327" t="s">
        <v>29</v>
      </c>
      <c r="F4327" t="s">
        <v>390</v>
      </c>
      <c r="G4327" t="s">
        <v>8027</v>
      </c>
      <c r="H4327" t="str">
        <f t="shared" si="311"/>
        <v>84250</v>
      </c>
      <c r="I4327" t="s">
        <v>4834</v>
      </c>
    </row>
    <row r="4328" spans="1:12" x14ac:dyDescent="0.3">
      <c r="A4328" t="str">
        <f>"65792751"</f>
        <v>65792751</v>
      </c>
      <c r="B4328" t="s">
        <v>8405</v>
      </c>
      <c r="C4328" t="str">
        <f t="shared" si="308"/>
        <v>736</v>
      </c>
      <c r="D4328" t="s">
        <v>22</v>
      </c>
      <c r="E4328" t="s">
        <v>23</v>
      </c>
      <c r="F4328" t="s">
        <v>296</v>
      </c>
      <c r="G4328" t="s">
        <v>8406</v>
      </c>
      <c r="H4328" t="str">
        <f t="shared" si="311"/>
        <v>84250</v>
      </c>
      <c r="I4328" t="s">
        <v>4834</v>
      </c>
      <c r="J4328" t="s">
        <v>258</v>
      </c>
      <c r="K4328" t="s">
        <v>161</v>
      </c>
      <c r="L4328" t="s">
        <v>2069</v>
      </c>
    </row>
    <row r="4329" spans="1:12" x14ac:dyDescent="0.3">
      <c r="A4329" t="str">
        <f>"63459183"</f>
        <v>63459183</v>
      </c>
      <c r="B4329" t="s">
        <v>8407</v>
      </c>
      <c r="C4329" t="str">
        <f t="shared" si="308"/>
        <v>736</v>
      </c>
      <c r="D4329" t="s">
        <v>22</v>
      </c>
      <c r="E4329" t="s">
        <v>83</v>
      </c>
      <c r="F4329" t="s">
        <v>1867</v>
      </c>
      <c r="G4329" t="s">
        <v>8408</v>
      </c>
      <c r="H4329" t="str">
        <f t="shared" si="311"/>
        <v>84250</v>
      </c>
      <c r="I4329" t="s">
        <v>4834</v>
      </c>
      <c r="J4329" t="s">
        <v>258</v>
      </c>
      <c r="K4329" t="s">
        <v>161</v>
      </c>
      <c r="L4329" t="s">
        <v>2069</v>
      </c>
    </row>
    <row r="4330" spans="1:12" x14ac:dyDescent="0.3">
      <c r="A4330" t="str">
        <f>"63459566"</f>
        <v>63459566</v>
      </c>
      <c r="B4330" t="s">
        <v>8409</v>
      </c>
      <c r="C4330" t="str">
        <f t="shared" si="308"/>
        <v>736</v>
      </c>
      <c r="D4330" t="s">
        <v>22</v>
      </c>
      <c r="E4330" t="s">
        <v>83</v>
      </c>
      <c r="F4330" t="s">
        <v>83</v>
      </c>
      <c r="G4330" t="s">
        <v>5575</v>
      </c>
      <c r="H4330" t="str">
        <f t="shared" si="311"/>
        <v>84250</v>
      </c>
      <c r="I4330" t="s">
        <v>4834</v>
      </c>
    </row>
    <row r="4331" spans="1:12" x14ac:dyDescent="0.3">
      <c r="A4331" t="str">
        <f>"65823214"</f>
        <v>65823214</v>
      </c>
      <c r="B4331" t="s">
        <v>8410</v>
      </c>
      <c r="C4331" t="str">
        <f t="shared" si="308"/>
        <v>736</v>
      </c>
      <c r="D4331" t="s">
        <v>22</v>
      </c>
      <c r="E4331" t="s">
        <v>23</v>
      </c>
      <c r="F4331" t="s">
        <v>2717</v>
      </c>
      <c r="G4331" t="s">
        <v>8411</v>
      </c>
      <c r="H4331" t="str">
        <f t="shared" si="311"/>
        <v>84250</v>
      </c>
      <c r="I4331" t="s">
        <v>4834</v>
      </c>
    </row>
    <row r="4332" spans="1:12" x14ac:dyDescent="0.3">
      <c r="A4332" t="str">
        <f>"44740921"</f>
        <v>44740921</v>
      </c>
      <c r="B4332" t="s">
        <v>8412</v>
      </c>
      <c r="C4332" t="str">
        <f t="shared" si="308"/>
        <v>736</v>
      </c>
      <c r="D4332" t="s">
        <v>22</v>
      </c>
      <c r="E4332" t="s">
        <v>29</v>
      </c>
      <c r="F4332" t="s">
        <v>1874</v>
      </c>
      <c r="G4332" t="s">
        <v>8413</v>
      </c>
      <c r="H4332" t="str">
        <f t="shared" si="311"/>
        <v>84250</v>
      </c>
      <c r="I4332" t="s">
        <v>4834</v>
      </c>
    </row>
    <row r="4333" spans="1:12" x14ac:dyDescent="0.3">
      <c r="A4333" t="str">
        <f>"65823249"</f>
        <v>65823249</v>
      </c>
      <c r="B4333" t="s">
        <v>8414</v>
      </c>
      <c r="C4333" t="str">
        <f t="shared" si="308"/>
        <v>736</v>
      </c>
      <c r="D4333" t="s">
        <v>22</v>
      </c>
      <c r="E4333" t="s">
        <v>23</v>
      </c>
      <c r="F4333" t="s">
        <v>1877</v>
      </c>
      <c r="G4333" t="s">
        <v>8021</v>
      </c>
      <c r="H4333" t="str">
        <f t="shared" si="311"/>
        <v>84250</v>
      </c>
      <c r="I4333" t="s">
        <v>4834</v>
      </c>
      <c r="J4333" t="s">
        <v>258</v>
      </c>
      <c r="K4333" t="s">
        <v>161</v>
      </c>
      <c r="L4333" t="s">
        <v>2069</v>
      </c>
    </row>
    <row r="4334" spans="1:12" x14ac:dyDescent="0.3">
      <c r="A4334" t="str">
        <f>"65792696"</f>
        <v>65792696</v>
      </c>
      <c r="B4334" t="s">
        <v>8415</v>
      </c>
      <c r="C4334" t="str">
        <f t="shared" ref="C4334:C4397" si="312">"736"</f>
        <v>736</v>
      </c>
      <c r="D4334" t="s">
        <v>22</v>
      </c>
      <c r="E4334" t="s">
        <v>23</v>
      </c>
      <c r="F4334" t="s">
        <v>2318</v>
      </c>
      <c r="G4334" t="s">
        <v>3407</v>
      </c>
      <c r="H4334" t="str">
        <f t="shared" si="311"/>
        <v>84250</v>
      </c>
      <c r="I4334" t="s">
        <v>4834</v>
      </c>
    </row>
    <row r="4335" spans="1:12" x14ac:dyDescent="0.3">
      <c r="A4335" t="str">
        <f>"65324731"</f>
        <v>65324731</v>
      </c>
      <c r="B4335" t="s">
        <v>8416</v>
      </c>
      <c r="C4335" t="str">
        <f t="shared" si="312"/>
        <v>736</v>
      </c>
      <c r="D4335" t="s">
        <v>22</v>
      </c>
      <c r="E4335" t="s">
        <v>52</v>
      </c>
      <c r="F4335" t="s">
        <v>1955</v>
      </c>
      <c r="G4335" t="s">
        <v>8417</v>
      </c>
      <c r="H4335" t="str">
        <f t="shared" si="311"/>
        <v>84250</v>
      </c>
      <c r="I4335" t="s">
        <v>4834</v>
      </c>
      <c r="J4335" t="s">
        <v>258</v>
      </c>
      <c r="K4335" t="s">
        <v>161</v>
      </c>
      <c r="L4335" t="s">
        <v>2069</v>
      </c>
    </row>
    <row r="4336" spans="1:12" x14ac:dyDescent="0.3">
      <c r="A4336" t="str">
        <f>"60383321"</f>
        <v>60383321</v>
      </c>
      <c r="B4336" t="s">
        <v>8418</v>
      </c>
      <c r="C4336" t="str">
        <f t="shared" si="312"/>
        <v>736</v>
      </c>
      <c r="D4336" t="s">
        <v>22</v>
      </c>
      <c r="E4336" t="s">
        <v>83</v>
      </c>
      <c r="F4336" t="s">
        <v>453</v>
      </c>
      <c r="G4336" t="s">
        <v>5665</v>
      </c>
      <c r="H4336" t="str">
        <f t="shared" si="311"/>
        <v>84250</v>
      </c>
      <c r="I4336" t="s">
        <v>4834</v>
      </c>
      <c r="J4336" t="s">
        <v>258</v>
      </c>
      <c r="K4336" t="s">
        <v>161</v>
      </c>
      <c r="L4336" t="s">
        <v>2069</v>
      </c>
    </row>
    <row r="4337" spans="1:12" x14ac:dyDescent="0.3">
      <c r="A4337" t="str">
        <f>"65274458"</f>
        <v>65274458</v>
      </c>
      <c r="B4337" t="s">
        <v>8419</v>
      </c>
      <c r="C4337" t="str">
        <f t="shared" si="312"/>
        <v>736</v>
      </c>
      <c r="D4337" t="s">
        <v>22</v>
      </c>
      <c r="E4337" t="s">
        <v>83</v>
      </c>
      <c r="F4337" t="s">
        <v>3456</v>
      </c>
      <c r="G4337" t="s">
        <v>8420</v>
      </c>
      <c r="H4337" t="str">
        <f t="shared" si="311"/>
        <v>84250</v>
      </c>
      <c r="I4337" t="s">
        <v>4834</v>
      </c>
      <c r="J4337" t="s">
        <v>258</v>
      </c>
      <c r="K4337" t="s">
        <v>161</v>
      </c>
      <c r="L4337" t="s">
        <v>2069</v>
      </c>
    </row>
    <row r="4338" spans="1:12" x14ac:dyDescent="0.3">
      <c r="A4338" t="str">
        <f>"65469399"</f>
        <v>65469399</v>
      </c>
      <c r="B4338" t="s">
        <v>8421</v>
      </c>
      <c r="C4338" t="str">
        <f t="shared" si="312"/>
        <v>736</v>
      </c>
      <c r="D4338" t="s">
        <v>22</v>
      </c>
      <c r="E4338" t="s">
        <v>29</v>
      </c>
      <c r="F4338" t="s">
        <v>2220</v>
      </c>
      <c r="G4338" t="s">
        <v>4846</v>
      </c>
      <c r="H4338" t="str">
        <f t="shared" si="311"/>
        <v>84250</v>
      </c>
      <c r="I4338" t="s">
        <v>4834</v>
      </c>
    </row>
    <row r="4339" spans="1:12" x14ac:dyDescent="0.3">
      <c r="A4339" t="str">
        <f>"63701669"</f>
        <v>63701669</v>
      </c>
      <c r="B4339" t="s">
        <v>8422</v>
      </c>
      <c r="C4339" t="str">
        <f t="shared" si="312"/>
        <v>736</v>
      </c>
      <c r="D4339" t="s">
        <v>22</v>
      </c>
      <c r="E4339" t="s">
        <v>29</v>
      </c>
      <c r="F4339" t="s">
        <v>778</v>
      </c>
      <c r="G4339" t="s">
        <v>8423</v>
      </c>
      <c r="H4339" t="str">
        <f t="shared" si="311"/>
        <v>84250</v>
      </c>
      <c r="I4339" t="s">
        <v>4834</v>
      </c>
      <c r="J4339" t="s">
        <v>258</v>
      </c>
      <c r="K4339" t="s">
        <v>2069</v>
      </c>
      <c r="L4339" t="s">
        <v>161</v>
      </c>
    </row>
    <row r="4340" spans="1:12" x14ac:dyDescent="0.3">
      <c r="A4340" t="str">
        <f>"64467171"</f>
        <v>64467171</v>
      </c>
      <c r="B4340" t="s">
        <v>8424</v>
      </c>
      <c r="C4340" t="str">
        <f t="shared" si="312"/>
        <v>736</v>
      </c>
      <c r="D4340" t="s">
        <v>22</v>
      </c>
      <c r="E4340" t="s">
        <v>23</v>
      </c>
      <c r="F4340" t="s">
        <v>1880</v>
      </c>
      <c r="G4340" t="s">
        <v>8425</v>
      </c>
      <c r="H4340" t="str">
        <f t="shared" si="311"/>
        <v>84250</v>
      </c>
      <c r="I4340" t="s">
        <v>4834</v>
      </c>
    </row>
    <row r="4341" spans="1:12" x14ac:dyDescent="0.3">
      <c r="A4341" t="str">
        <f>"65270169"</f>
        <v>65270169</v>
      </c>
      <c r="B4341" t="s">
        <v>8426</v>
      </c>
      <c r="C4341" t="str">
        <f t="shared" si="312"/>
        <v>736</v>
      </c>
      <c r="D4341" t="s">
        <v>22</v>
      </c>
      <c r="E4341" t="s">
        <v>83</v>
      </c>
      <c r="F4341" t="s">
        <v>873</v>
      </c>
      <c r="G4341" t="s">
        <v>8427</v>
      </c>
      <c r="H4341" t="str">
        <f t="shared" si="311"/>
        <v>84250</v>
      </c>
      <c r="I4341" t="s">
        <v>4834</v>
      </c>
      <c r="J4341" t="s">
        <v>258</v>
      </c>
      <c r="K4341" t="s">
        <v>161</v>
      </c>
      <c r="L4341" t="s">
        <v>2069</v>
      </c>
    </row>
    <row r="4342" spans="1:12" x14ac:dyDescent="0.3">
      <c r="A4342" t="str">
        <f>"63701928"</f>
        <v>63701928</v>
      </c>
      <c r="B4342" t="s">
        <v>8428</v>
      </c>
      <c r="C4342" t="str">
        <f t="shared" si="312"/>
        <v>736</v>
      </c>
      <c r="D4342" t="s">
        <v>22</v>
      </c>
      <c r="E4342" t="s">
        <v>29</v>
      </c>
      <c r="F4342" t="s">
        <v>1445</v>
      </c>
      <c r="G4342" t="s">
        <v>5229</v>
      </c>
      <c r="H4342" t="str">
        <f t="shared" si="311"/>
        <v>84250</v>
      </c>
      <c r="I4342" t="s">
        <v>4834</v>
      </c>
      <c r="J4342" t="s">
        <v>258</v>
      </c>
      <c r="K4342" t="s">
        <v>161</v>
      </c>
      <c r="L4342" t="s">
        <v>2069</v>
      </c>
    </row>
    <row r="4343" spans="1:12" x14ac:dyDescent="0.3">
      <c r="A4343" t="str">
        <f>"64422445"</f>
        <v>64422445</v>
      </c>
      <c r="B4343" t="s">
        <v>8429</v>
      </c>
      <c r="C4343" t="str">
        <f t="shared" si="312"/>
        <v>736</v>
      </c>
      <c r="D4343" t="s">
        <v>22</v>
      </c>
      <c r="E4343" t="s">
        <v>83</v>
      </c>
      <c r="F4343" t="s">
        <v>1778</v>
      </c>
      <c r="G4343" t="s">
        <v>7832</v>
      </c>
      <c r="H4343" t="str">
        <f t="shared" si="311"/>
        <v>84250</v>
      </c>
      <c r="I4343" t="s">
        <v>4834</v>
      </c>
      <c r="J4343" t="s">
        <v>258</v>
      </c>
      <c r="K4343" t="s">
        <v>161</v>
      </c>
      <c r="L4343" t="s">
        <v>2069</v>
      </c>
    </row>
    <row r="4344" spans="1:12" x14ac:dyDescent="0.3">
      <c r="A4344" t="str">
        <f>"65469488"</f>
        <v>65469488</v>
      </c>
      <c r="B4344" t="s">
        <v>8430</v>
      </c>
      <c r="C4344" t="str">
        <f t="shared" si="312"/>
        <v>736</v>
      </c>
      <c r="D4344" t="s">
        <v>22</v>
      </c>
      <c r="E4344" t="s">
        <v>29</v>
      </c>
      <c r="F4344" t="s">
        <v>135</v>
      </c>
      <c r="G4344" t="s">
        <v>8431</v>
      </c>
      <c r="H4344" t="str">
        <f t="shared" si="311"/>
        <v>84250</v>
      </c>
      <c r="I4344" t="s">
        <v>4834</v>
      </c>
    </row>
    <row r="4345" spans="1:12" x14ac:dyDescent="0.3">
      <c r="A4345" t="str">
        <f>"65469437"</f>
        <v>65469437</v>
      </c>
      <c r="B4345" t="s">
        <v>8432</v>
      </c>
      <c r="C4345" t="str">
        <f t="shared" si="312"/>
        <v>736</v>
      </c>
      <c r="D4345" t="s">
        <v>22</v>
      </c>
      <c r="E4345" t="s">
        <v>29</v>
      </c>
      <c r="F4345" t="s">
        <v>503</v>
      </c>
      <c r="G4345" t="s">
        <v>8433</v>
      </c>
      <c r="H4345" t="str">
        <f t="shared" si="311"/>
        <v>84250</v>
      </c>
      <c r="I4345" t="s">
        <v>4834</v>
      </c>
      <c r="J4345" t="s">
        <v>258</v>
      </c>
      <c r="K4345" t="s">
        <v>161</v>
      </c>
      <c r="L4345" t="s">
        <v>2069</v>
      </c>
    </row>
    <row r="4346" spans="1:12" x14ac:dyDescent="0.3">
      <c r="A4346" t="str">
        <f>"62182609"</f>
        <v>62182609</v>
      </c>
      <c r="B4346" t="s">
        <v>8434</v>
      </c>
      <c r="C4346" t="str">
        <f t="shared" si="312"/>
        <v>736</v>
      </c>
      <c r="D4346" t="s">
        <v>22</v>
      </c>
      <c r="E4346" t="s">
        <v>23</v>
      </c>
      <c r="F4346" t="s">
        <v>4802</v>
      </c>
      <c r="G4346" t="s">
        <v>8010</v>
      </c>
      <c r="H4346" t="str">
        <f t="shared" si="311"/>
        <v>84250</v>
      </c>
      <c r="I4346" t="s">
        <v>4834</v>
      </c>
    </row>
    <row r="4347" spans="1:12" x14ac:dyDescent="0.3">
      <c r="A4347" t="str">
        <f>"63414376"</f>
        <v>63414376</v>
      </c>
      <c r="B4347" t="s">
        <v>8435</v>
      </c>
      <c r="C4347" t="str">
        <f t="shared" si="312"/>
        <v>736</v>
      </c>
      <c r="D4347" t="s">
        <v>22</v>
      </c>
      <c r="E4347" t="s">
        <v>83</v>
      </c>
      <c r="F4347" t="s">
        <v>473</v>
      </c>
      <c r="G4347" t="s">
        <v>5034</v>
      </c>
      <c r="H4347" t="str">
        <f t="shared" si="311"/>
        <v>84250</v>
      </c>
      <c r="I4347" t="s">
        <v>4834</v>
      </c>
      <c r="J4347" t="s">
        <v>258</v>
      </c>
      <c r="K4347" t="s">
        <v>161</v>
      </c>
      <c r="L4347" t="s">
        <v>2069</v>
      </c>
    </row>
    <row r="4348" spans="1:12" x14ac:dyDescent="0.3">
      <c r="A4348" t="str">
        <f>"65792688"</f>
        <v>65792688</v>
      </c>
      <c r="B4348" t="s">
        <v>8436</v>
      </c>
      <c r="C4348" t="str">
        <f t="shared" si="312"/>
        <v>736</v>
      </c>
      <c r="D4348" t="s">
        <v>22</v>
      </c>
      <c r="E4348" t="s">
        <v>23</v>
      </c>
      <c r="F4348" t="s">
        <v>87</v>
      </c>
      <c r="G4348" t="s">
        <v>8437</v>
      </c>
      <c r="H4348" t="str">
        <f t="shared" si="311"/>
        <v>84250</v>
      </c>
      <c r="I4348" t="s">
        <v>4834</v>
      </c>
      <c r="J4348" t="s">
        <v>258</v>
      </c>
      <c r="K4348" t="s">
        <v>161</v>
      </c>
      <c r="L4348" t="s">
        <v>2069</v>
      </c>
    </row>
    <row r="4349" spans="1:12" x14ac:dyDescent="0.3">
      <c r="A4349" t="str">
        <f>"65270428"</f>
        <v>65270428</v>
      </c>
      <c r="B4349" t="s">
        <v>8438</v>
      </c>
      <c r="C4349" t="str">
        <f t="shared" si="312"/>
        <v>736</v>
      </c>
      <c r="D4349" t="s">
        <v>22</v>
      </c>
      <c r="E4349" t="s">
        <v>83</v>
      </c>
      <c r="F4349" t="s">
        <v>200</v>
      </c>
      <c r="G4349" t="s">
        <v>5589</v>
      </c>
      <c r="H4349" t="str">
        <f t="shared" si="311"/>
        <v>84250</v>
      </c>
      <c r="I4349" t="s">
        <v>4834</v>
      </c>
    </row>
    <row r="4350" spans="1:12" x14ac:dyDescent="0.3">
      <c r="A4350" t="str">
        <f>"63701936"</f>
        <v>63701936</v>
      </c>
      <c r="B4350" t="s">
        <v>8439</v>
      </c>
      <c r="C4350" t="str">
        <f t="shared" si="312"/>
        <v>736</v>
      </c>
      <c r="D4350" t="s">
        <v>22</v>
      </c>
      <c r="E4350" t="s">
        <v>29</v>
      </c>
      <c r="F4350" t="s">
        <v>681</v>
      </c>
      <c r="G4350" t="s">
        <v>8440</v>
      </c>
      <c r="H4350" t="str">
        <f t="shared" si="311"/>
        <v>84250</v>
      </c>
      <c r="I4350" t="s">
        <v>4834</v>
      </c>
      <c r="J4350" t="s">
        <v>258</v>
      </c>
      <c r="K4350" t="s">
        <v>161</v>
      </c>
      <c r="L4350" t="s">
        <v>2069</v>
      </c>
    </row>
    <row r="4351" spans="1:12" x14ac:dyDescent="0.3">
      <c r="A4351" t="str">
        <f>"68729707"</f>
        <v>68729707</v>
      </c>
      <c r="B4351" t="s">
        <v>8441</v>
      </c>
      <c r="C4351" t="str">
        <f t="shared" si="312"/>
        <v>736</v>
      </c>
      <c r="D4351" t="s">
        <v>22</v>
      </c>
      <c r="E4351" t="s">
        <v>23</v>
      </c>
      <c r="F4351" t="s">
        <v>102</v>
      </c>
      <c r="G4351" t="s">
        <v>8442</v>
      </c>
      <c r="H4351" t="str">
        <f t="shared" si="311"/>
        <v>84250</v>
      </c>
      <c r="I4351" t="s">
        <v>4834</v>
      </c>
    </row>
    <row r="4352" spans="1:12" x14ac:dyDescent="0.3">
      <c r="A4352" t="str">
        <f>"63701511"</f>
        <v>63701511</v>
      </c>
      <c r="B4352" t="s">
        <v>8441</v>
      </c>
      <c r="C4352" t="str">
        <f t="shared" si="312"/>
        <v>736</v>
      </c>
      <c r="D4352" t="s">
        <v>22</v>
      </c>
      <c r="E4352" t="s">
        <v>29</v>
      </c>
      <c r="F4352" t="s">
        <v>29</v>
      </c>
      <c r="G4352" t="s">
        <v>8443</v>
      </c>
      <c r="H4352" t="str">
        <f t="shared" si="311"/>
        <v>84250</v>
      </c>
      <c r="I4352" t="s">
        <v>4834</v>
      </c>
      <c r="J4352" t="s">
        <v>258</v>
      </c>
      <c r="K4352" t="s">
        <v>161</v>
      </c>
      <c r="L4352" t="s">
        <v>2069</v>
      </c>
    </row>
    <row r="4353" spans="1:12" x14ac:dyDescent="0.3">
      <c r="A4353" t="str">
        <f>"63414171"</f>
        <v>63414171</v>
      </c>
      <c r="B4353" t="s">
        <v>8444</v>
      </c>
      <c r="C4353" t="str">
        <f t="shared" si="312"/>
        <v>736</v>
      </c>
      <c r="D4353" t="s">
        <v>22</v>
      </c>
      <c r="E4353" t="s">
        <v>83</v>
      </c>
      <c r="F4353" t="s">
        <v>3513</v>
      </c>
      <c r="G4353" t="s">
        <v>8445</v>
      </c>
      <c r="H4353" t="str">
        <f t="shared" si="311"/>
        <v>84250</v>
      </c>
      <c r="I4353" t="s">
        <v>4834</v>
      </c>
      <c r="J4353" t="s">
        <v>258</v>
      </c>
      <c r="K4353" t="s">
        <v>161</v>
      </c>
      <c r="L4353" t="s">
        <v>2069</v>
      </c>
    </row>
    <row r="4354" spans="1:12" x14ac:dyDescent="0.3">
      <c r="A4354" t="str">
        <f>"71179968"</f>
        <v>71179968</v>
      </c>
      <c r="B4354" t="s">
        <v>8446</v>
      </c>
      <c r="C4354" t="str">
        <f t="shared" si="312"/>
        <v>736</v>
      </c>
      <c r="D4354" t="s">
        <v>22</v>
      </c>
      <c r="E4354" t="s">
        <v>83</v>
      </c>
      <c r="F4354" t="s">
        <v>1055</v>
      </c>
      <c r="G4354" t="s">
        <v>5596</v>
      </c>
      <c r="H4354" t="str">
        <f t="shared" si="311"/>
        <v>84250</v>
      </c>
      <c r="I4354" t="s">
        <v>4834</v>
      </c>
      <c r="J4354" t="s">
        <v>258</v>
      </c>
      <c r="K4354" t="s">
        <v>161</v>
      </c>
      <c r="L4354" t="s">
        <v>2069</v>
      </c>
    </row>
    <row r="4355" spans="1:12" x14ac:dyDescent="0.3">
      <c r="A4355" t="str">
        <f>"48773590"</f>
        <v>48773590</v>
      </c>
      <c r="B4355" t="s">
        <v>8447</v>
      </c>
      <c r="C4355" t="str">
        <f t="shared" si="312"/>
        <v>736</v>
      </c>
      <c r="D4355" t="s">
        <v>22</v>
      </c>
      <c r="E4355" t="s">
        <v>29</v>
      </c>
      <c r="F4355" t="s">
        <v>38</v>
      </c>
      <c r="G4355" t="s">
        <v>8448</v>
      </c>
      <c r="H4355" t="str">
        <f t="shared" si="311"/>
        <v>84250</v>
      </c>
      <c r="I4355" t="s">
        <v>4834</v>
      </c>
    </row>
    <row r="4356" spans="1:12" x14ac:dyDescent="0.3">
      <c r="A4356" t="str">
        <f>"65325371"</f>
        <v>65325371</v>
      </c>
      <c r="B4356" t="s">
        <v>8449</v>
      </c>
      <c r="C4356" t="str">
        <f t="shared" si="312"/>
        <v>736</v>
      </c>
      <c r="D4356" t="s">
        <v>22</v>
      </c>
      <c r="E4356" t="s">
        <v>52</v>
      </c>
      <c r="F4356" t="s">
        <v>5296</v>
      </c>
      <c r="G4356" t="s">
        <v>8450</v>
      </c>
      <c r="H4356" t="str">
        <f t="shared" si="311"/>
        <v>84250</v>
      </c>
      <c r="I4356" t="s">
        <v>4834</v>
      </c>
    </row>
    <row r="4357" spans="1:12" x14ac:dyDescent="0.3">
      <c r="A4357" t="str">
        <f>"65792319"</f>
        <v>65792319</v>
      </c>
      <c r="B4357" t="s">
        <v>8451</v>
      </c>
      <c r="C4357" t="str">
        <f t="shared" si="312"/>
        <v>736</v>
      </c>
      <c r="D4357" t="s">
        <v>22</v>
      </c>
      <c r="E4357" t="s">
        <v>23</v>
      </c>
      <c r="F4357" t="s">
        <v>5600</v>
      </c>
      <c r="G4357" t="s">
        <v>5601</v>
      </c>
      <c r="H4357" t="str">
        <f t="shared" si="311"/>
        <v>84250</v>
      </c>
      <c r="I4357" t="s">
        <v>4834</v>
      </c>
      <c r="J4357" t="s">
        <v>258</v>
      </c>
      <c r="K4357" t="s">
        <v>161</v>
      </c>
      <c r="L4357" t="s">
        <v>2069</v>
      </c>
    </row>
    <row r="4358" spans="1:12" x14ac:dyDescent="0.3">
      <c r="A4358" t="str">
        <f>"63414422"</f>
        <v>63414422</v>
      </c>
      <c r="B4358" t="s">
        <v>8452</v>
      </c>
      <c r="C4358" t="str">
        <f t="shared" si="312"/>
        <v>736</v>
      </c>
      <c r="D4358" t="s">
        <v>22</v>
      </c>
      <c r="E4358" t="s">
        <v>83</v>
      </c>
      <c r="F4358" t="s">
        <v>227</v>
      </c>
      <c r="G4358" t="s">
        <v>5602</v>
      </c>
      <c r="H4358" t="str">
        <f t="shared" si="311"/>
        <v>84250</v>
      </c>
      <c r="I4358" t="s">
        <v>4834</v>
      </c>
      <c r="J4358" t="s">
        <v>258</v>
      </c>
      <c r="K4358" t="s">
        <v>2069</v>
      </c>
      <c r="L4358" t="s">
        <v>161</v>
      </c>
    </row>
    <row r="4359" spans="1:12" x14ac:dyDescent="0.3">
      <c r="A4359" t="str">
        <f>"65891309"</f>
        <v>65891309</v>
      </c>
      <c r="B4359" t="s">
        <v>8453</v>
      </c>
      <c r="C4359" t="str">
        <f t="shared" si="312"/>
        <v>736</v>
      </c>
      <c r="D4359" t="s">
        <v>22</v>
      </c>
      <c r="E4359" t="s">
        <v>29</v>
      </c>
      <c r="F4359" t="s">
        <v>2532</v>
      </c>
      <c r="G4359" t="s">
        <v>8017</v>
      </c>
      <c r="H4359" t="str">
        <f t="shared" si="311"/>
        <v>84250</v>
      </c>
      <c r="I4359" t="s">
        <v>4834</v>
      </c>
      <c r="J4359" t="s">
        <v>258</v>
      </c>
      <c r="K4359" t="s">
        <v>161</v>
      </c>
      <c r="L4359" t="s">
        <v>2069</v>
      </c>
    </row>
    <row r="4360" spans="1:12" x14ac:dyDescent="0.3">
      <c r="A4360" t="str">
        <f>"63414228"</f>
        <v>63414228</v>
      </c>
      <c r="B4360" t="s">
        <v>8454</v>
      </c>
      <c r="C4360" t="str">
        <f t="shared" si="312"/>
        <v>736</v>
      </c>
      <c r="D4360" t="s">
        <v>22</v>
      </c>
      <c r="E4360" t="s">
        <v>83</v>
      </c>
      <c r="F4360" t="s">
        <v>175</v>
      </c>
      <c r="G4360" t="s">
        <v>8455</v>
      </c>
      <c r="H4360" t="str">
        <f t="shared" si="311"/>
        <v>84250</v>
      </c>
      <c r="I4360" t="s">
        <v>4834</v>
      </c>
      <c r="J4360" t="s">
        <v>258</v>
      </c>
      <c r="K4360" t="s">
        <v>161</v>
      </c>
      <c r="L4360" t="s">
        <v>2069</v>
      </c>
    </row>
    <row r="4361" spans="1:12" x14ac:dyDescent="0.3">
      <c r="A4361" t="str">
        <f>"60383381"</f>
        <v>60383381</v>
      </c>
      <c r="B4361" t="s">
        <v>8456</v>
      </c>
      <c r="C4361" t="str">
        <f t="shared" si="312"/>
        <v>736</v>
      </c>
      <c r="D4361" t="s">
        <v>22</v>
      </c>
      <c r="E4361" t="s">
        <v>83</v>
      </c>
      <c r="F4361" t="s">
        <v>1545</v>
      </c>
      <c r="G4361" t="s">
        <v>8457</v>
      </c>
      <c r="H4361" t="str">
        <f t="shared" si="311"/>
        <v>84250</v>
      </c>
      <c r="I4361" t="s">
        <v>4834</v>
      </c>
      <c r="J4361" t="s">
        <v>258</v>
      </c>
      <c r="K4361" t="s">
        <v>2069</v>
      </c>
      <c r="L4361" t="s">
        <v>161</v>
      </c>
    </row>
    <row r="4362" spans="1:12" x14ac:dyDescent="0.3">
      <c r="A4362" t="str">
        <f>"65792360"</f>
        <v>65792360</v>
      </c>
      <c r="B4362" t="s">
        <v>8458</v>
      </c>
      <c r="C4362" t="str">
        <f t="shared" si="312"/>
        <v>736</v>
      </c>
      <c r="D4362" t="s">
        <v>22</v>
      </c>
      <c r="E4362" t="s">
        <v>23</v>
      </c>
      <c r="F4362" t="s">
        <v>99</v>
      </c>
      <c r="G4362" t="s">
        <v>8459</v>
      </c>
      <c r="H4362" t="str">
        <f t="shared" si="311"/>
        <v>84250</v>
      </c>
      <c r="I4362" t="s">
        <v>4834</v>
      </c>
    </row>
    <row r="4363" spans="1:12" x14ac:dyDescent="0.3">
      <c r="A4363" t="str">
        <f>"70942820"</f>
        <v>70942820</v>
      </c>
      <c r="B4363" t="s">
        <v>8460</v>
      </c>
      <c r="C4363" t="str">
        <f t="shared" si="312"/>
        <v>736</v>
      </c>
      <c r="D4363" t="s">
        <v>22</v>
      </c>
      <c r="E4363" t="s">
        <v>52</v>
      </c>
      <c r="F4363" t="s">
        <v>1212</v>
      </c>
      <c r="G4363" t="s">
        <v>1213</v>
      </c>
      <c r="H4363" t="str">
        <f t="shared" si="311"/>
        <v>84250</v>
      </c>
      <c r="I4363" t="s">
        <v>4834</v>
      </c>
    </row>
    <row r="4364" spans="1:12" x14ac:dyDescent="0.3">
      <c r="A4364" t="str">
        <f>"64438848"</f>
        <v>64438848</v>
      </c>
      <c r="B4364" t="s">
        <v>8461</v>
      </c>
      <c r="C4364" t="str">
        <f t="shared" si="312"/>
        <v>736</v>
      </c>
      <c r="D4364" t="s">
        <v>22</v>
      </c>
      <c r="E4364" t="s">
        <v>23</v>
      </c>
      <c r="F4364" t="s">
        <v>599</v>
      </c>
      <c r="G4364" t="s">
        <v>6529</v>
      </c>
      <c r="H4364" t="str">
        <f t="shared" si="311"/>
        <v>84250</v>
      </c>
      <c r="I4364" t="s">
        <v>4834</v>
      </c>
      <c r="J4364" t="s">
        <v>258</v>
      </c>
      <c r="K4364" t="s">
        <v>161</v>
      </c>
      <c r="L4364" t="s">
        <v>2069</v>
      </c>
    </row>
    <row r="4365" spans="1:12" x14ac:dyDescent="0.3">
      <c r="A4365" t="str">
        <f>"68729723"</f>
        <v>68729723</v>
      </c>
      <c r="B4365" t="s">
        <v>8462</v>
      </c>
      <c r="C4365" t="str">
        <f t="shared" si="312"/>
        <v>736</v>
      </c>
      <c r="D4365" t="s">
        <v>22</v>
      </c>
      <c r="E4365" t="s">
        <v>23</v>
      </c>
      <c r="F4365" t="s">
        <v>3995</v>
      </c>
      <c r="G4365" t="s">
        <v>3996</v>
      </c>
      <c r="H4365" t="str">
        <f t="shared" si="311"/>
        <v>84250</v>
      </c>
      <c r="I4365" t="s">
        <v>4834</v>
      </c>
    </row>
    <row r="4366" spans="1:12" x14ac:dyDescent="0.3">
      <c r="A4366" t="str">
        <f>"63701502"</f>
        <v>63701502</v>
      </c>
      <c r="B4366" t="s">
        <v>8463</v>
      </c>
      <c r="C4366" t="str">
        <f t="shared" si="312"/>
        <v>736</v>
      </c>
      <c r="D4366" t="s">
        <v>22</v>
      </c>
      <c r="E4366" t="s">
        <v>29</v>
      </c>
      <c r="F4366" t="s">
        <v>29</v>
      </c>
      <c r="G4366" t="s">
        <v>8464</v>
      </c>
      <c r="H4366" t="str">
        <f t="shared" si="311"/>
        <v>84250</v>
      </c>
      <c r="I4366" t="s">
        <v>4834</v>
      </c>
    </row>
    <row r="4367" spans="1:12" x14ac:dyDescent="0.3">
      <c r="A4367" t="str">
        <f>"65469411"</f>
        <v>65469411</v>
      </c>
      <c r="B4367" t="s">
        <v>8465</v>
      </c>
      <c r="C4367" t="str">
        <f t="shared" si="312"/>
        <v>736</v>
      </c>
      <c r="D4367" t="s">
        <v>22</v>
      </c>
      <c r="E4367" t="s">
        <v>29</v>
      </c>
      <c r="F4367" t="s">
        <v>1888</v>
      </c>
      <c r="G4367" t="s">
        <v>8466</v>
      </c>
      <c r="H4367" t="str">
        <f t="shared" si="311"/>
        <v>84250</v>
      </c>
      <c r="I4367" t="s">
        <v>4834</v>
      </c>
      <c r="J4367" t="s">
        <v>258</v>
      </c>
      <c r="K4367" t="s">
        <v>161</v>
      </c>
      <c r="L4367" t="s">
        <v>2069</v>
      </c>
    </row>
    <row r="4368" spans="1:12" x14ac:dyDescent="0.3">
      <c r="A4368" t="str">
        <f>"63701766"</f>
        <v>63701766</v>
      </c>
      <c r="B4368" t="s">
        <v>8467</v>
      </c>
      <c r="C4368" t="str">
        <f t="shared" si="312"/>
        <v>736</v>
      </c>
      <c r="D4368" t="s">
        <v>22</v>
      </c>
      <c r="E4368" t="s">
        <v>29</v>
      </c>
      <c r="F4368" t="s">
        <v>1121</v>
      </c>
      <c r="G4368" t="s">
        <v>8468</v>
      </c>
      <c r="H4368" t="str">
        <f t="shared" si="311"/>
        <v>84250</v>
      </c>
      <c r="I4368" t="s">
        <v>4834</v>
      </c>
      <c r="J4368" t="s">
        <v>423</v>
      </c>
      <c r="K4368" t="s">
        <v>2069</v>
      </c>
      <c r="L4368" t="s">
        <v>161</v>
      </c>
    </row>
    <row r="4369" spans="1:12" x14ac:dyDescent="0.3">
      <c r="A4369" t="str">
        <f>"65792441"</f>
        <v>65792441</v>
      </c>
      <c r="B4369" t="s">
        <v>8469</v>
      </c>
      <c r="C4369" t="str">
        <f t="shared" si="312"/>
        <v>736</v>
      </c>
      <c r="D4369" t="s">
        <v>22</v>
      </c>
      <c r="E4369" t="s">
        <v>23</v>
      </c>
      <c r="F4369" t="s">
        <v>350</v>
      </c>
      <c r="G4369" t="s">
        <v>8037</v>
      </c>
      <c r="H4369" t="str">
        <f t="shared" si="311"/>
        <v>84250</v>
      </c>
      <c r="I4369" t="s">
        <v>4834</v>
      </c>
      <c r="J4369" t="s">
        <v>258</v>
      </c>
      <c r="K4369" t="s">
        <v>161</v>
      </c>
      <c r="L4369" t="s">
        <v>2069</v>
      </c>
    </row>
    <row r="4370" spans="1:12" x14ac:dyDescent="0.3">
      <c r="A4370" t="str">
        <f>"65325273"</f>
        <v>65325273</v>
      </c>
      <c r="B4370" t="s">
        <v>8470</v>
      </c>
      <c r="C4370" t="str">
        <f t="shared" si="312"/>
        <v>736</v>
      </c>
      <c r="D4370" t="s">
        <v>22</v>
      </c>
      <c r="E4370" t="s">
        <v>52</v>
      </c>
      <c r="F4370" t="s">
        <v>2700</v>
      </c>
      <c r="G4370" t="s">
        <v>2701</v>
      </c>
      <c r="H4370" t="str">
        <f t="shared" si="311"/>
        <v>84250</v>
      </c>
      <c r="I4370" t="s">
        <v>4834</v>
      </c>
    </row>
    <row r="4371" spans="1:12" x14ac:dyDescent="0.3">
      <c r="A4371" t="str">
        <f>"60383283"</f>
        <v>60383283</v>
      </c>
      <c r="B4371" t="s">
        <v>8471</v>
      </c>
      <c r="C4371" t="str">
        <f t="shared" si="312"/>
        <v>736</v>
      </c>
      <c r="D4371" t="s">
        <v>22</v>
      </c>
      <c r="E4371" t="s">
        <v>83</v>
      </c>
      <c r="F4371" t="s">
        <v>1451</v>
      </c>
      <c r="G4371" t="s">
        <v>8472</v>
      </c>
      <c r="H4371" t="str">
        <f t="shared" si="311"/>
        <v>84250</v>
      </c>
      <c r="I4371" t="s">
        <v>4834</v>
      </c>
      <c r="J4371" t="s">
        <v>258</v>
      </c>
      <c r="K4371" t="s">
        <v>161</v>
      </c>
      <c r="L4371" t="s">
        <v>2069</v>
      </c>
    </row>
    <row r="4372" spans="1:12" x14ac:dyDescent="0.3">
      <c r="A4372" t="str">
        <f>"65823303"</f>
        <v>65823303</v>
      </c>
      <c r="B4372" t="s">
        <v>8473</v>
      </c>
      <c r="C4372" t="str">
        <f t="shared" si="312"/>
        <v>736</v>
      </c>
      <c r="D4372" t="s">
        <v>22</v>
      </c>
      <c r="E4372" t="s">
        <v>23</v>
      </c>
      <c r="F4372" t="s">
        <v>5614</v>
      </c>
      <c r="G4372" t="s">
        <v>8474</v>
      </c>
      <c r="H4372" t="str">
        <f t="shared" si="311"/>
        <v>84250</v>
      </c>
      <c r="I4372" t="s">
        <v>4834</v>
      </c>
    </row>
    <row r="4373" spans="1:12" x14ac:dyDescent="0.3">
      <c r="A4373" t="str">
        <f>"68729731"</f>
        <v>68729731</v>
      </c>
      <c r="B4373" t="s">
        <v>8475</v>
      </c>
      <c r="C4373" t="str">
        <f t="shared" si="312"/>
        <v>736</v>
      </c>
      <c r="D4373" t="s">
        <v>22</v>
      </c>
      <c r="E4373" t="s">
        <v>23</v>
      </c>
      <c r="F4373" t="s">
        <v>459</v>
      </c>
      <c r="G4373" t="s">
        <v>8476</v>
      </c>
      <c r="H4373" t="str">
        <f t="shared" si="311"/>
        <v>84250</v>
      </c>
      <c r="I4373" t="s">
        <v>4834</v>
      </c>
      <c r="J4373" t="s">
        <v>258</v>
      </c>
      <c r="K4373" t="s">
        <v>161</v>
      </c>
      <c r="L4373" t="s">
        <v>2069</v>
      </c>
    </row>
    <row r="4374" spans="1:12" x14ac:dyDescent="0.3">
      <c r="A4374" t="str">
        <f>"68729740"</f>
        <v>68729740</v>
      </c>
      <c r="B4374" t="s">
        <v>8477</v>
      </c>
      <c r="C4374" t="str">
        <f t="shared" si="312"/>
        <v>736</v>
      </c>
      <c r="D4374" t="s">
        <v>22</v>
      </c>
      <c r="E4374" t="s">
        <v>23</v>
      </c>
      <c r="F4374" t="s">
        <v>107</v>
      </c>
      <c r="G4374" t="s">
        <v>8478</v>
      </c>
      <c r="H4374" t="str">
        <f t="shared" si="311"/>
        <v>84250</v>
      </c>
      <c r="I4374" t="s">
        <v>4834</v>
      </c>
    </row>
    <row r="4375" spans="1:12" x14ac:dyDescent="0.3">
      <c r="A4375" t="str">
        <f>"65270231"</f>
        <v>65270231</v>
      </c>
      <c r="B4375" t="s">
        <v>8479</v>
      </c>
      <c r="C4375" t="str">
        <f t="shared" si="312"/>
        <v>736</v>
      </c>
      <c r="D4375" t="s">
        <v>22</v>
      </c>
      <c r="E4375" t="s">
        <v>83</v>
      </c>
      <c r="F4375" t="s">
        <v>200</v>
      </c>
      <c r="G4375" t="s">
        <v>8480</v>
      </c>
      <c r="H4375" t="str">
        <f t="shared" si="311"/>
        <v>84250</v>
      </c>
      <c r="I4375" t="s">
        <v>4834</v>
      </c>
      <c r="J4375" t="s">
        <v>258</v>
      </c>
      <c r="K4375" t="s">
        <v>161</v>
      </c>
      <c r="L4375" t="s">
        <v>2069</v>
      </c>
    </row>
    <row r="4376" spans="1:12" x14ac:dyDescent="0.3">
      <c r="A4376" t="str">
        <f>"04777468"</f>
        <v>04777468</v>
      </c>
      <c r="B4376" t="s">
        <v>8481</v>
      </c>
      <c r="C4376" t="str">
        <f t="shared" si="312"/>
        <v>736</v>
      </c>
      <c r="D4376" t="s">
        <v>22</v>
      </c>
      <c r="E4376" t="s">
        <v>83</v>
      </c>
      <c r="F4376" t="s">
        <v>2674</v>
      </c>
      <c r="G4376" t="s">
        <v>5492</v>
      </c>
      <c r="H4376" t="str">
        <f>"8425"</f>
        <v>8425</v>
      </c>
      <c r="I4376" t="s">
        <v>4834</v>
      </c>
    </row>
    <row r="4377" spans="1:12" x14ac:dyDescent="0.3">
      <c r="A4377" t="str">
        <f>"68729766"</f>
        <v>68729766</v>
      </c>
      <c r="B4377" t="s">
        <v>8482</v>
      </c>
      <c r="C4377" t="str">
        <f t="shared" si="312"/>
        <v>736</v>
      </c>
      <c r="D4377" t="s">
        <v>22</v>
      </c>
      <c r="E4377" t="s">
        <v>23</v>
      </c>
      <c r="F4377" t="s">
        <v>721</v>
      </c>
      <c r="G4377" t="s">
        <v>8483</v>
      </c>
      <c r="H4377" t="str">
        <f t="shared" ref="H4377:H4440" si="313">"84250"</f>
        <v>84250</v>
      </c>
      <c r="I4377" t="s">
        <v>4834</v>
      </c>
    </row>
    <row r="4378" spans="1:12" x14ac:dyDescent="0.3">
      <c r="A4378" t="str">
        <f>"63701758"</f>
        <v>63701758</v>
      </c>
      <c r="B4378" t="s">
        <v>8484</v>
      </c>
      <c r="C4378" t="str">
        <f t="shared" si="312"/>
        <v>736</v>
      </c>
      <c r="D4378" t="s">
        <v>22</v>
      </c>
      <c r="E4378" t="s">
        <v>29</v>
      </c>
      <c r="F4378" t="s">
        <v>1121</v>
      </c>
      <c r="G4378" t="s">
        <v>8485</v>
      </c>
      <c r="H4378" t="str">
        <f t="shared" si="313"/>
        <v>84250</v>
      </c>
      <c r="I4378" t="s">
        <v>4834</v>
      </c>
    </row>
    <row r="4379" spans="1:12" x14ac:dyDescent="0.3">
      <c r="A4379" t="str">
        <f>"65324862"</f>
        <v>65324862</v>
      </c>
      <c r="B4379" t="s">
        <v>8486</v>
      </c>
      <c r="C4379" t="str">
        <f t="shared" si="312"/>
        <v>736</v>
      </c>
      <c r="D4379" t="s">
        <v>22</v>
      </c>
      <c r="E4379" t="s">
        <v>52</v>
      </c>
      <c r="F4379" t="s">
        <v>8487</v>
      </c>
      <c r="G4379" t="s">
        <v>8488</v>
      </c>
      <c r="H4379" t="str">
        <f t="shared" si="313"/>
        <v>84250</v>
      </c>
      <c r="I4379" t="s">
        <v>4834</v>
      </c>
      <c r="J4379" t="s">
        <v>258</v>
      </c>
      <c r="K4379" t="s">
        <v>161</v>
      </c>
      <c r="L4379" t="s">
        <v>2069</v>
      </c>
    </row>
    <row r="4380" spans="1:12" x14ac:dyDescent="0.3">
      <c r="A4380" t="str">
        <f>"62833081"</f>
        <v>62833081</v>
      </c>
      <c r="B4380" t="s">
        <v>8489</v>
      </c>
      <c r="C4380" t="str">
        <f t="shared" si="312"/>
        <v>736</v>
      </c>
      <c r="D4380" t="s">
        <v>22</v>
      </c>
      <c r="E4380" t="s">
        <v>52</v>
      </c>
      <c r="F4380" t="s">
        <v>379</v>
      </c>
      <c r="G4380" t="s">
        <v>8490</v>
      </c>
      <c r="H4380" t="str">
        <f t="shared" si="313"/>
        <v>84250</v>
      </c>
      <c r="I4380" t="s">
        <v>4834</v>
      </c>
      <c r="J4380" t="s">
        <v>258</v>
      </c>
      <c r="K4380" t="s">
        <v>161</v>
      </c>
      <c r="L4380" t="s">
        <v>2069</v>
      </c>
    </row>
    <row r="4381" spans="1:12" x14ac:dyDescent="0.3">
      <c r="A4381" t="str">
        <f>"65888316"</f>
        <v>65888316</v>
      </c>
      <c r="B4381" t="s">
        <v>8491</v>
      </c>
      <c r="C4381" t="str">
        <f t="shared" si="312"/>
        <v>736</v>
      </c>
      <c r="D4381" t="s">
        <v>22</v>
      </c>
      <c r="E4381" t="s">
        <v>29</v>
      </c>
      <c r="F4381" t="s">
        <v>45</v>
      </c>
      <c r="G4381" t="s">
        <v>8492</v>
      </c>
      <c r="H4381" t="str">
        <f t="shared" si="313"/>
        <v>84250</v>
      </c>
      <c r="I4381" t="s">
        <v>4834</v>
      </c>
      <c r="J4381" t="s">
        <v>258</v>
      </c>
      <c r="K4381" t="s">
        <v>161</v>
      </c>
      <c r="L4381" t="s">
        <v>2069</v>
      </c>
    </row>
    <row r="4382" spans="1:12" x14ac:dyDescent="0.3">
      <c r="A4382" t="str">
        <f>"65325150"</f>
        <v>65325150</v>
      </c>
      <c r="B4382" t="s">
        <v>8493</v>
      </c>
      <c r="C4382" t="str">
        <f t="shared" si="312"/>
        <v>736</v>
      </c>
      <c r="D4382" t="s">
        <v>22</v>
      </c>
      <c r="E4382" t="s">
        <v>52</v>
      </c>
      <c r="F4382" t="s">
        <v>1894</v>
      </c>
      <c r="G4382" t="s">
        <v>8494</v>
      </c>
      <c r="H4382" t="str">
        <f t="shared" si="313"/>
        <v>84250</v>
      </c>
      <c r="I4382" t="s">
        <v>4834</v>
      </c>
    </row>
    <row r="4383" spans="1:12" x14ac:dyDescent="0.3">
      <c r="A4383" t="str">
        <f>"65324960"</f>
        <v>65324960</v>
      </c>
      <c r="B4383" t="s">
        <v>8495</v>
      </c>
      <c r="C4383" t="str">
        <f t="shared" si="312"/>
        <v>736</v>
      </c>
      <c r="D4383" t="s">
        <v>22</v>
      </c>
      <c r="E4383" t="s">
        <v>52</v>
      </c>
      <c r="F4383" t="s">
        <v>864</v>
      </c>
      <c r="G4383" t="s">
        <v>6512</v>
      </c>
      <c r="H4383" t="str">
        <f t="shared" si="313"/>
        <v>84250</v>
      </c>
      <c r="I4383" t="s">
        <v>4834</v>
      </c>
    </row>
    <row r="4384" spans="1:12" x14ac:dyDescent="0.3">
      <c r="A4384" t="str">
        <f>"63701863"</f>
        <v>63701863</v>
      </c>
      <c r="B4384" t="s">
        <v>8496</v>
      </c>
      <c r="C4384" t="str">
        <f t="shared" si="312"/>
        <v>736</v>
      </c>
      <c r="D4384" t="s">
        <v>22</v>
      </c>
      <c r="E4384" t="s">
        <v>29</v>
      </c>
      <c r="F4384" t="s">
        <v>4973</v>
      </c>
      <c r="G4384" t="s">
        <v>5650</v>
      </c>
      <c r="H4384" t="str">
        <f t="shared" si="313"/>
        <v>84250</v>
      </c>
      <c r="I4384" t="s">
        <v>4834</v>
      </c>
      <c r="J4384" t="s">
        <v>26</v>
      </c>
    </row>
    <row r="4385" spans="1:12" x14ac:dyDescent="0.3">
      <c r="A4385" t="str">
        <f>"65324978"</f>
        <v>65324978</v>
      </c>
      <c r="B4385" t="s">
        <v>8497</v>
      </c>
      <c r="C4385" t="str">
        <f t="shared" si="312"/>
        <v>736</v>
      </c>
      <c r="D4385" t="s">
        <v>22</v>
      </c>
      <c r="E4385" t="s">
        <v>52</v>
      </c>
      <c r="F4385" t="s">
        <v>5507</v>
      </c>
      <c r="G4385" t="s">
        <v>8498</v>
      </c>
      <c r="H4385" t="str">
        <f t="shared" si="313"/>
        <v>84250</v>
      </c>
      <c r="I4385" t="s">
        <v>4834</v>
      </c>
    </row>
    <row r="4386" spans="1:12" x14ac:dyDescent="0.3">
      <c r="A4386" t="str">
        <f>"63414236"</f>
        <v>63414236</v>
      </c>
      <c r="B4386" t="s">
        <v>8499</v>
      </c>
      <c r="C4386" t="str">
        <f t="shared" si="312"/>
        <v>736</v>
      </c>
      <c r="D4386" t="s">
        <v>22</v>
      </c>
      <c r="E4386" t="s">
        <v>83</v>
      </c>
      <c r="F4386" t="s">
        <v>1718</v>
      </c>
      <c r="G4386" t="s">
        <v>5085</v>
      </c>
      <c r="H4386" t="str">
        <f t="shared" si="313"/>
        <v>84250</v>
      </c>
      <c r="I4386" t="s">
        <v>4834</v>
      </c>
      <c r="J4386" t="s">
        <v>258</v>
      </c>
      <c r="K4386" t="s">
        <v>2069</v>
      </c>
      <c r="L4386" t="s">
        <v>161</v>
      </c>
    </row>
    <row r="4387" spans="1:12" x14ac:dyDescent="0.3">
      <c r="A4387" t="str">
        <f>"65469305"</f>
        <v>65469305</v>
      </c>
      <c r="B4387" t="s">
        <v>8500</v>
      </c>
      <c r="C4387" t="str">
        <f t="shared" si="312"/>
        <v>736</v>
      </c>
      <c r="D4387" t="s">
        <v>22</v>
      </c>
      <c r="E4387" t="s">
        <v>29</v>
      </c>
      <c r="F4387" t="s">
        <v>1899</v>
      </c>
      <c r="G4387" t="s">
        <v>8501</v>
      </c>
      <c r="H4387" t="str">
        <f t="shared" si="313"/>
        <v>84250</v>
      </c>
      <c r="I4387" t="s">
        <v>4834</v>
      </c>
    </row>
    <row r="4388" spans="1:12" x14ac:dyDescent="0.3">
      <c r="A4388" t="str">
        <f>"65324871"</f>
        <v>65324871</v>
      </c>
      <c r="B4388" t="s">
        <v>8502</v>
      </c>
      <c r="C4388" t="str">
        <f t="shared" si="312"/>
        <v>736</v>
      </c>
      <c r="D4388" t="s">
        <v>22</v>
      </c>
      <c r="E4388" t="s">
        <v>52</v>
      </c>
      <c r="F4388" t="s">
        <v>5049</v>
      </c>
      <c r="G4388" t="s">
        <v>8503</v>
      </c>
      <c r="H4388" t="str">
        <f t="shared" si="313"/>
        <v>84250</v>
      </c>
      <c r="I4388" t="s">
        <v>4834</v>
      </c>
      <c r="J4388" t="s">
        <v>258</v>
      </c>
      <c r="K4388" t="s">
        <v>2069</v>
      </c>
      <c r="L4388" t="s">
        <v>161</v>
      </c>
    </row>
    <row r="4389" spans="1:12" x14ac:dyDescent="0.3">
      <c r="A4389" t="str">
        <f>"65325168"</f>
        <v>65325168</v>
      </c>
      <c r="B4389" t="s">
        <v>8504</v>
      </c>
      <c r="C4389" t="str">
        <f t="shared" si="312"/>
        <v>736</v>
      </c>
      <c r="D4389" t="s">
        <v>22</v>
      </c>
      <c r="E4389" t="s">
        <v>52</v>
      </c>
      <c r="F4389" t="s">
        <v>1902</v>
      </c>
      <c r="G4389" t="s">
        <v>8505</v>
      </c>
      <c r="H4389" t="str">
        <f t="shared" si="313"/>
        <v>84250</v>
      </c>
      <c r="I4389" t="s">
        <v>4834</v>
      </c>
    </row>
    <row r="4390" spans="1:12" x14ac:dyDescent="0.3">
      <c r="A4390" t="str">
        <f>"63414155"</f>
        <v>63414155</v>
      </c>
      <c r="B4390" t="s">
        <v>8506</v>
      </c>
      <c r="C4390" t="str">
        <f t="shared" si="312"/>
        <v>736</v>
      </c>
      <c r="D4390" t="s">
        <v>22</v>
      </c>
      <c r="E4390" t="s">
        <v>83</v>
      </c>
      <c r="F4390" t="s">
        <v>8507</v>
      </c>
      <c r="G4390" t="s">
        <v>8508</v>
      </c>
      <c r="H4390" t="str">
        <f t="shared" si="313"/>
        <v>84250</v>
      </c>
      <c r="I4390" t="s">
        <v>4834</v>
      </c>
      <c r="J4390" t="s">
        <v>258</v>
      </c>
      <c r="K4390" t="s">
        <v>161</v>
      </c>
      <c r="L4390" t="s">
        <v>2069</v>
      </c>
    </row>
    <row r="4391" spans="1:12" x14ac:dyDescent="0.3">
      <c r="A4391" t="str">
        <f>"65324773"</f>
        <v>65324773</v>
      </c>
      <c r="B4391" t="s">
        <v>8509</v>
      </c>
      <c r="C4391" t="str">
        <f t="shared" si="312"/>
        <v>736</v>
      </c>
      <c r="D4391" t="s">
        <v>22</v>
      </c>
      <c r="E4391" t="s">
        <v>52</v>
      </c>
      <c r="F4391" t="s">
        <v>5158</v>
      </c>
      <c r="G4391" t="s">
        <v>8510</v>
      </c>
      <c r="H4391" t="str">
        <f t="shared" si="313"/>
        <v>84250</v>
      </c>
      <c r="I4391" t="s">
        <v>4834</v>
      </c>
    </row>
    <row r="4392" spans="1:12" x14ac:dyDescent="0.3">
      <c r="A4392" t="str">
        <f>"65792785"</f>
        <v>65792785</v>
      </c>
      <c r="B4392" t="s">
        <v>8511</v>
      </c>
      <c r="C4392" t="str">
        <f t="shared" si="312"/>
        <v>736</v>
      </c>
      <c r="D4392" t="s">
        <v>22</v>
      </c>
      <c r="E4392" t="s">
        <v>23</v>
      </c>
      <c r="F4392" t="s">
        <v>975</v>
      </c>
      <c r="G4392" t="s">
        <v>8512</v>
      </c>
      <c r="H4392" t="str">
        <f t="shared" si="313"/>
        <v>84250</v>
      </c>
      <c r="I4392" t="s">
        <v>4834</v>
      </c>
    </row>
    <row r="4393" spans="1:12" x14ac:dyDescent="0.3">
      <c r="A4393" t="str">
        <f>"65792530"</f>
        <v>65792530</v>
      </c>
      <c r="B4393" t="s">
        <v>8513</v>
      </c>
      <c r="C4393" t="str">
        <f t="shared" si="312"/>
        <v>736</v>
      </c>
      <c r="D4393" t="s">
        <v>22</v>
      </c>
      <c r="E4393" t="s">
        <v>23</v>
      </c>
      <c r="F4393" t="s">
        <v>5635</v>
      </c>
      <c r="G4393" t="s">
        <v>8514</v>
      </c>
      <c r="H4393" t="str">
        <f t="shared" si="313"/>
        <v>84250</v>
      </c>
      <c r="I4393" t="s">
        <v>4834</v>
      </c>
      <c r="J4393" t="s">
        <v>258</v>
      </c>
      <c r="K4393" t="s">
        <v>161</v>
      </c>
      <c r="L4393" t="s">
        <v>2069</v>
      </c>
    </row>
    <row r="4394" spans="1:12" x14ac:dyDescent="0.3">
      <c r="A4394" t="str">
        <f>"68729774"</f>
        <v>68729774</v>
      </c>
      <c r="B4394" t="s">
        <v>8515</v>
      </c>
      <c r="C4394" t="str">
        <f t="shared" si="312"/>
        <v>736</v>
      </c>
      <c r="D4394" t="s">
        <v>22</v>
      </c>
      <c r="E4394" t="s">
        <v>23</v>
      </c>
      <c r="F4394" t="s">
        <v>3526</v>
      </c>
      <c r="G4394" t="s">
        <v>8516</v>
      </c>
      <c r="H4394" t="str">
        <f t="shared" si="313"/>
        <v>84250</v>
      </c>
      <c r="I4394" t="s">
        <v>4834</v>
      </c>
      <c r="J4394" t="s">
        <v>2069</v>
      </c>
      <c r="K4394" t="s">
        <v>161</v>
      </c>
    </row>
    <row r="4395" spans="1:12" x14ac:dyDescent="0.3">
      <c r="A4395" t="str">
        <f>"63458802"</f>
        <v>63458802</v>
      </c>
      <c r="B4395" t="s">
        <v>8517</v>
      </c>
      <c r="C4395" t="str">
        <f t="shared" si="312"/>
        <v>736</v>
      </c>
      <c r="D4395" t="s">
        <v>22</v>
      </c>
      <c r="E4395" t="s">
        <v>83</v>
      </c>
      <c r="F4395" t="s">
        <v>5639</v>
      </c>
      <c r="G4395" t="s">
        <v>5640</v>
      </c>
      <c r="H4395" t="str">
        <f t="shared" si="313"/>
        <v>84250</v>
      </c>
      <c r="I4395" t="s">
        <v>4834</v>
      </c>
    </row>
    <row r="4396" spans="1:12" x14ac:dyDescent="0.3">
      <c r="A4396" t="str">
        <f>"65792823"</f>
        <v>65792823</v>
      </c>
      <c r="B4396" t="s">
        <v>8518</v>
      </c>
      <c r="C4396" t="str">
        <f t="shared" si="312"/>
        <v>736</v>
      </c>
      <c r="D4396" t="s">
        <v>22</v>
      </c>
      <c r="E4396" t="s">
        <v>23</v>
      </c>
      <c r="F4396" t="s">
        <v>296</v>
      </c>
      <c r="G4396" t="s">
        <v>8519</v>
      </c>
      <c r="H4396" t="str">
        <f t="shared" si="313"/>
        <v>84250</v>
      </c>
      <c r="I4396" t="s">
        <v>4834</v>
      </c>
    </row>
    <row r="4397" spans="1:12" x14ac:dyDescent="0.3">
      <c r="A4397" t="str">
        <f>"63701871"</f>
        <v>63701871</v>
      </c>
      <c r="B4397" t="s">
        <v>8520</v>
      </c>
      <c r="C4397" t="str">
        <f t="shared" si="312"/>
        <v>736</v>
      </c>
      <c r="D4397" t="s">
        <v>22</v>
      </c>
      <c r="E4397" t="s">
        <v>23</v>
      </c>
      <c r="F4397" t="s">
        <v>4479</v>
      </c>
      <c r="G4397" t="s">
        <v>8521</v>
      </c>
      <c r="H4397" t="str">
        <f t="shared" si="313"/>
        <v>84250</v>
      </c>
      <c r="I4397" t="s">
        <v>4834</v>
      </c>
    </row>
    <row r="4398" spans="1:12" x14ac:dyDescent="0.3">
      <c r="A4398" t="str">
        <f>"65325354"</f>
        <v>65325354</v>
      </c>
      <c r="B4398" t="s">
        <v>8522</v>
      </c>
      <c r="C4398" t="str">
        <f t="shared" ref="C4398:C4461" si="314">"736"</f>
        <v>736</v>
      </c>
      <c r="D4398" t="s">
        <v>22</v>
      </c>
      <c r="E4398" t="s">
        <v>52</v>
      </c>
      <c r="F4398" t="s">
        <v>796</v>
      </c>
      <c r="G4398" t="s">
        <v>797</v>
      </c>
      <c r="H4398" t="str">
        <f t="shared" si="313"/>
        <v>84250</v>
      </c>
      <c r="I4398" t="s">
        <v>4834</v>
      </c>
      <c r="J4398" t="s">
        <v>258</v>
      </c>
      <c r="K4398" t="s">
        <v>161</v>
      </c>
      <c r="L4398" t="s">
        <v>2069</v>
      </c>
    </row>
    <row r="4399" spans="1:12" x14ac:dyDescent="0.3">
      <c r="A4399" t="str">
        <f>"68729791"</f>
        <v>68729791</v>
      </c>
      <c r="B4399" t="s">
        <v>8523</v>
      </c>
      <c r="C4399" t="str">
        <f t="shared" si="314"/>
        <v>736</v>
      </c>
      <c r="D4399" t="s">
        <v>22</v>
      </c>
      <c r="E4399" t="s">
        <v>23</v>
      </c>
      <c r="F4399" t="s">
        <v>688</v>
      </c>
      <c r="G4399" t="s">
        <v>8012</v>
      </c>
      <c r="H4399" t="str">
        <f t="shared" si="313"/>
        <v>84250</v>
      </c>
      <c r="I4399" t="s">
        <v>4834</v>
      </c>
    </row>
    <row r="4400" spans="1:12" x14ac:dyDescent="0.3">
      <c r="A4400" t="str">
        <f>"70980501"</f>
        <v>70980501</v>
      </c>
      <c r="B4400" t="s">
        <v>8524</v>
      </c>
      <c r="C4400" t="str">
        <f t="shared" si="314"/>
        <v>736</v>
      </c>
      <c r="D4400" t="s">
        <v>22</v>
      </c>
      <c r="E4400" t="s">
        <v>52</v>
      </c>
      <c r="F4400" t="s">
        <v>113</v>
      </c>
      <c r="G4400" t="s">
        <v>8525</v>
      </c>
      <c r="H4400" t="str">
        <f t="shared" si="313"/>
        <v>84250</v>
      </c>
      <c r="I4400" t="s">
        <v>4834</v>
      </c>
      <c r="J4400" t="s">
        <v>258</v>
      </c>
      <c r="K4400" t="s">
        <v>161</v>
      </c>
      <c r="L4400" t="s">
        <v>2069</v>
      </c>
    </row>
    <row r="4401" spans="1:13" x14ac:dyDescent="0.3">
      <c r="A4401" t="str">
        <f>"75109255"</f>
        <v>75109255</v>
      </c>
      <c r="B4401" t="s">
        <v>8526</v>
      </c>
      <c r="C4401" t="str">
        <f t="shared" si="314"/>
        <v>736</v>
      </c>
      <c r="D4401" t="s">
        <v>22</v>
      </c>
      <c r="E4401" t="s">
        <v>83</v>
      </c>
      <c r="F4401" t="s">
        <v>1627</v>
      </c>
      <c r="G4401" t="s">
        <v>8527</v>
      </c>
      <c r="H4401" t="str">
        <f t="shared" si="313"/>
        <v>84250</v>
      </c>
      <c r="I4401" t="s">
        <v>4834</v>
      </c>
      <c r="J4401" t="s">
        <v>258</v>
      </c>
      <c r="K4401" t="s">
        <v>161</v>
      </c>
      <c r="L4401" t="s">
        <v>2069</v>
      </c>
    </row>
    <row r="4402" spans="1:13" x14ac:dyDescent="0.3">
      <c r="A4402" t="str">
        <f>"65822358"</f>
        <v>65822358</v>
      </c>
      <c r="B4402" t="s">
        <v>8528</v>
      </c>
      <c r="C4402" t="str">
        <f t="shared" si="314"/>
        <v>736</v>
      </c>
      <c r="D4402" t="s">
        <v>22</v>
      </c>
      <c r="E4402" t="s">
        <v>23</v>
      </c>
      <c r="F4402" t="s">
        <v>5647</v>
      </c>
      <c r="G4402" t="s">
        <v>8529</v>
      </c>
      <c r="H4402" t="str">
        <f t="shared" si="313"/>
        <v>84250</v>
      </c>
      <c r="I4402" t="s">
        <v>4834</v>
      </c>
    </row>
    <row r="4403" spans="1:13" x14ac:dyDescent="0.3">
      <c r="A4403" t="str">
        <f>"68729804"</f>
        <v>68729804</v>
      </c>
      <c r="B4403" t="s">
        <v>8530</v>
      </c>
      <c r="C4403" t="str">
        <f t="shared" si="314"/>
        <v>736</v>
      </c>
      <c r="D4403" t="s">
        <v>22</v>
      </c>
      <c r="E4403" t="s">
        <v>23</v>
      </c>
      <c r="F4403" t="s">
        <v>695</v>
      </c>
      <c r="G4403" t="s">
        <v>8531</v>
      </c>
      <c r="H4403" t="str">
        <f t="shared" si="313"/>
        <v>84250</v>
      </c>
      <c r="I4403" t="s">
        <v>4834</v>
      </c>
      <c r="J4403" t="s">
        <v>258</v>
      </c>
      <c r="K4403" t="s">
        <v>161</v>
      </c>
      <c r="L4403" t="s">
        <v>2069</v>
      </c>
    </row>
    <row r="4404" spans="1:13" x14ac:dyDescent="0.3">
      <c r="A4404" t="str">
        <f>"65325087"</f>
        <v>65325087</v>
      </c>
      <c r="B4404" t="s">
        <v>8532</v>
      </c>
      <c r="C4404" t="str">
        <f t="shared" si="314"/>
        <v>736</v>
      </c>
      <c r="D4404" t="s">
        <v>22</v>
      </c>
      <c r="E4404" t="s">
        <v>52</v>
      </c>
      <c r="F4404" t="s">
        <v>920</v>
      </c>
      <c r="G4404" t="s">
        <v>8533</v>
      </c>
      <c r="H4404" t="str">
        <f t="shared" si="313"/>
        <v>84250</v>
      </c>
      <c r="I4404" t="s">
        <v>4834</v>
      </c>
    </row>
    <row r="4405" spans="1:13" x14ac:dyDescent="0.3">
      <c r="A4405" t="str">
        <f>"65324820"</f>
        <v>65324820</v>
      </c>
      <c r="B4405" t="s">
        <v>8534</v>
      </c>
      <c r="C4405" t="str">
        <f t="shared" si="314"/>
        <v>736</v>
      </c>
      <c r="D4405" t="s">
        <v>22</v>
      </c>
      <c r="E4405" t="s">
        <v>52</v>
      </c>
      <c r="F4405" t="s">
        <v>1908</v>
      </c>
      <c r="G4405" t="s">
        <v>8535</v>
      </c>
      <c r="H4405" t="str">
        <f t="shared" si="313"/>
        <v>84250</v>
      </c>
      <c r="I4405" t="s">
        <v>4834</v>
      </c>
    </row>
    <row r="4406" spans="1:13" x14ac:dyDescent="0.3">
      <c r="A4406" t="str">
        <f>"60383372"</f>
        <v>60383372</v>
      </c>
      <c r="B4406" t="s">
        <v>8536</v>
      </c>
      <c r="C4406" t="str">
        <f t="shared" si="314"/>
        <v>736</v>
      </c>
      <c r="D4406" t="s">
        <v>22</v>
      </c>
      <c r="E4406" t="s">
        <v>83</v>
      </c>
      <c r="F4406" t="s">
        <v>83</v>
      </c>
      <c r="G4406" t="s">
        <v>8537</v>
      </c>
      <c r="H4406" t="str">
        <f t="shared" si="313"/>
        <v>84250</v>
      </c>
      <c r="I4406" t="s">
        <v>4834</v>
      </c>
      <c r="J4406" t="s">
        <v>258</v>
      </c>
      <c r="K4406" t="s">
        <v>161</v>
      </c>
      <c r="L4406" t="s">
        <v>2069</v>
      </c>
    </row>
    <row r="4407" spans="1:13" x14ac:dyDescent="0.3">
      <c r="A4407" t="str">
        <f>"65823451"</f>
        <v>65823451</v>
      </c>
      <c r="B4407" t="s">
        <v>8538</v>
      </c>
      <c r="C4407" t="str">
        <f t="shared" si="314"/>
        <v>736</v>
      </c>
      <c r="D4407" t="s">
        <v>22</v>
      </c>
      <c r="E4407" t="s">
        <v>23</v>
      </c>
      <c r="F4407" t="s">
        <v>190</v>
      </c>
      <c r="G4407" t="s">
        <v>8539</v>
      </c>
      <c r="H4407" t="str">
        <f t="shared" si="313"/>
        <v>84250</v>
      </c>
      <c r="I4407" t="s">
        <v>4834</v>
      </c>
      <c r="J4407" t="s">
        <v>258</v>
      </c>
      <c r="K4407" t="s">
        <v>161</v>
      </c>
      <c r="L4407" t="s">
        <v>2069</v>
      </c>
    </row>
    <row r="4408" spans="1:13" x14ac:dyDescent="0.3">
      <c r="A4408" t="str">
        <f>"65270321"</f>
        <v>65270321</v>
      </c>
      <c r="B4408" t="s">
        <v>8540</v>
      </c>
      <c r="C4408" t="str">
        <f t="shared" si="314"/>
        <v>736</v>
      </c>
      <c r="D4408" t="s">
        <v>22</v>
      </c>
      <c r="E4408" t="s">
        <v>83</v>
      </c>
      <c r="F4408" t="s">
        <v>1691</v>
      </c>
      <c r="G4408" t="s">
        <v>1692</v>
      </c>
      <c r="H4408" t="str">
        <f t="shared" si="313"/>
        <v>84250</v>
      </c>
      <c r="I4408" t="s">
        <v>4834</v>
      </c>
      <c r="J4408" t="s">
        <v>258</v>
      </c>
      <c r="K4408" t="s">
        <v>161</v>
      </c>
      <c r="L4408" t="s">
        <v>2069</v>
      </c>
    </row>
    <row r="4409" spans="1:13" x14ac:dyDescent="0.3">
      <c r="A4409" t="str">
        <f>"65324935"</f>
        <v>65324935</v>
      </c>
      <c r="B4409" t="s">
        <v>8541</v>
      </c>
      <c r="C4409" t="str">
        <f t="shared" si="314"/>
        <v>736</v>
      </c>
      <c r="D4409" t="s">
        <v>22</v>
      </c>
      <c r="E4409" t="s">
        <v>52</v>
      </c>
      <c r="F4409" t="s">
        <v>6722</v>
      </c>
      <c r="G4409" t="s">
        <v>8542</v>
      </c>
      <c r="H4409" t="str">
        <f t="shared" si="313"/>
        <v>84250</v>
      </c>
      <c r="I4409" t="s">
        <v>4834</v>
      </c>
    </row>
    <row r="4410" spans="1:13" x14ac:dyDescent="0.3">
      <c r="A4410" t="str">
        <f>"65270355"</f>
        <v>65270355</v>
      </c>
      <c r="B4410" t="s">
        <v>8541</v>
      </c>
      <c r="C4410" t="str">
        <f t="shared" si="314"/>
        <v>736</v>
      </c>
      <c r="D4410" t="s">
        <v>22</v>
      </c>
      <c r="E4410" t="s">
        <v>83</v>
      </c>
      <c r="F4410" t="s">
        <v>183</v>
      </c>
      <c r="G4410" t="s">
        <v>8543</v>
      </c>
      <c r="H4410" t="str">
        <f t="shared" si="313"/>
        <v>84250</v>
      </c>
      <c r="I4410" t="s">
        <v>4834</v>
      </c>
      <c r="J4410" t="s">
        <v>258</v>
      </c>
      <c r="K4410" t="s">
        <v>161</v>
      </c>
      <c r="L4410" t="s">
        <v>2069</v>
      </c>
    </row>
    <row r="4411" spans="1:13" x14ac:dyDescent="0.3">
      <c r="A4411" t="str">
        <f>"65324846"</f>
        <v>65324846</v>
      </c>
      <c r="B4411" t="s">
        <v>8544</v>
      </c>
      <c r="C4411" t="str">
        <f t="shared" si="314"/>
        <v>736</v>
      </c>
      <c r="D4411" t="s">
        <v>22</v>
      </c>
      <c r="E4411" t="s">
        <v>52</v>
      </c>
      <c r="F4411" t="s">
        <v>178</v>
      </c>
      <c r="G4411" t="s">
        <v>8545</v>
      </c>
      <c r="H4411" t="str">
        <f t="shared" si="313"/>
        <v>84250</v>
      </c>
      <c r="I4411" t="s">
        <v>4834</v>
      </c>
    </row>
    <row r="4412" spans="1:13" x14ac:dyDescent="0.3">
      <c r="A4412" t="str">
        <f>"63701634"</f>
        <v>63701634</v>
      </c>
      <c r="B4412" t="s">
        <v>8546</v>
      </c>
      <c r="C4412" t="str">
        <f t="shared" si="314"/>
        <v>736</v>
      </c>
      <c r="D4412" t="s">
        <v>22</v>
      </c>
      <c r="E4412" t="s">
        <v>29</v>
      </c>
      <c r="F4412" t="s">
        <v>38</v>
      </c>
      <c r="G4412" t="s">
        <v>8547</v>
      </c>
      <c r="H4412" t="str">
        <f t="shared" si="313"/>
        <v>84250</v>
      </c>
      <c r="I4412" t="s">
        <v>4834</v>
      </c>
      <c r="J4412" t="s">
        <v>258</v>
      </c>
      <c r="K4412" t="s">
        <v>26</v>
      </c>
      <c r="L4412" t="s">
        <v>2069</v>
      </c>
      <c r="M4412" t="s">
        <v>161</v>
      </c>
    </row>
    <row r="4413" spans="1:13" x14ac:dyDescent="0.3">
      <c r="A4413" t="str">
        <f>"68729812"</f>
        <v>68729812</v>
      </c>
      <c r="B4413" t="s">
        <v>8548</v>
      </c>
      <c r="C4413" t="str">
        <f t="shared" si="314"/>
        <v>736</v>
      </c>
      <c r="D4413" t="s">
        <v>22</v>
      </c>
      <c r="E4413" t="s">
        <v>23</v>
      </c>
      <c r="F4413" t="s">
        <v>2883</v>
      </c>
      <c r="G4413" t="s">
        <v>5663</v>
      </c>
      <c r="H4413" t="str">
        <f t="shared" si="313"/>
        <v>84250</v>
      </c>
      <c r="I4413" t="s">
        <v>4834</v>
      </c>
      <c r="J4413" t="s">
        <v>258</v>
      </c>
      <c r="K4413" t="s">
        <v>161</v>
      </c>
      <c r="L4413" t="s">
        <v>2069</v>
      </c>
    </row>
    <row r="4414" spans="1:13" x14ac:dyDescent="0.3">
      <c r="A4414" t="str">
        <f>"62833111"</f>
        <v>62833111</v>
      </c>
      <c r="B4414" t="s">
        <v>8549</v>
      </c>
      <c r="C4414" t="str">
        <f t="shared" si="314"/>
        <v>736</v>
      </c>
      <c r="D4414" t="s">
        <v>22</v>
      </c>
      <c r="E4414" t="s">
        <v>52</v>
      </c>
      <c r="F4414" t="s">
        <v>52</v>
      </c>
      <c r="G4414" t="s">
        <v>439</v>
      </c>
      <c r="H4414" t="str">
        <f t="shared" si="313"/>
        <v>84250</v>
      </c>
      <c r="I4414" t="s">
        <v>4834</v>
      </c>
    </row>
    <row r="4415" spans="1:13" x14ac:dyDescent="0.3">
      <c r="A4415" t="str">
        <f>"65324757"</f>
        <v>65324757</v>
      </c>
      <c r="B4415" t="s">
        <v>8550</v>
      </c>
      <c r="C4415" t="str">
        <f t="shared" si="314"/>
        <v>736</v>
      </c>
      <c r="D4415" t="s">
        <v>22</v>
      </c>
      <c r="E4415" t="s">
        <v>52</v>
      </c>
      <c r="F4415" t="s">
        <v>113</v>
      </c>
      <c r="G4415" t="s">
        <v>8551</v>
      </c>
      <c r="H4415" t="str">
        <f t="shared" si="313"/>
        <v>84250</v>
      </c>
      <c r="I4415" t="s">
        <v>4834</v>
      </c>
    </row>
    <row r="4416" spans="1:13" x14ac:dyDescent="0.3">
      <c r="A4416" t="str">
        <f>"65325231"</f>
        <v>65325231</v>
      </c>
      <c r="B4416" t="s">
        <v>8552</v>
      </c>
      <c r="C4416" t="str">
        <f t="shared" si="314"/>
        <v>736</v>
      </c>
      <c r="D4416" t="s">
        <v>22</v>
      </c>
      <c r="E4416" t="s">
        <v>52</v>
      </c>
      <c r="F4416" t="s">
        <v>94</v>
      </c>
      <c r="G4416" t="s">
        <v>8553</v>
      </c>
      <c r="H4416" t="str">
        <f t="shared" si="313"/>
        <v>84250</v>
      </c>
      <c r="I4416" t="s">
        <v>4834</v>
      </c>
    </row>
    <row r="4417" spans="1:12" x14ac:dyDescent="0.3">
      <c r="A4417" t="str">
        <f>"63414503"</f>
        <v>63414503</v>
      </c>
      <c r="B4417" t="s">
        <v>8554</v>
      </c>
      <c r="C4417" t="str">
        <f t="shared" si="314"/>
        <v>736</v>
      </c>
      <c r="D4417" t="s">
        <v>22</v>
      </c>
      <c r="E4417" t="s">
        <v>83</v>
      </c>
      <c r="F4417" t="s">
        <v>8555</v>
      </c>
      <c r="G4417" t="s">
        <v>8556</v>
      </c>
      <c r="H4417" t="str">
        <f t="shared" si="313"/>
        <v>84250</v>
      </c>
      <c r="I4417" t="s">
        <v>4834</v>
      </c>
      <c r="J4417" t="s">
        <v>258</v>
      </c>
      <c r="K4417" t="s">
        <v>2069</v>
      </c>
      <c r="L4417" t="s">
        <v>161</v>
      </c>
    </row>
    <row r="4418" spans="1:12" x14ac:dyDescent="0.3">
      <c r="A4418" t="str">
        <f>"68729821"</f>
        <v>68729821</v>
      </c>
      <c r="B4418" t="s">
        <v>8557</v>
      </c>
      <c r="C4418" t="str">
        <f t="shared" si="314"/>
        <v>736</v>
      </c>
      <c r="D4418" t="s">
        <v>22</v>
      </c>
      <c r="E4418" t="s">
        <v>23</v>
      </c>
      <c r="F4418" t="s">
        <v>1917</v>
      </c>
      <c r="G4418" t="s">
        <v>8004</v>
      </c>
      <c r="H4418" t="str">
        <f t="shared" si="313"/>
        <v>84250</v>
      </c>
      <c r="I4418" t="s">
        <v>4834</v>
      </c>
      <c r="J4418" t="s">
        <v>258</v>
      </c>
      <c r="K4418" t="s">
        <v>161</v>
      </c>
      <c r="L4418" t="s">
        <v>2069</v>
      </c>
    </row>
    <row r="4419" spans="1:12" x14ac:dyDescent="0.3">
      <c r="A4419" t="str">
        <f>"65324994"</f>
        <v>65324994</v>
      </c>
      <c r="B4419" t="s">
        <v>8558</v>
      </c>
      <c r="C4419" t="str">
        <f t="shared" si="314"/>
        <v>736</v>
      </c>
      <c r="D4419" t="s">
        <v>22</v>
      </c>
      <c r="E4419" t="s">
        <v>52</v>
      </c>
      <c r="F4419" t="s">
        <v>5623</v>
      </c>
      <c r="G4419" t="s">
        <v>8559</v>
      </c>
      <c r="H4419" t="str">
        <f t="shared" si="313"/>
        <v>84250</v>
      </c>
      <c r="I4419" t="s">
        <v>4834</v>
      </c>
    </row>
    <row r="4420" spans="1:12" x14ac:dyDescent="0.3">
      <c r="A4420" t="str">
        <f>"63701529"</f>
        <v>63701529</v>
      </c>
      <c r="B4420" t="s">
        <v>8560</v>
      </c>
      <c r="C4420" t="str">
        <f t="shared" si="314"/>
        <v>736</v>
      </c>
      <c r="D4420" t="s">
        <v>22</v>
      </c>
      <c r="E4420" t="s">
        <v>29</v>
      </c>
      <c r="F4420" t="s">
        <v>574</v>
      </c>
      <c r="G4420" t="s">
        <v>8561</v>
      </c>
      <c r="H4420" t="str">
        <f t="shared" si="313"/>
        <v>84250</v>
      </c>
      <c r="I4420" t="s">
        <v>4834</v>
      </c>
    </row>
    <row r="4421" spans="1:12" x14ac:dyDescent="0.3">
      <c r="A4421" t="str">
        <f>"75124335"</f>
        <v>75124335</v>
      </c>
      <c r="B4421" t="s">
        <v>8562</v>
      </c>
      <c r="C4421" t="str">
        <f t="shared" si="314"/>
        <v>736</v>
      </c>
      <c r="D4421" t="s">
        <v>22</v>
      </c>
      <c r="E4421" t="s">
        <v>52</v>
      </c>
      <c r="F4421" t="s">
        <v>1679</v>
      </c>
      <c r="G4421" t="s">
        <v>8563</v>
      </c>
      <c r="H4421" t="str">
        <f t="shared" si="313"/>
        <v>84250</v>
      </c>
      <c r="I4421" t="s">
        <v>4834</v>
      </c>
    </row>
    <row r="4422" spans="1:12" x14ac:dyDescent="0.3">
      <c r="A4422" t="str">
        <f>"65469313"</f>
        <v>65469313</v>
      </c>
      <c r="B4422" t="s">
        <v>8564</v>
      </c>
      <c r="C4422" t="str">
        <f t="shared" si="314"/>
        <v>736</v>
      </c>
      <c r="D4422" t="s">
        <v>22</v>
      </c>
      <c r="E4422" t="s">
        <v>29</v>
      </c>
      <c r="F4422" t="s">
        <v>138</v>
      </c>
      <c r="G4422" t="s">
        <v>8565</v>
      </c>
      <c r="H4422" t="str">
        <f t="shared" si="313"/>
        <v>84250</v>
      </c>
      <c r="I4422" t="s">
        <v>4834</v>
      </c>
      <c r="J4422" t="s">
        <v>258</v>
      </c>
      <c r="K4422" t="s">
        <v>161</v>
      </c>
      <c r="L4422" t="s">
        <v>2069</v>
      </c>
    </row>
    <row r="4423" spans="1:12" x14ac:dyDescent="0.3">
      <c r="A4423" t="str">
        <f>"65469381"</f>
        <v>65469381</v>
      </c>
      <c r="B4423" t="s">
        <v>8566</v>
      </c>
      <c r="C4423" t="str">
        <f t="shared" si="314"/>
        <v>736</v>
      </c>
      <c r="D4423" t="s">
        <v>22</v>
      </c>
      <c r="E4423" t="s">
        <v>29</v>
      </c>
      <c r="F4423" t="s">
        <v>1922</v>
      </c>
      <c r="G4423" t="s">
        <v>1923</v>
      </c>
      <c r="H4423" t="str">
        <f t="shared" si="313"/>
        <v>84250</v>
      </c>
      <c r="I4423" t="s">
        <v>4834</v>
      </c>
      <c r="J4423" t="s">
        <v>258</v>
      </c>
      <c r="K4423" t="s">
        <v>161</v>
      </c>
      <c r="L4423" t="s">
        <v>2069</v>
      </c>
    </row>
    <row r="4424" spans="1:12" x14ac:dyDescent="0.3">
      <c r="A4424" t="str">
        <f>"63701880"</f>
        <v>63701880</v>
      </c>
      <c r="B4424" t="s">
        <v>8567</v>
      </c>
      <c r="C4424" t="str">
        <f t="shared" si="314"/>
        <v>736</v>
      </c>
      <c r="D4424" t="s">
        <v>22</v>
      </c>
      <c r="E4424" t="s">
        <v>29</v>
      </c>
      <c r="F4424" t="s">
        <v>1791</v>
      </c>
      <c r="G4424" t="s">
        <v>1792</v>
      </c>
      <c r="H4424" t="str">
        <f t="shared" si="313"/>
        <v>84250</v>
      </c>
      <c r="I4424" t="s">
        <v>4834</v>
      </c>
    </row>
    <row r="4425" spans="1:12" x14ac:dyDescent="0.3">
      <c r="A4425" t="str">
        <f>"64467449"</f>
        <v>64467449</v>
      </c>
      <c r="B4425" t="s">
        <v>8568</v>
      </c>
      <c r="C4425" t="str">
        <f t="shared" si="314"/>
        <v>736</v>
      </c>
      <c r="D4425" t="s">
        <v>22</v>
      </c>
      <c r="E4425" t="s">
        <v>23</v>
      </c>
      <c r="F4425" t="s">
        <v>107</v>
      </c>
      <c r="G4425" t="s">
        <v>8569</v>
      </c>
      <c r="H4425" t="str">
        <f t="shared" si="313"/>
        <v>84250</v>
      </c>
      <c r="I4425" t="s">
        <v>4834</v>
      </c>
    </row>
    <row r="4426" spans="1:12" x14ac:dyDescent="0.3">
      <c r="A4426" t="str">
        <f>"63701561"</f>
        <v>63701561</v>
      </c>
      <c r="B4426" t="s">
        <v>8570</v>
      </c>
      <c r="C4426" t="str">
        <f t="shared" si="314"/>
        <v>736</v>
      </c>
      <c r="D4426" t="s">
        <v>22</v>
      </c>
      <c r="E4426" t="s">
        <v>29</v>
      </c>
      <c r="F4426" t="s">
        <v>195</v>
      </c>
      <c r="G4426" t="s">
        <v>6196</v>
      </c>
      <c r="H4426" t="str">
        <f t="shared" si="313"/>
        <v>84250</v>
      </c>
      <c r="I4426" t="s">
        <v>4834</v>
      </c>
    </row>
    <row r="4427" spans="1:12" x14ac:dyDescent="0.3">
      <c r="A4427" t="str">
        <f>"63701545"</f>
        <v>63701545</v>
      </c>
      <c r="B4427" t="s">
        <v>8571</v>
      </c>
      <c r="C4427" t="str">
        <f t="shared" si="314"/>
        <v>736</v>
      </c>
      <c r="D4427" t="s">
        <v>22</v>
      </c>
      <c r="E4427" t="s">
        <v>29</v>
      </c>
      <c r="F4427" t="s">
        <v>195</v>
      </c>
      <c r="G4427" t="s">
        <v>6196</v>
      </c>
      <c r="H4427" t="str">
        <f t="shared" si="313"/>
        <v>84250</v>
      </c>
      <c r="I4427" t="s">
        <v>4834</v>
      </c>
    </row>
    <row r="4428" spans="1:12" x14ac:dyDescent="0.3">
      <c r="A4428" t="str">
        <f>"65469445"</f>
        <v>65469445</v>
      </c>
      <c r="B4428" t="s">
        <v>8572</v>
      </c>
      <c r="C4428" t="str">
        <f t="shared" si="314"/>
        <v>736</v>
      </c>
      <c r="D4428" t="s">
        <v>22</v>
      </c>
      <c r="E4428" t="s">
        <v>23</v>
      </c>
      <c r="F4428" t="s">
        <v>2620</v>
      </c>
      <c r="G4428" t="s">
        <v>8573</v>
      </c>
      <c r="H4428" t="str">
        <f t="shared" si="313"/>
        <v>84250</v>
      </c>
      <c r="I4428" t="s">
        <v>4834</v>
      </c>
    </row>
    <row r="4429" spans="1:12" x14ac:dyDescent="0.3">
      <c r="A4429" t="str">
        <f>"65324927"</f>
        <v>65324927</v>
      </c>
      <c r="B4429" t="s">
        <v>8574</v>
      </c>
      <c r="C4429" t="str">
        <f t="shared" si="314"/>
        <v>736</v>
      </c>
      <c r="D4429" t="s">
        <v>22</v>
      </c>
      <c r="E4429" t="s">
        <v>52</v>
      </c>
      <c r="F4429" t="s">
        <v>2806</v>
      </c>
      <c r="G4429" t="s">
        <v>2807</v>
      </c>
      <c r="H4429" t="str">
        <f t="shared" si="313"/>
        <v>84250</v>
      </c>
      <c r="I4429" t="s">
        <v>4834</v>
      </c>
    </row>
    <row r="4430" spans="1:12" x14ac:dyDescent="0.3">
      <c r="A4430" t="str">
        <f>"65325044"</f>
        <v>65325044</v>
      </c>
      <c r="B4430" t="s">
        <v>8575</v>
      </c>
      <c r="C4430" t="str">
        <f t="shared" si="314"/>
        <v>736</v>
      </c>
      <c r="D4430" t="s">
        <v>22</v>
      </c>
      <c r="E4430" t="s">
        <v>52</v>
      </c>
      <c r="F4430" t="s">
        <v>362</v>
      </c>
      <c r="G4430" t="s">
        <v>8576</v>
      </c>
      <c r="H4430" t="str">
        <f t="shared" si="313"/>
        <v>84250</v>
      </c>
      <c r="I4430" t="s">
        <v>4834</v>
      </c>
    </row>
    <row r="4431" spans="1:12" x14ac:dyDescent="0.3">
      <c r="A4431" t="str">
        <f>"65325311"</f>
        <v>65325311</v>
      </c>
      <c r="B4431" t="s">
        <v>8577</v>
      </c>
      <c r="C4431" t="str">
        <f t="shared" si="314"/>
        <v>736</v>
      </c>
      <c r="D4431" t="s">
        <v>22</v>
      </c>
      <c r="E4431" t="s">
        <v>52</v>
      </c>
      <c r="F4431" t="s">
        <v>1622</v>
      </c>
      <c r="G4431" t="s">
        <v>5135</v>
      </c>
      <c r="H4431" t="str">
        <f t="shared" si="313"/>
        <v>84250</v>
      </c>
      <c r="I4431" t="s">
        <v>4834</v>
      </c>
    </row>
    <row r="4432" spans="1:12" x14ac:dyDescent="0.3">
      <c r="A4432" t="str">
        <f>"63701596"</f>
        <v>63701596</v>
      </c>
      <c r="B4432" t="s">
        <v>8578</v>
      </c>
      <c r="C4432" t="str">
        <f t="shared" si="314"/>
        <v>736</v>
      </c>
      <c r="D4432" t="s">
        <v>22</v>
      </c>
      <c r="E4432" t="s">
        <v>29</v>
      </c>
      <c r="F4432" t="s">
        <v>718</v>
      </c>
      <c r="G4432" t="s">
        <v>8579</v>
      </c>
      <c r="H4432" t="str">
        <f t="shared" si="313"/>
        <v>84250</v>
      </c>
      <c r="I4432" t="s">
        <v>4834</v>
      </c>
      <c r="J4432" t="s">
        <v>258</v>
      </c>
      <c r="K4432" t="s">
        <v>161</v>
      </c>
      <c r="L4432" t="s">
        <v>2069</v>
      </c>
    </row>
    <row r="4433" spans="1:12" x14ac:dyDescent="0.3">
      <c r="A4433" t="str">
        <f>"63701693"</f>
        <v>63701693</v>
      </c>
      <c r="B4433" t="s">
        <v>8580</v>
      </c>
      <c r="C4433" t="str">
        <f t="shared" si="314"/>
        <v>736</v>
      </c>
      <c r="D4433" t="s">
        <v>22</v>
      </c>
      <c r="E4433" t="s">
        <v>29</v>
      </c>
      <c r="F4433" t="s">
        <v>1266</v>
      </c>
      <c r="G4433" t="s">
        <v>8581</v>
      </c>
      <c r="H4433" t="str">
        <f t="shared" si="313"/>
        <v>84250</v>
      </c>
      <c r="I4433" t="s">
        <v>4834</v>
      </c>
      <c r="J4433" t="s">
        <v>258</v>
      </c>
      <c r="K4433" t="s">
        <v>161</v>
      </c>
      <c r="L4433" t="s">
        <v>2069</v>
      </c>
    </row>
    <row r="4434" spans="1:12" x14ac:dyDescent="0.3">
      <c r="A4434" t="str">
        <f>"63701707"</f>
        <v>63701707</v>
      </c>
      <c r="B4434" t="s">
        <v>8582</v>
      </c>
      <c r="C4434" t="str">
        <f t="shared" si="314"/>
        <v>736</v>
      </c>
      <c r="D4434" t="s">
        <v>22</v>
      </c>
      <c r="E4434" t="s">
        <v>29</v>
      </c>
      <c r="F4434" t="s">
        <v>1266</v>
      </c>
      <c r="G4434" t="s">
        <v>8583</v>
      </c>
      <c r="H4434" t="str">
        <f t="shared" si="313"/>
        <v>84250</v>
      </c>
      <c r="I4434" t="s">
        <v>4834</v>
      </c>
    </row>
    <row r="4435" spans="1:12" x14ac:dyDescent="0.3">
      <c r="A4435" t="str">
        <f>"65888359"</f>
        <v>65888359</v>
      </c>
      <c r="B4435" t="s">
        <v>8584</v>
      </c>
      <c r="C4435" t="str">
        <f t="shared" si="314"/>
        <v>736</v>
      </c>
      <c r="D4435" t="s">
        <v>22</v>
      </c>
      <c r="E4435" t="s">
        <v>29</v>
      </c>
      <c r="F4435" t="s">
        <v>1266</v>
      </c>
      <c r="G4435" t="s">
        <v>1929</v>
      </c>
      <c r="H4435" t="str">
        <f t="shared" si="313"/>
        <v>84250</v>
      </c>
      <c r="I4435" t="s">
        <v>4834</v>
      </c>
    </row>
    <row r="4436" spans="1:12" x14ac:dyDescent="0.3">
      <c r="A4436" t="str">
        <f>"63701715"</f>
        <v>63701715</v>
      </c>
      <c r="B4436" t="s">
        <v>8585</v>
      </c>
      <c r="C4436" t="str">
        <f t="shared" si="314"/>
        <v>736</v>
      </c>
      <c r="D4436" t="s">
        <v>22</v>
      </c>
      <c r="E4436" t="s">
        <v>29</v>
      </c>
      <c r="F4436" t="s">
        <v>1266</v>
      </c>
      <c r="G4436" t="s">
        <v>8586</v>
      </c>
      <c r="H4436" t="str">
        <f t="shared" si="313"/>
        <v>84250</v>
      </c>
      <c r="I4436" t="s">
        <v>4834</v>
      </c>
      <c r="J4436" t="s">
        <v>258</v>
      </c>
      <c r="K4436" t="s">
        <v>2069</v>
      </c>
      <c r="L4436" t="s">
        <v>161</v>
      </c>
    </row>
    <row r="4437" spans="1:12" x14ac:dyDescent="0.3">
      <c r="A4437" t="str">
        <f>"65888332"</f>
        <v>65888332</v>
      </c>
      <c r="B4437" t="s">
        <v>8587</v>
      </c>
      <c r="C4437" t="str">
        <f t="shared" si="314"/>
        <v>736</v>
      </c>
      <c r="D4437" t="s">
        <v>22</v>
      </c>
      <c r="E4437" t="s">
        <v>29</v>
      </c>
      <c r="F4437" t="s">
        <v>1266</v>
      </c>
      <c r="G4437" t="s">
        <v>1929</v>
      </c>
      <c r="H4437" t="str">
        <f t="shared" si="313"/>
        <v>84250</v>
      </c>
      <c r="I4437" t="s">
        <v>4834</v>
      </c>
      <c r="J4437" t="s">
        <v>258</v>
      </c>
      <c r="K4437" t="s">
        <v>161</v>
      </c>
      <c r="L4437" t="s">
        <v>2069</v>
      </c>
    </row>
    <row r="4438" spans="1:12" x14ac:dyDescent="0.3">
      <c r="A4438" t="str">
        <f>"63414643"</f>
        <v>63414643</v>
      </c>
      <c r="B4438" t="s">
        <v>8588</v>
      </c>
      <c r="C4438" t="str">
        <f t="shared" si="314"/>
        <v>736</v>
      </c>
      <c r="D4438" t="s">
        <v>22</v>
      </c>
      <c r="E4438" t="s">
        <v>83</v>
      </c>
      <c r="F4438" t="s">
        <v>895</v>
      </c>
      <c r="G4438" t="s">
        <v>8041</v>
      </c>
      <c r="H4438" t="str">
        <f t="shared" si="313"/>
        <v>84250</v>
      </c>
      <c r="I4438" t="s">
        <v>4834</v>
      </c>
    </row>
    <row r="4439" spans="1:12" x14ac:dyDescent="0.3">
      <c r="A4439" t="str">
        <f>"67027288"</f>
        <v>67027288</v>
      </c>
      <c r="B4439" t="s">
        <v>8589</v>
      </c>
      <c r="C4439" t="str">
        <f t="shared" si="314"/>
        <v>736</v>
      </c>
      <c r="D4439" t="s">
        <v>22</v>
      </c>
      <c r="E4439" t="s">
        <v>23</v>
      </c>
      <c r="F4439" t="s">
        <v>1697</v>
      </c>
      <c r="G4439" t="s">
        <v>8590</v>
      </c>
      <c r="H4439" t="str">
        <f t="shared" si="313"/>
        <v>84250</v>
      </c>
      <c r="I4439" t="s">
        <v>4834</v>
      </c>
      <c r="J4439" t="s">
        <v>258</v>
      </c>
      <c r="K4439" t="s">
        <v>161</v>
      </c>
      <c r="L4439" t="s">
        <v>2069</v>
      </c>
    </row>
    <row r="4440" spans="1:12" x14ac:dyDescent="0.3">
      <c r="A4440" t="str">
        <f>"65822463"</f>
        <v>65822463</v>
      </c>
      <c r="B4440" t="s">
        <v>8591</v>
      </c>
      <c r="C4440" t="str">
        <f t="shared" si="314"/>
        <v>736</v>
      </c>
      <c r="D4440" t="s">
        <v>22</v>
      </c>
      <c r="E4440" t="s">
        <v>23</v>
      </c>
      <c r="F4440" t="s">
        <v>5249</v>
      </c>
      <c r="G4440" t="s">
        <v>8592</v>
      </c>
      <c r="H4440" t="str">
        <f t="shared" si="313"/>
        <v>84250</v>
      </c>
      <c r="I4440" t="s">
        <v>4834</v>
      </c>
    </row>
    <row r="4441" spans="1:12" x14ac:dyDescent="0.3">
      <c r="A4441" t="str">
        <f>"65469321"</f>
        <v>65469321</v>
      </c>
      <c r="B4441" t="s">
        <v>8591</v>
      </c>
      <c r="C4441" t="str">
        <f t="shared" si="314"/>
        <v>736</v>
      </c>
      <c r="D4441" t="s">
        <v>22</v>
      </c>
      <c r="E4441" t="s">
        <v>29</v>
      </c>
      <c r="F4441" t="s">
        <v>852</v>
      </c>
      <c r="G4441" t="s">
        <v>8593</v>
      </c>
      <c r="H4441" t="str">
        <f t="shared" ref="H4441:H4493" si="315">"84250"</f>
        <v>84250</v>
      </c>
      <c r="I4441" t="s">
        <v>4834</v>
      </c>
      <c r="J4441" t="s">
        <v>258</v>
      </c>
      <c r="K4441" t="s">
        <v>161</v>
      </c>
      <c r="L4441" t="s">
        <v>2069</v>
      </c>
    </row>
    <row r="4442" spans="1:12" x14ac:dyDescent="0.3">
      <c r="A4442" t="str">
        <f>"62833057"</f>
        <v>62833057</v>
      </c>
      <c r="B4442" t="s">
        <v>8594</v>
      </c>
      <c r="C4442" t="str">
        <f t="shared" si="314"/>
        <v>736</v>
      </c>
      <c r="D4442" t="s">
        <v>22</v>
      </c>
      <c r="E4442" t="s">
        <v>52</v>
      </c>
      <c r="F4442" t="s">
        <v>52</v>
      </c>
      <c r="G4442" t="s">
        <v>8595</v>
      </c>
      <c r="H4442" t="str">
        <f t="shared" si="315"/>
        <v>84250</v>
      </c>
      <c r="I4442" t="s">
        <v>4834</v>
      </c>
      <c r="J4442" t="s">
        <v>258</v>
      </c>
      <c r="K4442" t="s">
        <v>161</v>
      </c>
      <c r="L4442" t="s">
        <v>2069</v>
      </c>
    </row>
    <row r="4443" spans="1:12" x14ac:dyDescent="0.3">
      <c r="A4443" t="str">
        <f>"68684088"</f>
        <v>68684088</v>
      </c>
      <c r="B4443" t="s">
        <v>8596</v>
      </c>
      <c r="C4443" t="str">
        <f t="shared" si="314"/>
        <v>736</v>
      </c>
      <c r="D4443" t="s">
        <v>22</v>
      </c>
      <c r="E4443" t="s">
        <v>83</v>
      </c>
      <c r="F4443" t="s">
        <v>285</v>
      </c>
      <c r="G4443" t="s">
        <v>8597</v>
      </c>
      <c r="H4443" t="str">
        <f t="shared" si="315"/>
        <v>84250</v>
      </c>
      <c r="I4443" t="s">
        <v>4834</v>
      </c>
    </row>
    <row r="4444" spans="1:12" x14ac:dyDescent="0.3">
      <c r="A4444" t="str">
        <f>"65469330"</f>
        <v>65469330</v>
      </c>
      <c r="B4444" t="s">
        <v>8598</v>
      </c>
      <c r="C4444" t="str">
        <f t="shared" si="314"/>
        <v>736</v>
      </c>
      <c r="D4444" t="s">
        <v>22</v>
      </c>
      <c r="E4444" t="s">
        <v>29</v>
      </c>
      <c r="F4444" t="s">
        <v>1590</v>
      </c>
      <c r="G4444" t="s">
        <v>1591</v>
      </c>
      <c r="H4444" t="str">
        <f t="shared" si="315"/>
        <v>84250</v>
      </c>
      <c r="I4444" t="s">
        <v>4834</v>
      </c>
      <c r="J4444" t="s">
        <v>258</v>
      </c>
      <c r="K4444" t="s">
        <v>161</v>
      </c>
      <c r="L4444" t="s">
        <v>2069</v>
      </c>
    </row>
    <row r="4445" spans="1:12" x14ac:dyDescent="0.3">
      <c r="A4445" t="str">
        <f>"63701685"</f>
        <v>63701685</v>
      </c>
      <c r="B4445" t="s">
        <v>8599</v>
      </c>
      <c r="C4445" t="str">
        <f t="shared" si="314"/>
        <v>736</v>
      </c>
      <c r="D4445" t="s">
        <v>22</v>
      </c>
      <c r="E4445" t="s">
        <v>29</v>
      </c>
      <c r="F4445" t="s">
        <v>726</v>
      </c>
      <c r="G4445" t="s">
        <v>8600</v>
      </c>
      <c r="H4445" t="str">
        <f t="shared" si="315"/>
        <v>84250</v>
      </c>
      <c r="I4445" t="s">
        <v>4834</v>
      </c>
      <c r="J4445" t="s">
        <v>258</v>
      </c>
      <c r="K4445" t="s">
        <v>2069</v>
      </c>
      <c r="L4445" t="s">
        <v>161</v>
      </c>
    </row>
    <row r="4446" spans="1:12" x14ac:dyDescent="0.3">
      <c r="A4446" t="str">
        <f>"60383399"</f>
        <v>60383399</v>
      </c>
      <c r="B4446" t="s">
        <v>8601</v>
      </c>
      <c r="C4446" t="str">
        <f t="shared" si="314"/>
        <v>736</v>
      </c>
      <c r="D4446" t="s">
        <v>22</v>
      </c>
      <c r="E4446" t="s">
        <v>83</v>
      </c>
      <c r="F4446" t="s">
        <v>4976</v>
      </c>
      <c r="G4446" t="s">
        <v>8602</v>
      </c>
      <c r="H4446" t="str">
        <f t="shared" si="315"/>
        <v>84250</v>
      </c>
      <c r="I4446" t="s">
        <v>4834</v>
      </c>
      <c r="J4446" t="s">
        <v>161</v>
      </c>
      <c r="K4446" t="s">
        <v>2069</v>
      </c>
    </row>
    <row r="4447" spans="1:12" x14ac:dyDescent="0.3">
      <c r="A4447" t="str">
        <f>"65822706"</f>
        <v>65822706</v>
      </c>
      <c r="B4447" t="s">
        <v>8603</v>
      </c>
      <c r="C4447" t="str">
        <f t="shared" si="314"/>
        <v>736</v>
      </c>
      <c r="D4447" t="s">
        <v>22</v>
      </c>
      <c r="E4447" t="s">
        <v>23</v>
      </c>
      <c r="F4447" t="s">
        <v>68</v>
      </c>
      <c r="G4447" t="s">
        <v>8002</v>
      </c>
      <c r="H4447" t="str">
        <f t="shared" si="315"/>
        <v>84250</v>
      </c>
      <c r="I4447" t="s">
        <v>4834</v>
      </c>
    </row>
    <row r="4448" spans="1:12" x14ac:dyDescent="0.3">
      <c r="A4448" t="str">
        <f>"68729847"</f>
        <v>68729847</v>
      </c>
      <c r="B4448" t="s">
        <v>8604</v>
      </c>
      <c r="C4448" t="str">
        <f t="shared" si="314"/>
        <v>736</v>
      </c>
      <c r="D4448" t="s">
        <v>22</v>
      </c>
      <c r="E4448" t="s">
        <v>23</v>
      </c>
      <c r="F4448" t="s">
        <v>5743</v>
      </c>
      <c r="G4448" t="s">
        <v>5744</v>
      </c>
      <c r="H4448" t="str">
        <f t="shared" si="315"/>
        <v>84250</v>
      </c>
      <c r="I4448" t="s">
        <v>4834</v>
      </c>
    </row>
    <row r="4449" spans="1:12" x14ac:dyDescent="0.3">
      <c r="A4449" t="str">
        <f>"65792700"</f>
        <v>65792700</v>
      </c>
      <c r="B4449" t="s">
        <v>8605</v>
      </c>
      <c r="C4449" t="str">
        <f t="shared" si="314"/>
        <v>736</v>
      </c>
      <c r="D4449" t="s">
        <v>22</v>
      </c>
      <c r="E4449" t="s">
        <v>23</v>
      </c>
      <c r="F4449" t="s">
        <v>1935</v>
      </c>
      <c r="G4449" t="s">
        <v>1936</v>
      </c>
      <c r="H4449" t="str">
        <f t="shared" si="315"/>
        <v>84250</v>
      </c>
      <c r="I4449" t="s">
        <v>4834</v>
      </c>
    </row>
    <row r="4450" spans="1:12" x14ac:dyDescent="0.3">
      <c r="A4450" t="str">
        <f>"63458888"</f>
        <v>63458888</v>
      </c>
      <c r="B4450" t="s">
        <v>8606</v>
      </c>
      <c r="C4450" t="str">
        <f t="shared" si="314"/>
        <v>736</v>
      </c>
      <c r="D4450" t="s">
        <v>22</v>
      </c>
      <c r="E4450" t="s">
        <v>83</v>
      </c>
      <c r="F4450" t="s">
        <v>285</v>
      </c>
      <c r="G4450" t="s">
        <v>8607</v>
      </c>
      <c r="H4450" t="str">
        <f t="shared" si="315"/>
        <v>84250</v>
      </c>
      <c r="I4450" t="s">
        <v>4834</v>
      </c>
    </row>
    <row r="4451" spans="1:12" x14ac:dyDescent="0.3">
      <c r="A4451" t="str">
        <f>"65822811"</f>
        <v>65822811</v>
      </c>
      <c r="B4451" t="s">
        <v>8608</v>
      </c>
      <c r="C4451" t="str">
        <f t="shared" si="314"/>
        <v>736</v>
      </c>
      <c r="D4451" t="s">
        <v>22</v>
      </c>
      <c r="E4451" t="s">
        <v>23</v>
      </c>
      <c r="F4451" t="s">
        <v>6066</v>
      </c>
      <c r="G4451" t="s">
        <v>8609</v>
      </c>
      <c r="H4451" t="str">
        <f t="shared" si="315"/>
        <v>84250</v>
      </c>
      <c r="I4451" t="s">
        <v>4834</v>
      </c>
    </row>
    <row r="4452" spans="1:12" x14ac:dyDescent="0.3">
      <c r="A4452" t="str">
        <f>"65325290"</f>
        <v>65325290</v>
      </c>
      <c r="B4452" t="s">
        <v>8610</v>
      </c>
      <c r="C4452" t="str">
        <f t="shared" si="314"/>
        <v>736</v>
      </c>
      <c r="D4452" t="s">
        <v>22</v>
      </c>
      <c r="E4452" t="s">
        <v>52</v>
      </c>
      <c r="F4452" t="s">
        <v>951</v>
      </c>
      <c r="G4452" t="s">
        <v>8611</v>
      </c>
      <c r="H4452" t="str">
        <f t="shared" si="315"/>
        <v>84250</v>
      </c>
      <c r="I4452" t="s">
        <v>4834</v>
      </c>
      <c r="J4452" t="s">
        <v>258</v>
      </c>
      <c r="K4452" t="s">
        <v>161</v>
      </c>
      <c r="L4452" t="s">
        <v>2069</v>
      </c>
    </row>
    <row r="4453" spans="1:12" x14ac:dyDescent="0.3">
      <c r="A4453" t="str">
        <f>"65792386"</f>
        <v>65792386</v>
      </c>
      <c r="B4453" t="s">
        <v>8612</v>
      </c>
      <c r="C4453" t="str">
        <f t="shared" si="314"/>
        <v>736</v>
      </c>
      <c r="D4453" t="s">
        <v>22</v>
      </c>
      <c r="E4453" t="s">
        <v>23</v>
      </c>
      <c r="F4453" t="s">
        <v>1935</v>
      </c>
      <c r="G4453" t="s">
        <v>8613</v>
      </c>
      <c r="H4453" t="str">
        <f t="shared" si="315"/>
        <v>84250</v>
      </c>
      <c r="I4453" t="s">
        <v>4834</v>
      </c>
    </row>
    <row r="4454" spans="1:12" x14ac:dyDescent="0.3">
      <c r="A4454" t="str">
        <f>"65274482"</f>
        <v>65274482</v>
      </c>
      <c r="B4454" t="s">
        <v>8614</v>
      </c>
      <c r="C4454" t="str">
        <f t="shared" si="314"/>
        <v>736</v>
      </c>
      <c r="D4454" t="s">
        <v>22</v>
      </c>
      <c r="E4454" t="s">
        <v>83</v>
      </c>
      <c r="F4454" t="s">
        <v>983</v>
      </c>
      <c r="G4454" t="s">
        <v>8615</v>
      </c>
      <c r="H4454" t="str">
        <f t="shared" si="315"/>
        <v>84250</v>
      </c>
      <c r="I4454" t="s">
        <v>4834</v>
      </c>
      <c r="J4454" t="s">
        <v>258</v>
      </c>
      <c r="K4454" t="s">
        <v>161</v>
      </c>
    </row>
    <row r="4455" spans="1:12" x14ac:dyDescent="0.3">
      <c r="A4455" t="str">
        <f>"63701405"</f>
        <v>63701405</v>
      </c>
      <c r="B4455" t="s">
        <v>8616</v>
      </c>
      <c r="C4455" t="str">
        <f t="shared" si="314"/>
        <v>736</v>
      </c>
      <c r="D4455" t="s">
        <v>22</v>
      </c>
      <c r="E4455" t="s">
        <v>29</v>
      </c>
      <c r="F4455" t="s">
        <v>29</v>
      </c>
      <c r="G4455" t="s">
        <v>8617</v>
      </c>
      <c r="H4455" t="str">
        <f t="shared" si="315"/>
        <v>84250</v>
      </c>
      <c r="I4455" t="s">
        <v>4834</v>
      </c>
      <c r="J4455" t="s">
        <v>258</v>
      </c>
      <c r="K4455" t="s">
        <v>161</v>
      </c>
      <c r="L4455" t="s">
        <v>2069</v>
      </c>
    </row>
    <row r="4456" spans="1:12" x14ac:dyDescent="0.3">
      <c r="A4456" t="str">
        <f>"65823478"</f>
        <v>65823478</v>
      </c>
      <c r="B4456" t="s">
        <v>8618</v>
      </c>
      <c r="C4456" t="str">
        <f t="shared" si="314"/>
        <v>736</v>
      </c>
      <c r="D4456" t="s">
        <v>22</v>
      </c>
      <c r="E4456" t="s">
        <v>23</v>
      </c>
      <c r="F4456" t="s">
        <v>710</v>
      </c>
      <c r="G4456" t="s">
        <v>8619</v>
      </c>
      <c r="H4456" t="str">
        <f t="shared" si="315"/>
        <v>84250</v>
      </c>
      <c r="I4456" t="s">
        <v>4834</v>
      </c>
    </row>
    <row r="4457" spans="1:12" x14ac:dyDescent="0.3">
      <c r="A4457" t="str">
        <f>"65469496"</f>
        <v>65469496</v>
      </c>
      <c r="B4457" t="s">
        <v>8620</v>
      </c>
      <c r="C4457" t="str">
        <f t="shared" si="314"/>
        <v>736</v>
      </c>
      <c r="D4457" t="s">
        <v>22</v>
      </c>
      <c r="E4457" t="s">
        <v>29</v>
      </c>
      <c r="F4457" t="s">
        <v>135</v>
      </c>
      <c r="G4457" t="s">
        <v>8621</v>
      </c>
      <c r="H4457" t="str">
        <f t="shared" si="315"/>
        <v>84250</v>
      </c>
      <c r="I4457" t="s">
        <v>4834</v>
      </c>
    </row>
    <row r="4458" spans="1:12" x14ac:dyDescent="0.3">
      <c r="A4458" t="str">
        <f>"65822404"</f>
        <v>65822404</v>
      </c>
      <c r="B4458" t="s">
        <v>8622</v>
      </c>
      <c r="C4458" t="str">
        <f t="shared" si="314"/>
        <v>736</v>
      </c>
      <c r="D4458" t="s">
        <v>22</v>
      </c>
      <c r="E4458" t="s">
        <v>23</v>
      </c>
      <c r="F4458" t="s">
        <v>1254</v>
      </c>
      <c r="G4458" t="s">
        <v>8623</v>
      </c>
      <c r="H4458" t="str">
        <f t="shared" si="315"/>
        <v>84250</v>
      </c>
      <c r="I4458" t="s">
        <v>4834</v>
      </c>
    </row>
    <row r="4459" spans="1:12" x14ac:dyDescent="0.3">
      <c r="A4459" t="str">
        <f>"65793081"</f>
        <v>65793081</v>
      </c>
      <c r="B4459" t="s">
        <v>8624</v>
      </c>
      <c r="C4459" t="str">
        <f t="shared" si="314"/>
        <v>736</v>
      </c>
      <c r="D4459" t="s">
        <v>22</v>
      </c>
      <c r="E4459" t="s">
        <v>23</v>
      </c>
      <c r="F4459" t="s">
        <v>87</v>
      </c>
      <c r="G4459" t="s">
        <v>8625</v>
      </c>
      <c r="H4459" t="str">
        <f t="shared" si="315"/>
        <v>84250</v>
      </c>
      <c r="I4459" t="s">
        <v>4834</v>
      </c>
      <c r="J4459" t="s">
        <v>161</v>
      </c>
      <c r="K4459" t="s">
        <v>2069</v>
      </c>
    </row>
    <row r="4460" spans="1:12" x14ac:dyDescent="0.3">
      <c r="A4460" t="str">
        <f>"65270223"</f>
        <v>65270223</v>
      </c>
      <c r="B4460" t="s">
        <v>8626</v>
      </c>
      <c r="C4460" t="str">
        <f t="shared" si="314"/>
        <v>736</v>
      </c>
      <c r="D4460" t="s">
        <v>22</v>
      </c>
      <c r="E4460" t="s">
        <v>83</v>
      </c>
      <c r="F4460" t="s">
        <v>537</v>
      </c>
      <c r="G4460" t="s">
        <v>8627</v>
      </c>
      <c r="H4460" t="str">
        <f t="shared" si="315"/>
        <v>84250</v>
      </c>
      <c r="I4460" t="s">
        <v>4834</v>
      </c>
    </row>
    <row r="4461" spans="1:12" x14ac:dyDescent="0.3">
      <c r="A4461" t="str">
        <f>"63414210"</f>
        <v>63414210</v>
      </c>
      <c r="B4461" t="s">
        <v>8628</v>
      </c>
      <c r="C4461" t="str">
        <f t="shared" si="314"/>
        <v>736</v>
      </c>
      <c r="D4461" t="s">
        <v>22</v>
      </c>
      <c r="E4461" t="s">
        <v>83</v>
      </c>
      <c r="F4461" t="s">
        <v>84</v>
      </c>
      <c r="G4461" t="s">
        <v>8629</v>
      </c>
      <c r="H4461" t="str">
        <f t="shared" si="315"/>
        <v>84250</v>
      </c>
      <c r="I4461" t="s">
        <v>4834</v>
      </c>
      <c r="J4461" t="s">
        <v>258</v>
      </c>
      <c r="K4461" t="s">
        <v>2069</v>
      </c>
      <c r="L4461" t="s">
        <v>161</v>
      </c>
    </row>
    <row r="4462" spans="1:12" x14ac:dyDescent="0.3">
      <c r="A4462" t="str">
        <f>"65325362"</f>
        <v>65325362</v>
      </c>
      <c r="B4462" t="s">
        <v>8630</v>
      </c>
      <c r="C4462" t="str">
        <f t="shared" ref="C4462:C4493" si="316">"736"</f>
        <v>736</v>
      </c>
      <c r="D4462" t="s">
        <v>22</v>
      </c>
      <c r="E4462" t="s">
        <v>52</v>
      </c>
      <c r="F4462" t="s">
        <v>645</v>
      </c>
      <c r="G4462" t="s">
        <v>8631</v>
      </c>
      <c r="H4462" t="str">
        <f t="shared" si="315"/>
        <v>84250</v>
      </c>
      <c r="I4462" t="s">
        <v>4834</v>
      </c>
      <c r="J4462" t="s">
        <v>258</v>
      </c>
      <c r="K4462" t="s">
        <v>161</v>
      </c>
      <c r="L4462" t="s">
        <v>2069</v>
      </c>
    </row>
    <row r="4463" spans="1:12" x14ac:dyDescent="0.3">
      <c r="A4463" t="str">
        <f>"63414007"</f>
        <v>63414007</v>
      </c>
      <c r="B4463" t="s">
        <v>8632</v>
      </c>
      <c r="C4463" t="str">
        <f t="shared" si="316"/>
        <v>736</v>
      </c>
      <c r="D4463" t="s">
        <v>22</v>
      </c>
      <c r="E4463" t="s">
        <v>83</v>
      </c>
      <c r="F4463" t="s">
        <v>5711</v>
      </c>
      <c r="G4463" t="s">
        <v>8633</v>
      </c>
      <c r="H4463" t="str">
        <f t="shared" si="315"/>
        <v>84250</v>
      </c>
      <c r="I4463" t="s">
        <v>4834</v>
      </c>
      <c r="J4463" t="s">
        <v>258</v>
      </c>
      <c r="K4463" t="s">
        <v>2069</v>
      </c>
      <c r="L4463" t="s">
        <v>161</v>
      </c>
    </row>
    <row r="4464" spans="1:12" x14ac:dyDescent="0.3">
      <c r="A4464" t="str">
        <f>"63414520"</f>
        <v>63414520</v>
      </c>
      <c r="B4464" t="s">
        <v>8634</v>
      </c>
      <c r="C4464" t="str">
        <f t="shared" si="316"/>
        <v>736</v>
      </c>
      <c r="D4464" t="s">
        <v>22</v>
      </c>
      <c r="E4464" t="s">
        <v>83</v>
      </c>
      <c r="F4464" t="s">
        <v>1958</v>
      </c>
      <c r="G4464" t="s">
        <v>8635</v>
      </c>
      <c r="H4464" t="str">
        <f t="shared" si="315"/>
        <v>84250</v>
      </c>
      <c r="I4464" t="s">
        <v>4834</v>
      </c>
      <c r="J4464" t="s">
        <v>258</v>
      </c>
      <c r="K4464" t="s">
        <v>161</v>
      </c>
      <c r="L4464" t="s">
        <v>2069</v>
      </c>
    </row>
    <row r="4465" spans="1:12" x14ac:dyDescent="0.3">
      <c r="A4465" t="str">
        <f>"65469348"</f>
        <v>65469348</v>
      </c>
      <c r="B4465" t="s">
        <v>8636</v>
      </c>
      <c r="C4465" t="str">
        <f t="shared" si="316"/>
        <v>736</v>
      </c>
      <c r="D4465" t="s">
        <v>22</v>
      </c>
      <c r="E4465" t="s">
        <v>29</v>
      </c>
      <c r="F4465" t="s">
        <v>852</v>
      </c>
      <c r="G4465" t="s">
        <v>8024</v>
      </c>
      <c r="H4465" t="str">
        <f t="shared" si="315"/>
        <v>84250</v>
      </c>
      <c r="I4465" t="s">
        <v>4834</v>
      </c>
      <c r="J4465" t="s">
        <v>2069</v>
      </c>
      <c r="K4465" t="s">
        <v>161</v>
      </c>
    </row>
    <row r="4466" spans="1:12" x14ac:dyDescent="0.3">
      <c r="A4466" t="str">
        <f>"63414813"</f>
        <v>63414813</v>
      </c>
      <c r="B4466" t="s">
        <v>8637</v>
      </c>
      <c r="C4466" t="str">
        <f t="shared" si="316"/>
        <v>736</v>
      </c>
      <c r="D4466" t="s">
        <v>22</v>
      </c>
      <c r="E4466" t="s">
        <v>83</v>
      </c>
      <c r="F4466" t="s">
        <v>1635</v>
      </c>
      <c r="G4466" t="s">
        <v>5714</v>
      </c>
      <c r="H4466" t="str">
        <f t="shared" si="315"/>
        <v>84250</v>
      </c>
      <c r="I4466" t="s">
        <v>4834</v>
      </c>
    </row>
    <row r="4467" spans="1:12" x14ac:dyDescent="0.3">
      <c r="A4467" t="str">
        <f>"63701723"</f>
        <v>63701723</v>
      </c>
      <c r="B4467" t="s">
        <v>8638</v>
      </c>
      <c r="C4467" t="str">
        <f t="shared" si="316"/>
        <v>736</v>
      </c>
      <c r="D4467" t="s">
        <v>22</v>
      </c>
      <c r="E4467" t="s">
        <v>29</v>
      </c>
      <c r="F4467" t="s">
        <v>1266</v>
      </c>
      <c r="G4467" t="s">
        <v>1929</v>
      </c>
      <c r="H4467" t="str">
        <f t="shared" si="315"/>
        <v>84250</v>
      </c>
      <c r="I4467" t="s">
        <v>4834</v>
      </c>
    </row>
    <row r="4468" spans="1:12" x14ac:dyDescent="0.3">
      <c r="A4468" t="str">
        <f>"63701804"</f>
        <v>63701804</v>
      </c>
      <c r="B4468" t="s">
        <v>8639</v>
      </c>
      <c r="C4468" t="str">
        <f t="shared" si="316"/>
        <v>736</v>
      </c>
      <c r="D4468" t="s">
        <v>22</v>
      </c>
      <c r="E4468" t="s">
        <v>29</v>
      </c>
      <c r="F4468" t="s">
        <v>544</v>
      </c>
      <c r="G4468" t="s">
        <v>1219</v>
      </c>
      <c r="H4468" t="str">
        <f t="shared" si="315"/>
        <v>84250</v>
      </c>
      <c r="I4468" t="s">
        <v>4834</v>
      </c>
    </row>
    <row r="4469" spans="1:12" x14ac:dyDescent="0.3">
      <c r="A4469" t="str">
        <f>"63414759"</f>
        <v>63414759</v>
      </c>
      <c r="B4469" t="s">
        <v>8640</v>
      </c>
      <c r="C4469" t="str">
        <f t="shared" si="316"/>
        <v>736</v>
      </c>
      <c r="D4469" t="s">
        <v>22</v>
      </c>
      <c r="E4469" t="s">
        <v>83</v>
      </c>
      <c r="F4469" t="s">
        <v>1691</v>
      </c>
      <c r="G4469" t="s">
        <v>5257</v>
      </c>
      <c r="H4469" t="str">
        <f t="shared" si="315"/>
        <v>84250</v>
      </c>
      <c r="I4469" t="s">
        <v>4834</v>
      </c>
      <c r="J4469" t="s">
        <v>258</v>
      </c>
      <c r="K4469" t="s">
        <v>161</v>
      </c>
      <c r="L4469" t="s">
        <v>2069</v>
      </c>
    </row>
    <row r="4470" spans="1:12" x14ac:dyDescent="0.3">
      <c r="A4470" t="str">
        <f>"63458829"</f>
        <v>63458829</v>
      </c>
      <c r="B4470" t="s">
        <v>8641</v>
      </c>
      <c r="C4470" t="str">
        <f t="shared" si="316"/>
        <v>736</v>
      </c>
      <c r="D4470" t="s">
        <v>22</v>
      </c>
      <c r="E4470" t="s">
        <v>83</v>
      </c>
      <c r="F4470" t="s">
        <v>944</v>
      </c>
      <c r="G4470" t="s">
        <v>8642</v>
      </c>
      <c r="H4470" t="str">
        <f t="shared" si="315"/>
        <v>84250</v>
      </c>
      <c r="I4470" t="s">
        <v>4834</v>
      </c>
      <c r="J4470" t="s">
        <v>258</v>
      </c>
      <c r="K4470" t="s">
        <v>161</v>
      </c>
      <c r="L4470" t="s">
        <v>2069</v>
      </c>
    </row>
    <row r="4471" spans="1:12" x14ac:dyDescent="0.3">
      <c r="A4471" t="str">
        <f>"63458870"</f>
        <v>63458870</v>
      </c>
      <c r="B4471" t="s">
        <v>8643</v>
      </c>
      <c r="C4471" t="str">
        <f t="shared" si="316"/>
        <v>736</v>
      </c>
      <c r="D4471" t="s">
        <v>22</v>
      </c>
      <c r="E4471" t="s">
        <v>83</v>
      </c>
      <c r="F4471" t="s">
        <v>83</v>
      </c>
      <c r="G4471" t="s">
        <v>8644</v>
      </c>
      <c r="H4471" t="str">
        <f t="shared" si="315"/>
        <v>84250</v>
      </c>
      <c r="I4471" t="s">
        <v>4834</v>
      </c>
    </row>
    <row r="4472" spans="1:12" x14ac:dyDescent="0.3">
      <c r="A4472" t="str">
        <f>"65324854"</f>
        <v>65324854</v>
      </c>
      <c r="B4472" t="s">
        <v>8645</v>
      </c>
      <c r="C4472" t="str">
        <f t="shared" si="316"/>
        <v>736</v>
      </c>
      <c r="D4472" t="s">
        <v>22</v>
      </c>
      <c r="E4472" t="s">
        <v>52</v>
      </c>
      <c r="F4472" t="s">
        <v>2736</v>
      </c>
      <c r="G4472" t="s">
        <v>5691</v>
      </c>
      <c r="H4472" t="str">
        <f t="shared" si="315"/>
        <v>84250</v>
      </c>
      <c r="I4472" t="s">
        <v>4834</v>
      </c>
    </row>
    <row r="4473" spans="1:12" x14ac:dyDescent="0.3">
      <c r="A4473" t="str">
        <f>"65792505"</f>
        <v>65792505</v>
      </c>
      <c r="B4473" t="s">
        <v>8646</v>
      </c>
      <c r="C4473" t="str">
        <f t="shared" si="316"/>
        <v>736</v>
      </c>
      <c r="D4473" t="s">
        <v>22</v>
      </c>
      <c r="E4473" t="s">
        <v>23</v>
      </c>
      <c r="F4473" t="s">
        <v>23</v>
      </c>
      <c r="G4473" t="s">
        <v>8647</v>
      </c>
      <c r="H4473" t="str">
        <f t="shared" si="315"/>
        <v>84250</v>
      </c>
      <c r="I4473" t="s">
        <v>4834</v>
      </c>
      <c r="J4473" t="s">
        <v>258</v>
      </c>
      <c r="K4473" t="s">
        <v>159</v>
      </c>
      <c r="L4473" t="s">
        <v>2069</v>
      </c>
    </row>
    <row r="4474" spans="1:12" x14ac:dyDescent="0.3">
      <c r="A4474" t="str">
        <f>"68729537"</f>
        <v>68729537</v>
      </c>
      <c r="B4474" t="s">
        <v>8648</v>
      </c>
      <c r="C4474" t="str">
        <f t="shared" si="316"/>
        <v>736</v>
      </c>
      <c r="D4474" t="s">
        <v>22</v>
      </c>
      <c r="E4474" t="s">
        <v>23</v>
      </c>
      <c r="F4474" t="s">
        <v>23</v>
      </c>
      <c r="G4474" t="s">
        <v>8649</v>
      </c>
      <c r="H4474" t="str">
        <f t="shared" si="315"/>
        <v>84250</v>
      </c>
      <c r="I4474" t="s">
        <v>4834</v>
      </c>
      <c r="J4474" t="s">
        <v>258</v>
      </c>
      <c r="K4474" t="s">
        <v>161</v>
      </c>
      <c r="L4474" t="s">
        <v>2069</v>
      </c>
    </row>
    <row r="4475" spans="1:12" x14ac:dyDescent="0.3">
      <c r="A4475" t="str">
        <f>"68729561"</f>
        <v>68729561</v>
      </c>
      <c r="B4475" t="s">
        <v>8650</v>
      </c>
      <c r="C4475" t="str">
        <f t="shared" si="316"/>
        <v>736</v>
      </c>
      <c r="D4475" t="s">
        <v>22</v>
      </c>
      <c r="E4475" t="s">
        <v>23</v>
      </c>
      <c r="F4475" t="s">
        <v>23</v>
      </c>
      <c r="G4475" t="s">
        <v>8651</v>
      </c>
      <c r="H4475" t="str">
        <f t="shared" si="315"/>
        <v>84250</v>
      </c>
      <c r="I4475" t="s">
        <v>4834</v>
      </c>
    </row>
    <row r="4476" spans="1:12" x14ac:dyDescent="0.3">
      <c r="A4476" t="str">
        <f>"65792599"</f>
        <v>65792599</v>
      </c>
      <c r="B4476" t="s">
        <v>8652</v>
      </c>
      <c r="C4476" t="str">
        <f t="shared" si="316"/>
        <v>736</v>
      </c>
      <c r="D4476" t="s">
        <v>22</v>
      </c>
      <c r="E4476" t="s">
        <v>23</v>
      </c>
      <c r="F4476" t="s">
        <v>23</v>
      </c>
      <c r="G4476" t="s">
        <v>8653</v>
      </c>
      <c r="H4476" t="str">
        <f t="shared" si="315"/>
        <v>84250</v>
      </c>
      <c r="I4476" t="s">
        <v>4834</v>
      </c>
    </row>
    <row r="4477" spans="1:12" x14ac:dyDescent="0.3">
      <c r="A4477" t="str">
        <f>"65792408"</f>
        <v>65792408</v>
      </c>
      <c r="B4477" t="s">
        <v>8654</v>
      </c>
      <c r="C4477" t="str">
        <f t="shared" si="316"/>
        <v>736</v>
      </c>
      <c r="D4477" t="s">
        <v>22</v>
      </c>
      <c r="E4477" t="s">
        <v>23</v>
      </c>
      <c r="F4477" t="s">
        <v>23</v>
      </c>
      <c r="G4477" t="s">
        <v>8655</v>
      </c>
      <c r="H4477" t="str">
        <f t="shared" si="315"/>
        <v>84250</v>
      </c>
      <c r="I4477" t="s">
        <v>4834</v>
      </c>
    </row>
    <row r="4478" spans="1:12" x14ac:dyDescent="0.3">
      <c r="A4478" t="str">
        <f>"65822536"</f>
        <v>65822536</v>
      </c>
      <c r="B4478" t="s">
        <v>8656</v>
      </c>
      <c r="C4478" t="str">
        <f t="shared" si="316"/>
        <v>736</v>
      </c>
      <c r="D4478" t="s">
        <v>22</v>
      </c>
      <c r="E4478" t="s">
        <v>23</v>
      </c>
      <c r="F4478" t="s">
        <v>23</v>
      </c>
      <c r="G4478" t="s">
        <v>8657</v>
      </c>
      <c r="H4478" t="str">
        <f t="shared" si="315"/>
        <v>84250</v>
      </c>
      <c r="I4478" t="s">
        <v>4834</v>
      </c>
    </row>
    <row r="4479" spans="1:12" x14ac:dyDescent="0.3">
      <c r="A4479" t="str">
        <f>"65792297"</f>
        <v>65792297</v>
      </c>
      <c r="B4479" t="s">
        <v>8658</v>
      </c>
      <c r="C4479" t="str">
        <f t="shared" si="316"/>
        <v>736</v>
      </c>
      <c r="D4479" t="s">
        <v>22</v>
      </c>
      <c r="E4479" t="s">
        <v>23</v>
      </c>
      <c r="F4479" t="s">
        <v>23</v>
      </c>
      <c r="G4479" t="s">
        <v>8659</v>
      </c>
      <c r="H4479" t="str">
        <f t="shared" si="315"/>
        <v>84250</v>
      </c>
      <c r="I4479" t="s">
        <v>4834</v>
      </c>
      <c r="J4479" t="s">
        <v>258</v>
      </c>
      <c r="K4479" t="s">
        <v>161</v>
      </c>
      <c r="L4479" t="s">
        <v>2069</v>
      </c>
    </row>
    <row r="4480" spans="1:12" x14ac:dyDescent="0.3">
      <c r="A4480" t="str">
        <f>"68729600"</f>
        <v>68729600</v>
      </c>
      <c r="B4480" t="s">
        <v>8660</v>
      </c>
      <c r="C4480" t="str">
        <f t="shared" si="316"/>
        <v>736</v>
      </c>
      <c r="D4480" t="s">
        <v>22</v>
      </c>
      <c r="E4480" t="s">
        <v>23</v>
      </c>
      <c r="F4480" t="s">
        <v>23</v>
      </c>
      <c r="G4480" t="s">
        <v>8661</v>
      </c>
      <c r="H4480" t="str">
        <f t="shared" si="315"/>
        <v>84250</v>
      </c>
      <c r="I4480" t="s">
        <v>4834</v>
      </c>
    </row>
    <row r="4481" spans="1:12" x14ac:dyDescent="0.3">
      <c r="A4481" t="str">
        <f>"65792211"</f>
        <v>65792211</v>
      </c>
      <c r="B4481" t="s">
        <v>8662</v>
      </c>
      <c r="C4481" t="str">
        <f t="shared" si="316"/>
        <v>736</v>
      </c>
      <c r="D4481" t="s">
        <v>22</v>
      </c>
      <c r="E4481" t="s">
        <v>23</v>
      </c>
      <c r="F4481" t="s">
        <v>23</v>
      </c>
      <c r="G4481" t="s">
        <v>8663</v>
      </c>
      <c r="H4481" t="str">
        <f t="shared" si="315"/>
        <v>84250</v>
      </c>
      <c r="I4481" t="s">
        <v>4834</v>
      </c>
      <c r="J4481" t="s">
        <v>258</v>
      </c>
      <c r="K4481" t="s">
        <v>161</v>
      </c>
      <c r="L4481" t="s">
        <v>2069</v>
      </c>
    </row>
    <row r="4482" spans="1:12" x14ac:dyDescent="0.3">
      <c r="A4482" t="str">
        <f>"65792491"</f>
        <v>65792491</v>
      </c>
      <c r="B4482" t="s">
        <v>8664</v>
      </c>
      <c r="C4482" t="str">
        <f t="shared" si="316"/>
        <v>736</v>
      </c>
      <c r="D4482" t="s">
        <v>22</v>
      </c>
      <c r="E4482" t="s">
        <v>23</v>
      </c>
      <c r="F4482" t="s">
        <v>23</v>
      </c>
      <c r="G4482" t="s">
        <v>8665</v>
      </c>
      <c r="H4482" t="str">
        <f t="shared" si="315"/>
        <v>84250</v>
      </c>
      <c r="I4482" t="s">
        <v>4834</v>
      </c>
    </row>
    <row r="4483" spans="1:12" x14ac:dyDescent="0.3">
      <c r="A4483" t="str">
        <f>"68729782"</f>
        <v>68729782</v>
      </c>
      <c r="B4483" t="s">
        <v>8666</v>
      </c>
      <c r="C4483" t="str">
        <f t="shared" si="316"/>
        <v>736</v>
      </c>
      <c r="D4483" t="s">
        <v>22</v>
      </c>
      <c r="E4483" t="s">
        <v>23</v>
      </c>
      <c r="F4483" t="s">
        <v>23</v>
      </c>
      <c r="G4483" t="s">
        <v>8667</v>
      </c>
      <c r="H4483" t="str">
        <f t="shared" si="315"/>
        <v>84250</v>
      </c>
      <c r="I4483" t="s">
        <v>4834</v>
      </c>
      <c r="J4483" t="s">
        <v>258</v>
      </c>
      <c r="K4483" t="s">
        <v>161</v>
      </c>
      <c r="L4483" t="s">
        <v>2069</v>
      </c>
    </row>
    <row r="4484" spans="1:12" x14ac:dyDescent="0.3">
      <c r="A4484" t="str">
        <f>"65793013"</f>
        <v>65793013</v>
      </c>
      <c r="B4484" t="s">
        <v>8668</v>
      </c>
      <c r="C4484" t="str">
        <f t="shared" si="316"/>
        <v>736</v>
      </c>
      <c r="D4484" t="s">
        <v>22</v>
      </c>
      <c r="E4484" t="s">
        <v>23</v>
      </c>
      <c r="F4484" t="s">
        <v>23</v>
      </c>
      <c r="G4484" t="s">
        <v>8669</v>
      </c>
      <c r="H4484" t="str">
        <f t="shared" si="315"/>
        <v>84250</v>
      </c>
      <c r="I4484" t="s">
        <v>4834</v>
      </c>
    </row>
    <row r="4485" spans="1:12" x14ac:dyDescent="0.3">
      <c r="A4485" t="str">
        <f>"60383356"</f>
        <v>60383356</v>
      </c>
      <c r="B4485" t="s">
        <v>8670</v>
      </c>
      <c r="C4485" t="str">
        <f t="shared" si="316"/>
        <v>736</v>
      </c>
      <c r="D4485" t="s">
        <v>22</v>
      </c>
      <c r="E4485" t="s">
        <v>83</v>
      </c>
      <c r="F4485" t="s">
        <v>6742</v>
      </c>
      <c r="G4485" t="s">
        <v>8671</v>
      </c>
      <c r="H4485" t="str">
        <f t="shared" si="315"/>
        <v>84250</v>
      </c>
      <c r="I4485" t="s">
        <v>4834</v>
      </c>
    </row>
    <row r="4486" spans="1:12" x14ac:dyDescent="0.3">
      <c r="A4486" t="str">
        <f>"44740522"</f>
        <v>44740522</v>
      </c>
      <c r="B4486" t="s">
        <v>8672</v>
      </c>
      <c r="C4486" t="str">
        <f t="shared" si="316"/>
        <v>736</v>
      </c>
      <c r="D4486" t="s">
        <v>22</v>
      </c>
      <c r="E4486" t="s">
        <v>29</v>
      </c>
      <c r="F4486" t="s">
        <v>45</v>
      </c>
      <c r="G4486" t="s">
        <v>8673</v>
      </c>
      <c r="H4486" t="str">
        <f t="shared" si="315"/>
        <v>84250</v>
      </c>
      <c r="I4486" t="s">
        <v>4834</v>
      </c>
      <c r="J4486" t="s">
        <v>258</v>
      </c>
      <c r="K4486" t="s">
        <v>161</v>
      </c>
      <c r="L4486" t="s">
        <v>2069</v>
      </c>
    </row>
    <row r="4487" spans="1:12" x14ac:dyDescent="0.3">
      <c r="A4487" t="str">
        <f>"60383330"</f>
        <v>60383330</v>
      </c>
      <c r="B4487" t="s">
        <v>8674</v>
      </c>
      <c r="C4487" t="str">
        <f t="shared" si="316"/>
        <v>736</v>
      </c>
      <c r="D4487" t="s">
        <v>22</v>
      </c>
      <c r="E4487" t="s">
        <v>83</v>
      </c>
      <c r="F4487" t="s">
        <v>5718</v>
      </c>
      <c r="G4487" t="s">
        <v>5719</v>
      </c>
      <c r="H4487" t="str">
        <f t="shared" si="315"/>
        <v>84250</v>
      </c>
      <c r="I4487" t="s">
        <v>4834</v>
      </c>
      <c r="J4487" t="s">
        <v>258</v>
      </c>
      <c r="K4487" t="s">
        <v>161</v>
      </c>
      <c r="L4487" t="s">
        <v>2069</v>
      </c>
    </row>
    <row r="4488" spans="1:12" x14ac:dyDescent="0.3">
      <c r="A4488" t="str">
        <f>"67026541"</f>
        <v>67026541</v>
      </c>
      <c r="B4488" t="s">
        <v>8675</v>
      </c>
      <c r="C4488" t="str">
        <f t="shared" si="316"/>
        <v>736</v>
      </c>
      <c r="D4488" t="s">
        <v>22</v>
      </c>
      <c r="E4488" t="s">
        <v>23</v>
      </c>
      <c r="F4488" t="s">
        <v>1492</v>
      </c>
      <c r="G4488" t="s">
        <v>8676</v>
      </c>
      <c r="H4488" t="str">
        <f t="shared" si="315"/>
        <v>84250</v>
      </c>
      <c r="I4488" t="s">
        <v>4834</v>
      </c>
      <c r="J4488" t="s">
        <v>258</v>
      </c>
      <c r="K4488" t="s">
        <v>161</v>
      </c>
      <c r="L4488" t="s">
        <v>2069</v>
      </c>
    </row>
    <row r="4489" spans="1:12" x14ac:dyDescent="0.3">
      <c r="A4489" t="str">
        <f>"65792394"</f>
        <v>65792394</v>
      </c>
      <c r="B4489" t="s">
        <v>8677</v>
      </c>
      <c r="C4489" t="str">
        <f t="shared" si="316"/>
        <v>736</v>
      </c>
      <c r="D4489" t="s">
        <v>22</v>
      </c>
      <c r="E4489" t="s">
        <v>23</v>
      </c>
      <c r="F4489" t="s">
        <v>1492</v>
      </c>
      <c r="G4489" t="s">
        <v>1599</v>
      </c>
      <c r="H4489" t="str">
        <f t="shared" si="315"/>
        <v>84250</v>
      </c>
      <c r="I4489" t="s">
        <v>4834</v>
      </c>
      <c r="J4489" t="s">
        <v>258</v>
      </c>
      <c r="K4489" t="s">
        <v>161</v>
      </c>
      <c r="L4489" t="s">
        <v>2069</v>
      </c>
    </row>
    <row r="4490" spans="1:12" x14ac:dyDescent="0.3">
      <c r="A4490" t="str">
        <f>"63414023"</f>
        <v>63414023</v>
      </c>
      <c r="B4490" t="s">
        <v>8678</v>
      </c>
      <c r="C4490" t="str">
        <f t="shared" si="316"/>
        <v>736</v>
      </c>
      <c r="D4490" t="s">
        <v>22</v>
      </c>
      <c r="E4490" t="s">
        <v>83</v>
      </c>
      <c r="F4490" t="s">
        <v>991</v>
      </c>
      <c r="G4490" t="s">
        <v>8679</v>
      </c>
      <c r="H4490" t="str">
        <f t="shared" si="315"/>
        <v>84250</v>
      </c>
      <c r="I4490" t="s">
        <v>4834</v>
      </c>
      <c r="J4490" t="s">
        <v>258</v>
      </c>
      <c r="K4490" t="s">
        <v>161</v>
      </c>
      <c r="L4490" t="s">
        <v>2069</v>
      </c>
    </row>
    <row r="4491" spans="1:12" x14ac:dyDescent="0.3">
      <c r="A4491" t="str">
        <f>"65792564"</f>
        <v>65792564</v>
      </c>
      <c r="B4491" t="s">
        <v>8680</v>
      </c>
      <c r="C4491" t="str">
        <f t="shared" si="316"/>
        <v>736</v>
      </c>
      <c r="D4491" t="s">
        <v>22</v>
      </c>
      <c r="E4491" t="s">
        <v>23</v>
      </c>
      <c r="F4491" t="s">
        <v>793</v>
      </c>
      <c r="G4491" t="s">
        <v>8681</v>
      </c>
      <c r="H4491" t="str">
        <f t="shared" si="315"/>
        <v>84250</v>
      </c>
      <c r="I4491" t="s">
        <v>4834</v>
      </c>
      <c r="J4491" t="s">
        <v>258</v>
      </c>
      <c r="K4491" t="s">
        <v>161</v>
      </c>
      <c r="L4491" t="s">
        <v>2069</v>
      </c>
    </row>
    <row r="4492" spans="1:12" x14ac:dyDescent="0.3">
      <c r="A4492" t="str">
        <f>"75067668"</f>
        <v>75067668</v>
      </c>
      <c r="B4492" t="s">
        <v>8682</v>
      </c>
      <c r="C4492" t="str">
        <f t="shared" si="316"/>
        <v>736</v>
      </c>
      <c r="D4492" t="s">
        <v>22</v>
      </c>
      <c r="E4492" t="s">
        <v>83</v>
      </c>
      <c r="F4492" t="s">
        <v>183</v>
      </c>
      <c r="G4492" t="s">
        <v>8683</v>
      </c>
      <c r="H4492" t="str">
        <f t="shared" si="315"/>
        <v>84250</v>
      </c>
      <c r="I4492" t="s">
        <v>4834</v>
      </c>
      <c r="J4492" t="s">
        <v>258</v>
      </c>
      <c r="K4492" t="s">
        <v>161</v>
      </c>
      <c r="L4492" t="s">
        <v>2069</v>
      </c>
    </row>
    <row r="4493" spans="1:12" x14ac:dyDescent="0.3">
      <c r="A4493" t="str">
        <f>"63414805"</f>
        <v>63414805</v>
      </c>
      <c r="B4493" t="s">
        <v>8684</v>
      </c>
      <c r="C4493" t="str">
        <f t="shared" si="316"/>
        <v>736</v>
      </c>
      <c r="D4493" t="s">
        <v>22</v>
      </c>
      <c r="E4493" t="s">
        <v>83</v>
      </c>
      <c r="F4493" t="s">
        <v>944</v>
      </c>
      <c r="G4493" t="s">
        <v>8685</v>
      </c>
      <c r="H4493" t="str">
        <f t="shared" si="315"/>
        <v>84250</v>
      </c>
      <c r="I4493" t="s">
        <v>4834</v>
      </c>
      <c r="J4493" t="s">
        <v>258</v>
      </c>
      <c r="K4493" t="s">
        <v>161</v>
      </c>
      <c r="L4493" t="s">
        <v>2069</v>
      </c>
    </row>
    <row r="4494" spans="1:12" x14ac:dyDescent="0.3">
      <c r="A4494" t="str">
        <f>"06330169"</f>
        <v>06330169</v>
      </c>
      <c r="B4494" t="s">
        <v>8686</v>
      </c>
      <c r="C4494" t="str">
        <f>"706"</f>
        <v>706</v>
      </c>
      <c r="D4494" t="s">
        <v>28</v>
      </c>
      <c r="E4494" t="s">
        <v>52</v>
      </c>
      <c r="F4494" t="s">
        <v>951</v>
      </c>
      <c r="G4494" t="s">
        <v>8687</v>
      </c>
      <c r="H4494" t="str">
        <f>"94999"</f>
        <v>94999</v>
      </c>
      <c r="I4494" t="s">
        <v>202</v>
      </c>
    </row>
    <row r="4495" spans="1:12" x14ac:dyDescent="0.3">
      <c r="A4495" t="str">
        <f>"67341373"</f>
        <v>67341373</v>
      </c>
      <c r="B4495" t="s">
        <v>8688</v>
      </c>
      <c r="C4495" t="str">
        <f>"706"</f>
        <v>706</v>
      </c>
      <c r="D4495" t="s">
        <v>28</v>
      </c>
      <c r="E4495" t="s">
        <v>29</v>
      </c>
      <c r="F4495" t="s">
        <v>195</v>
      </c>
      <c r="G4495" t="s">
        <v>8689</v>
      </c>
      <c r="H4495" t="str">
        <f>"94993"</f>
        <v>94993</v>
      </c>
      <c r="I4495" t="s">
        <v>50</v>
      </c>
    </row>
    <row r="4496" spans="1:12" x14ac:dyDescent="0.3">
      <c r="A4496" t="str">
        <f>"65822480"</f>
        <v>65822480</v>
      </c>
      <c r="B4496" t="s">
        <v>8690</v>
      </c>
      <c r="C4496" t="str">
        <f>"736"</f>
        <v>736</v>
      </c>
      <c r="D4496" t="s">
        <v>22</v>
      </c>
      <c r="E4496" t="s">
        <v>23</v>
      </c>
      <c r="F4496" t="s">
        <v>245</v>
      </c>
      <c r="G4496" t="s">
        <v>7580</v>
      </c>
      <c r="H4496" t="str">
        <f>"94991"</f>
        <v>94991</v>
      </c>
      <c r="I4496" t="s">
        <v>433</v>
      </c>
    </row>
    <row r="4497" spans="1:11" x14ac:dyDescent="0.3">
      <c r="A4497" t="str">
        <f>"65828101"</f>
        <v>65828101</v>
      </c>
      <c r="B4497" t="s">
        <v>8691</v>
      </c>
      <c r="C4497" t="str">
        <f>"736"</f>
        <v>736</v>
      </c>
      <c r="D4497" t="s">
        <v>22</v>
      </c>
      <c r="E4497" t="s">
        <v>83</v>
      </c>
      <c r="F4497" t="s">
        <v>1425</v>
      </c>
      <c r="G4497" t="s">
        <v>8692</v>
      </c>
      <c r="H4497" t="str">
        <f>"94991"</f>
        <v>94991</v>
      </c>
      <c r="I4497" t="s">
        <v>433</v>
      </c>
    </row>
    <row r="4498" spans="1:11" x14ac:dyDescent="0.3">
      <c r="A4498" t="str">
        <f>"70955107"</f>
        <v>70955107</v>
      </c>
      <c r="B4498" t="s">
        <v>8693</v>
      </c>
      <c r="C4498" t="str">
        <f>"736"</f>
        <v>736</v>
      </c>
      <c r="D4498" t="s">
        <v>22</v>
      </c>
      <c r="E4498" t="s">
        <v>83</v>
      </c>
      <c r="F4498" t="s">
        <v>83</v>
      </c>
      <c r="G4498" t="s">
        <v>8694</v>
      </c>
      <c r="H4498" t="str">
        <f>"94991"</f>
        <v>94991</v>
      </c>
      <c r="I4498" t="s">
        <v>433</v>
      </c>
    </row>
    <row r="4499" spans="1:11" x14ac:dyDescent="0.3">
      <c r="A4499" t="str">
        <f>"66184258"</f>
        <v>66184258</v>
      </c>
      <c r="B4499" t="s">
        <v>8695</v>
      </c>
      <c r="C4499" t="str">
        <f t="shared" ref="C4499:C4561" si="317">"706"</f>
        <v>706</v>
      </c>
      <c r="D4499" t="s">
        <v>28</v>
      </c>
      <c r="E4499" t="s">
        <v>29</v>
      </c>
      <c r="F4499" t="s">
        <v>271</v>
      </c>
      <c r="G4499" t="s">
        <v>8696</v>
      </c>
      <c r="H4499" t="str">
        <f>"931"</f>
        <v>931</v>
      </c>
      <c r="I4499" t="s">
        <v>26</v>
      </c>
    </row>
    <row r="4500" spans="1:11" x14ac:dyDescent="0.3">
      <c r="A4500" t="str">
        <f>"22829792"</f>
        <v>22829792</v>
      </c>
      <c r="B4500" t="s">
        <v>8697</v>
      </c>
      <c r="C4500" t="str">
        <f t="shared" si="317"/>
        <v>706</v>
      </c>
      <c r="D4500" t="s">
        <v>28</v>
      </c>
      <c r="E4500" t="s">
        <v>23</v>
      </c>
      <c r="F4500" t="s">
        <v>23</v>
      </c>
      <c r="G4500" t="s">
        <v>4800</v>
      </c>
      <c r="H4500" t="str">
        <f>"9499"</f>
        <v>9499</v>
      </c>
      <c r="I4500" t="s">
        <v>31</v>
      </c>
    </row>
    <row r="4501" spans="1:11" x14ac:dyDescent="0.3">
      <c r="A4501" t="str">
        <f>"08601143"</f>
        <v>08601143</v>
      </c>
      <c r="B4501" t="s">
        <v>8698</v>
      </c>
      <c r="C4501" t="str">
        <f t="shared" si="317"/>
        <v>706</v>
      </c>
      <c r="D4501" t="s">
        <v>28</v>
      </c>
      <c r="E4501" t="s">
        <v>83</v>
      </c>
      <c r="F4501" t="s">
        <v>944</v>
      </c>
      <c r="G4501" t="s">
        <v>3232</v>
      </c>
      <c r="H4501" t="str">
        <f>"9499"</f>
        <v>9499</v>
      </c>
      <c r="I4501" t="s">
        <v>31</v>
      </c>
    </row>
    <row r="4502" spans="1:11" x14ac:dyDescent="0.3">
      <c r="A4502" t="str">
        <f>"65761545"</f>
        <v>65761545</v>
      </c>
      <c r="B4502" t="s">
        <v>8699</v>
      </c>
      <c r="C4502" t="str">
        <f t="shared" si="317"/>
        <v>706</v>
      </c>
      <c r="D4502" t="s">
        <v>28</v>
      </c>
      <c r="E4502" t="s">
        <v>83</v>
      </c>
      <c r="F4502" t="s">
        <v>183</v>
      </c>
      <c r="G4502" t="s">
        <v>8700</v>
      </c>
      <c r="H4502" t="str">
        <f>"931"</f>
        <v>931</v>
      </c>
      <c r="I4502" t="s">
        <v>26</v>
      </c>
    </row>
    <row r="4503" spans="1:11" x14ac:dyDescent="0.3">
      <c r="A4503" t="str">
        <f>"26635798"</f>
        <v>26635798</v>
      </c>
      <c r="B4503" t="s">
        <v>8701</v>
      </c>
      <c r="C4503" t="str">
        <f t="shared" si="317"/>
        <v>706</v>
      </c>
      <c r="D4503" t="s">
        <v>28</v>
      </c>
      <c r="E4503" t="s">
        <v>83</v>
      </c>
      <c r="F4503" t="s">
        <v>3465</v>
      </c>
      <c r="G4503" t="s">
        <v>8702</v>
      </c>
      <c r="H4503" t="str">
        <f>"9499"</f>
        <v>9499</v>
      </c>
      <c r="I4503" t="s">
        <v>31</v>
      </c>
    </row>
    <row r="4504" spans="1:11" x14ac:dyDescent="0.3">
      <c r="A4504" t="str">
        <f>"19335270"</f>
        <v>19335270</v>
      </c>
      <c r="B4504" t="s">
        <v>8703</v>
      </c>
      <c r="C4504" t="str">
        <f t="shared" si="317"/>
        <v>706</v>
      </c>
      <c r="D4504" t="s">
        <v>28</v>
      </c>
      <c r="E4504" t="s">
        <v>29</v>
      </c>
      <c r="F4504" t="s">
        <v>195</v>
      </c>
      <c r="G4504" t="s">
        <v>8704</v>
      </c>
      <c r="H4504" t="str">
        <f>"72200"</f>
        <v>72200</v>
      </c>
      <c r="I4504" t="s">
        <v>4211</v>
      </c>
      <c r="J4504" t="s">
        <v>146</v>
      </c>
      <c r="K4504" t="s">
        <v>31</v>
      </c>
    </row>
    <row r="4505" spans="1:11" x14ac:dyDescent="0.3">
      <c r="A4505" t="str">
        <f>"08950776"</f>
        <v>08950776</v>
      </c>
      <c r="B4505" t="s">
        <v>8705</v>
      </c>
      <c r="C4505" t="str">
        <f t="shared" si="317"/>
        <v>706</v>
      </c>
      <c r="D4505" t="s">
        <v>28</v>
      </c>
      <c r="E4505" t="s">
        <v>23</v>
      </c>
      <c r="F4505" t="s">
        <v>23</v>
      </c>
      <c r="G4505" t="s">
        <v>8706</v>
      </c>
      <c r="H4505" t="str">
        <f t="shared" ref="H4505:H4514" si="318">"9499"</f>
        <v>9499</v>
      </c>
      <c r="I4505" t="s">
        <v>31</v>
      </c>
    </row>
    <row r="4506" spans="1:11" x14ac:dyDescent="0.3">
      <c r="A4506" t="str">
        <f>"48773581"</f>
        <v>48773581</v>
      </c>
      <c r="B4506" t="s">
        <v>8707</v>
      </c>
      <c r="C4506" t="str">
        <f t="shared" si="317"/>
        <v>706</v>
      </c>
      <c r="D4506" t="s">
        <v>28</v>
      </c>
      <c r="E4506" t="s">
        <v>29</v>
      </c>
      <c r="F4506" t="s">
        <v>29</v>
      </c>
      <c r="G4506" t="s">
        <v>1303</v>
      </c>
      <c r="H4506" t="str">
        <f t="shared" si="318"/>
        <v>9499</v>
      </c>
      <c r="I4506" t="s">
        <v>31</v>
      </c>
    </row>
    <row r="4507" spans="1:11" x14ac:dyDescent="0.3">
      <c r="A4507" t="str">
        <f>"75118629"</f>
        <v>75118629</v>
      </c>
      <c r="B4507" t="s">
        <v>8708</v>
      </c>
      <c r="C4507" t="str">
        <f t="shared" si="317"/>
        <v>706</v>
      </c>
      <c r="D4507" t="s">
        <v>28</v>
      </c>
      <c r="E4507" t="s">
        <v>52</v>
      </c>
      <c r="F4507" t="s">
        <v>73</v>
      </c>
      <c r="G4507" t="s">
        <v>4109</v>
      </c>
      <c r="H4507" t="str">
        <f t="shared" si="318"/>
        <v>9499</v>
      </c>
      <c r="I4507" t="s">
        <v>31</v>
      </c>
    </row>
    <row r="4508" spans="1:11" x14ac:dyDescent="0.3">
      <c r="A4508" t="str">
        <f>"64467082"</f>
        <v>64467082</v>
      </c>
      <c r="B4508" t="s">
        <v>8709</v>
      </c>
      <c r="C4508" t="str">
        <f t="shared" si="317"/>
        <v>706</v>
      </c>
      <c r="D4508" t="s">
        <v>28</v>
      </c>
      <c r="E4508" t="s">
        <v>23</v>
      </c>
      <c r="F4508" t="s">
        <v>245</v>
      </c>
      <c r="G4508" t="s">
        <v>8710</v>
      </c>
      <c r="H4508" t="str">
        <f t="shared" si="318"/>
        <v>9499</v>
      </c>
      <c r="I4508" t="s">
        <v>31</v>
      </c>
    </row>
    <row r="4509" spans="1:11" x14ac:dyDescent="0.3">
      <c r="A4509" t="str">
        <f>"46956883"</f>
        <v>46956883</v>
      </c>
      <c r="B4509" t="s">
        <v>8711</v>
      </c>
      <c r="C4509" t="str">
        <f t="shared" si="317"/>
        <v>706</v>
      </c>
      <c r="D4509" t="s">
        <v>28</v>
      </c>
      <c r="E4509" t="s">
        <v>52</v>
      </c>
      <c r="F4509" t="s">
        <v>94</v>
      </c>
      <c r="G4509" t="s">
        <v>8712</v>
      </c>
      <c r="H4509" t="str">
        <f t="shared" si="318"/>
        <v>9499</v>
      </c>
      <c r="I4509" t="s">
        <v>31</v>
      </c>
    </row>
    <row r="4510" spans="1:11" x14ac:dyDescent="0.3">
      <c r="A4510" t="str">
        <f>"07515561"</f>
        <v>07515561</v>
      </c>
      <c r="B4510" t="s">
        <v>8713</v>
      </c>
      <c r="C4510" t="str">
        <f t="shared" si="317"/>
        <v>706</v>
      </c>
      <c r="D4510" t="s">
        <v>28</v>
      </c>
      <c r="E4510" t="s">
        <v>23</v>
      </c>
      <c r="F4510" t="s">
        <v>303</v>
      </c>
      <c r="G4510" t="s">
        <v>8714</v>
      </c>
      <c r="H4510" t="str">
        <f t="shared" si="318"/>
        <v>9499</v>
      </c>
      <c r="I4510" t="s">
        <v>31</v>
      </c>
    </row>
    <row r="4511" spans="1:11" x14ac:dyDescent="0.3">
      <c r="A4511" t="str">
        <f>"49157736"</f>
        <v>49157736</v>
      </c>
      <c r="B4511" t="s">
        <v>8715</v>
      </c>
      <c r="C4511" t="str">
        <f t="shared" si="317"/>
        <v>706</v>
      </c>
      <c r="D4511" t="s">
        <v>28</v>
      </c>
      <c r="E4511" t="s">
        <v>23</v>
      </c>
      <c r="F4511" t="s">
        <v>23</v>
      </c>
      <c r="G4511" t="s">
        <v>8716</v>
      </c>
      <c r="H4511" t="str">
        <f t="shared" si="318"/>
        <v>9499</v>
      </c>
      <c r="I4511" t="s">
        <v>31</v>
      </c>
    </row>
    <row r="4512" spans="1:11" x14ac:dyDescent="0.3">
      <c r="A4512" t="str">
        <f>"48473995"</f>
        <v>48473995</v>
      </c>
      <c r="B4512" t="s">
        <v>8717</v>
      </c>
      <c r="C4512" t="str">
        <f t="shared" si="317"/>
        <v>706</v>
      </c>
      <c r="D4512" t="s">
        <v>28</v>
      </c>
      <c r="E4512" t="s">
        <v>23</v>
      </c>
      <c r="F4512" t="s">
        <v>3449</v>
      </c>
      <c r="G4512" t="s">
        <v>8718</v>
      </c>
      <c r="H4512" t="str">
        <f t="shared" si="318"/>
        <v>9499</v>
      </c>
      <c r="I4512" t="s">
        <v>31</v>
      </c>
      <c r="J4512" t="s">
        <v>8719</v>
      </c>
    </row>
    <row r="4513" spans="1:9" x14ac:dyDescent="0.3">
      <c r="A4513" t="str">
        <f>"61716286"</f>
        <v>61716286</v>
      </c>
      <c r="B4513" t="s">
        <v>8720</v>
      </c>
      <c r="C4513" t="str">
        <f t="shared" si="317"/>
        <v>706</v>
      </c>
      <c r="D4513" t="s">
        <v>28</v>
      </c>
      <c r="E4513" t="s">
        <v>23</v>
      </c>
      <c r="F4513" t="s">
        <v>975</v>
      </c>
      <c r="G4513" t="s">
        <v>8721</v>
      </c>
      <c r="H4513" t="str">
        <f t="shared" si="318"/>
        <v>9499</v>
      </c>
      <c r="I4513" t="s">
        <v>31</v>
      </c>
    </row>
    <row r="4514" spans="1:9" x14ac:dyDescent="0.3">
      <c r="A4514" t="str">
        <f>"48472255"</f>
        <v>48472255</v>
      </c>
      <c r="B4514" t="s">
        <v>8722</v>
      </c>
      <c r="C4514" t="str">
        <f t="shared" si="317"/>
        <v>706</v>
      </c>
      <c r="D4514" t="s">
        <v>28</v>
      </c>
      <c r="E4514" t="s">
        <v>23</v>
      </c>
      <c r="F4514" t="s">
        <v>975</v>
      </c>
      <c r="G4514" t="s">
        <v>8723</v>
      </c>
      <c r="H4514" t="str">
        <f t="shared" si="318"/>
        <v>9499</v>
      </c>
      <c r="I4514" t="s">
        <v>31</v>
      </c>
    </row>
    <row r="4515" spans="1:9" x14ac:dyDescent="0.3">
      <c r="A4515" t="str">
        <f>"60371480"</f>
        <v>60371480</v>
      </c>
      <c r="B4515" t="s">
        <v>8724</v>
      </c>
      <c r="C4515" t="str">
        <f t="shared" si="317"/>
        <v>706</v>
      </c>
      <c r="D4515" t="s">
        <v>28</v>
      </c>
      <c r="E4515" t="s">
        <v>52</v>
      </c>
      <c r="F4515" t="s">
        <v>2795</v>
      </c>
      <c r="G4515" t="s">
        <v>2796</v>
      </c>
      <c r="H4515" t="str">
        <f>"02"</f>
        <v>02</v>
      </c>
      <c r="I4515" t="s">
        <v>2267</v>
      </c>
    </row>
    <row r="4516" spans="1:9" x14ac:dyDescent="0.3">
      <c r="A4516" t="str">
        <f>"21540152"</f>
        <v>21540152</v>
      </c>
      <c r="B4516" t="s">
        <v>8725</v>
      </c>
      <c r="C4516" t="str">
        <f t="shared" si="317"/>
        <v>706</v>
      </c>
      <c r="D4516" t="s">
        <v>28</v>
      </c>
      <c r="E4516" t="s">
        <v>23</v>
      </c>
      <c r="F4516" t="s">
        <v>8274</v>
      </c>
      <c r="G4516" t="s">
        <v>8726</v>
      </c>
      <c r="H4516" t="str">
        <f t="shared" ref="H4516:H4521" si="319">"9499"</f>
        <v>9499</v>
      </c>
      <c r="I4516" t="s">
        <v>31</v>
      </c>
    </row>
    <row r="4517" spans="1:9" x14ac:dyDescent="0.3">
      <c r="A4517" t="str">
        <f>"01460480"</f>
        <v>01460480</v>
      </c>
      <c r="B4517" t="s">
        <v>8727</v>
      </c>
      <c r="C4517" t="str">
        <f t="shared" si="317"/>
        <v>706</v>
      </c>
      <c r="D4517" t="s">
        <v>28</v>
      </c>
      <c r="E4517" t="s">
        <v>23</v>
      </c>
      <c r="F4517" t="s">
        <v>966</v>
      </c>
      <c r="G4517" t="s">
        <v>8728</v>
      </c>
      <c r="H4517" t="str">
        <f t="shared" si="319"/>
        <v>9499</v>
      </c>
      <c r="I4517" t="s">
        <v>31</v>
      </c>
    </row>
    <row r="4518" spans="1:9" x14ac:dyDescent="0.3">
      <c r="A4518" t="str">
        <f>"04242131"</f>
        <v>04242131</v>
      </c>
      <c r="B4518" t="s">
        <v>8729</v>
      </c>
      <c r="C4518" t="str">
        <f t="shared" si="317"/>
        <v>706</v>
      </c>
      <c r="D4518" t="s">
        <v>28</v>
      </c>
      <c r="E4518" t="s">
        <v>23</v>
      </c>
      <c r="F4518" t="s">
        <v>4569</v>
      </c>
      <c r="G4518" t="s">
        <v>4570</v>
      </c>
      <c r="H4518" t="str">
        <f t="shared" si="319"/>
        <v>9499</v>
      </c>
      <c r="I4518" t="s">
        <v>31</v>
      </c>
    </row>
    <row r="4519" spans="1:9" x14ac:dyDescent="0.3">
      <c r="A4519" t="str">
        <f>"22891137"</f>
        <v>22891137</v>
      </c>
      <c r="B4519" t="s">
        <v>8730</v>
      </c>
      <c r="C4519" t="str">
        <f t="shared" si="317"/>
        <v>706</v>
      </c>
      <c r="D4519" t="s">
        <v>28</v>
      </c>
      <c r="E4519" t="s">
        <v>23</v>
      </c>
      <c r="F4519" t="s">
        <v>3995</v>
      </c>
      <c r="G4519" t="s">
        <v>3996</v>
      </c>
      <c r="H4519" t="str">
        <f t="shared" si="319"/>
        <v>9499</v>
      </c>
      <c r="I4519" t="s">
        <v>31</v>
      </c>
    </row>
    <row r="4520" spans="1:9" x14ac:dyDescent="0.3">
      <c r="A4520" t="str">
        <f>"21745137"</f>
        <v>21745137</v>
      </c>
      <c r="B4520" t="s">
        <v>8731</v>
      </c>
      <c r="C4520" t="str">
        <f t="shared" si="317"/>
        <v>706</v>
      </c>
      <c r="D4520" t="s">
        <v>28</v>
      </c>
      <c r="E4520" t="s">
        <v>23</v>
      </c>
      <c r="F4520" t="s">
        <v>5635</v>
      </c>
      <c r="G4520" t="s">
        <v>8732</v>
      </c>
      <c r="H4520" t="str">
        <f t="shared" si="319"/>
        <v>9499</v>
      </c>
      <c r="I4520" t="s">
        <v>31</v>
      </c>
    </row>
    <row r="4521" spans="1:9" x14ac:dyDescent="0.3">
      <c r="A4521" t="str">
        <f>"60369957"</f>
        <v>60369957</v>
      </c>
      <c r="B4521" t="s">
        <v>8733</v>
      </c>
      <c r="C4521" t="str">
        <f t="shared" si="317"/>
        <v>706</v>
      </c>
      <c r="D4521" t="s">
        <v>28</v>
      </c>
      <c r="E4521" t="s">
        <v>52</v>
      </c>
      <c r="F4521" t="s">
        <v>1625</v>
      </c>
      <c r="G4521" t="s">
        <v>8734</v>
      </c>
      <c r="H4521" t="str">
        <f t="shared" si="319"/>
        <v>9499</v>
      </c>
      <c r="I4521" t="s">
        <v>31</v>
      </c>
    </row>
    <row r="4522" spans="1:9" x14ac:dyDescent="0.3">
      <c r="A4522" t="str">
        <f>"48505862"</f>
        <v>48505862</v>
      </c>
      <c r="B4522" t="s">
        <v>8735</v>
      </c>
      <c r="C4522" t="str">
        <f t="shared" si="317"/>
        <v>706</v>
      </c>
      <c r="D4522" t="s">
        <v>28</v>
      </c>
      <c r="E4522" t="s">
        <v>52</v>
      </c>
      <c r="F4522" t="s">
        <v>1679</v>
      </c>
      <c r="G4522" t="s">
        <v>1870</v>
      </c>
      <c r="H4522" t="str">
        <f>"02400"</f>
        <v>02400</v>
      </c>
      <c r="I4522" t="s">
        <v>4428</v>
      </c>
    </row>
    <row r="4523" spans="1:9" x14ac:dyDescent="0.3">
      <c r="A4523" t="str">
        <f>"46277382"</f>
        <v>46277382</v>
      </c>
      <c r="B4523" t="s">
        <v>8736</v>
      </c>
      <c r="C4523" t="str">
        <f t="shared" si="317"/>
        <v>706</v>
      </c>
      <c r="D4523" t="s">
        <v>28</v>
      </c>
      <c r="E4523" t="s">
        <v>23</v>
      </c>
      <c r="F4523" t="s">
        <v>87</v>
      </c>
      <c r="G4523" t="s">
        <v>8625</v>
      </c>
      <c r="H4523" t="str">
        <f>"9499"</f>
        <v>9499</v>
      </c>
      <c r="I4523" t="s">
        <v>31</v>
      </c>
    </row>
    <row r="4524" spans="1:9" x14ac:dyDescent="0.3">
      <c r="A4524" t="str">
        <f>"69722544"</f>
        <v>69722544</v>
      </c>
      <c r="B4524" t="s">
        <v>8737</v>
      </c>
      <c r="C4524" t="str">
        <f t="shared" si="317"/>
        <v>706</v>
      </c>
      <c r="D4524" t="s">
        <v>28</v>
      </c>
      <c r="E4524" t="s">
        <v>52</v>
      </c>
      <c r="F4524" t="s">
        <v>3423</v>
      </c>
      <c r="G4524" t="s">
        <v>5709</v>
      </c>
      <c r="H4524" t="str">
        <f>"94"</f>
        <v>94</v>
      </c>
      <c r="I4524" t="s">
        <v>1016</v>
      </c>
    </row>
    <row r="4525" spans="1:9" x14ac:dyDescent="0.3">
      <c r="A4525" t="str">
        <f>"60370203"</f>
        <v>60370203</v>
      </c>
      <c r="B4525" t="s">
        <v>8738</v>
      </c>
      <c r="C4525" t="str">
        <f t="shared" si="317"/>
        <v>706</v>
      </c>
      <c r="D4525" t="s">
        <v>28</v>
      </c>
      <c r="E4525" t="s">
        <v>52</v>
      </c>
      <c r="F4525" t="s">
        <v>2736</v>
      </c>
      <c r="G4525" t="s">
        <v>8739</v>
      </c>
      <c r="H4525" t="str">
        <f t="shared" ref="H4525:H4531" si="320">"9499"</f>
        <v>9499</v>
      </c>
      <c r="I4525" t="s">
        <v>31</v>
      </c>
    </row>
    <row r="4526" spans="1:9" x14ac:dyDescent="0.3">
      <c r="A4526" t="str">
        <f>"48472328"</f>
        <v>48472328</v>
      </c>
      <c r="B4526" t="s">
        <v>8740</v>
      </c>
      <c r="C4526" t="str">
        <f t="shared" si="317"/>
        <v>706</v>
      </c>
      <c r="D4526" t="s">
        <v>28</v>
      </c>
      <c r="E4526" t="s">
        <v>23</v>
      </c>
      <c r="F4526" t="s">
        <v>99</v>
      </c>
      <c r="G4526" t="s">
        <v>8741</v>
      </c>
      <c r="H4526" t="str">
        <f t="shared" si="320"/>
        <v>9499</v>
      </c>
      <c r="I4526" t="s">
        <v>31</v>
      </c>
    </row>
    <row r="4527" spans="1:9" x14ac:dyDescent="0.3">
      <c r="A4527" t="str">
        <f>"46956531"</f>
        <v>46956531</v>
      </c>
      <c r="B4527" t="s">
        <v>8742</v>
      </c>
      <c r="C4527" t="str">
        <f t="shared" si="317"/>
        <v>706</v>
      </c>
      <c r="D4527" t="s">
        <v>28</v>
      </c>
      <c r="E4527" t="s">
        <v>52</v>
      </c>
      <c r="F4527" t="s">
        <v>1440</v>
      </c>
      <c r="G4527" t="s">
        <v>8743</v>
      </c>
      <c r="H4527" t="str">
        <f t="shared" si="320"/>
        <v>9499</v>
      </c>
      <c r="I4527" t="s">
        <v>31</v>
      </c>
    </row>
    <row r="4528" spans="1:9" x14ac:dyDescent="0.3">
      <c r="A4528" t="str">
        <f>"64467058"</f>
        <v>64467058</v>
      </c>
      <c r="B4528" t="s">
        <v>8744</v>
      </c>
      <c r="C4528" t="str">
        <f t="shared" si="317"/>
        <v>706</v>
      </c>
      <c r="D4528" t="s">
        <v>28</v>
      </c>
      <c r="E4528" t="s">
        <v>23</v>
      </c>
      <c r="F4528" t="s">
        <v>245</v>
      </c>
      <c r="G4528" t="s">
        <v>8745</v>
      </c>
      <c r="H4528" t="str">
        <f t="shared" si="320"/>
        <v>9499</v>
      </c>
      <c r="I4528" t="s">
        <v>31</v>
      </c>
    </row>
    <row r="4529" spans="1:9" x14ac:dyDescent="0.3">
      <c r="A4529" t="str">
        <f>"26996677"</f>
        <v>26996677</v>
      </c>
      <c r="B4529" t="s">
        <v>8746</v>
      </c>
      <c r="C4529" t="str">
        <f t="shared" si="317"/>
        <v>706</v>
      </c>
      <c r="D4529" t="s">
        <v>28</v>
      </c>
      <c r="E4529" t="s">
        <v>29</v>
      </c>
      <c r="F4529" t="s">
        <v>670</v>
      </c>
      <c r="G4529" t="s">
        <v>2577</v>
      </c>
      <c r="H4529" t="str">
        <f t="shared" si="320"/>
        <v>9499</v>
      </c>
      <c r="I4529" t="s">
        <v>31</v>
      </c>
    </row>
    <row r="4530" spans="1:9" x14ac:dyDescent="0.3">
      <c r="A4530" t="str">
        <f>"48472883"</f>
        <v>48472883</v>
      </c>
      <c r="B4530" t="s">
        <v>8747</v>
      </c>
      <c r="C4530" t="str">
        <f t="shared" si="317"/>
        <v>706</v>
      </c>
      <c r="D4530" t="s">
        <v>28</v>
      </c>
      <c r="E4530" t="s">
        <v>23</v>
      </c>
      <c r="F4530" t="s">
        <v>99</v>
      </c>
      <c r="G4530" t="s">
        <v>8748</v>
      </c>
      <c r="H4530" t="str">
        <f t="shared" si="320"/>
        <v>9499</v>
      </c>
      <c r="I4530" t="s">
        <v>31</v>
      </c>
    </row>
    <row r="4531" spans="1:9" x14ac:dyDescent="0.3">
      <c r="A4531" t="str">
        <f>"26643421"</f>
        <v>26643421</v>
      </c>
      <c r="B4531" t="s">
        <v>8749</v>
      </c>
      <c r="C4531" t="str">
        <f t="shared" si="317"/>
        <v>706</v>
      </c>
      <c r="D4531" t="s">
        <v>28</v>
      </c>
      <c r="E4531" t="s">
        <v>52</v>
      </c>
      <c r="F4531" t="s">
        <v>4748</v>
      </c>
      <c r="G4531" t="s">
        <v>8750</v>
      </c>
      <c r="H4531" t="str">
        <f t="shared" si="320"/>
        <v>9499</v>
      </c>
      <c r="I4531" t="s">
        <v>31</v>
      </c>
    </row>
    <row r="4532" spans="1:9" x14ac:dyDescent="0.3">
      <c r="A4532" t="str">
        <f>"62180461"</f>
        <v>62180461</v>
      </c>
      <c r="B4532" t="s">
        <v>8751</v>
      </c>
      <c r="C4532" t="str">
        <f t="shared" si="317"/>
        <v>706</v>
      </c>
      <c r="D4532" t="s">
        <v>28</v>
      </c>
      <c r="E4532" t="s">
        <v>23</v>
      </c>
      <c r="F4532" t="s">
        <v>2318</v>
      </c>
      <c r="G4532" t="s">
        <v>3407</v>
      </c>
      <c r="H4532" t="str">
        <f>"02"</f>
        <v>02</v>
      </c>
      <c r="I4532" t="s">
        <v>2267</v>
      </c>
    </row>
    <row r="4533" spans="1:9" x14ac:dyDescent="0.3">
      <c r="A4533" t="str">
        <f>"48472077"</f>
        <v>48472077</v>
      </c>
      <c r="B4533" t="s">
        <v>8752</v>
      </c>
      <c r="C4533" t="str">
        <f t="shared" si="317"/>
        <v>706</v>
      </c>
      <c r="D4533" t="s">
        <v>28</v>
      </c>
      <c r="E4533" t="s">
        <v>23</v>
      </c>
      <c r="F4533" t="s">
        <v>99</v>
      </c>
      <c r="G4533" t="s">
        <v>8753</v>
      </c>
      <c r="H4533" t="str">
        <f>"9499"</f>
        <v>9499</v>
      </c>
      <c r="I4533" t="s">
        <v>31</v>
      </c>
    </row>
    <row r="4534" spans="1:9" x14ac:dyDescent="0.3">
      <c r="A4534" t="str">
        <f>"46256555"</f>
        <v>46256555</v>
      </c>
      <c r="B4534" t="s">
        <v>8754</v>
      </c>
      <c r="C4534" t="str">
        <f t="shared" si="317"/>
        <v>706</v>
      </c>
      <c r="D4534" t="s">
        <v>28</v>
      </c>
      <c r="E4534" t="s">
        <v>52</v>
      </c>
      <c r="F4534" t="s">
        <v>517</v>
      </c>
      <c r="G4534" t="s">
        <v>5477</v>
      </c>
      <c r="H4534" t="str">
        <f>"9499"</f>
        <v>9499</v>
      </c>
      <c r="I4534" t="s">
        <v>31</v>
      </c>
    </row>
    <row r="4535" spans="1:9" x14ac:dyDescent="0.3">
      <c r="A4535" t="str">
        <f>"48505951"</f>
        <v>48505951</v>
      </c>
      <c r="B4535" t="s">
        <v>8755</v>
      </c>
      <c r="C4535" t="str">
        <f t="shared" si="317"/>
        <v>706</v>
      </c>
      <c r="D4535" t="s">
        <v>28</v>
      </c>
      <c r="E4535" t="s">
        <v>52</v>
      </c>
      <c r="F4535" t="s">
        <v>1955</v>
      </c>
      <c r="G4535" t="s">
        <v>8756</v>
      </c>
      <c r="H4535" t="str">
        <f>"9499"</f>
        <v>9499</v>
      </c>
      <c r="I4535" t="s">
        <v>31</v>
      </c>
    </row>
    <row r="4536" spans="1:9" x14ac:dyDescent="0.3">
      <c r="A4536" t="str">
        <f>"48471534"</f>
        <v>48471534</v>
      </c>
      <c r="B4536" t="s">
        <v>8757</v>
      </c>
      <c r="C4536" t="str">
        <f t="shared" si="317"/>
        <v>706</v>
      </c>
      <c r="D4536" t="s">
        <v>28</v>
      </c>
      <c r="E4536" t="s">
        <v>23</v>
      </c>
      <c r="F4536" t="s">
        <v>99</v>
      </c>
      <c r="G4536" t="s">
        <v>8758</v>
      </c>
      <c r="H4536" t="str">
        <f>"9499"</f>
        <v>9499</v>
      </c>
      <c r="I4536" t="s">
        <v>31</v>
      </c>
    </row>
    <row r="4537" spans="1:9" x14ac:dyDescent="0.3">
      <c r="A4537" t="str">
        <f>"62181874"</f>
        <v>62181874</v>
      </c>
      <c r="B4537" t="s">
        <v>8759</v>
      </c>
      <c r="C4537" t="str">
        <f t="shared" si="317"/>
        <v>706</v>
      </c>
      <c r="D4537" t="s">
        <v>28</v>
      </c>
      <c r="E4537" t="s">
        <v>23</v>
      </c>
      <c r="F4537" t="s">
        <v>107</v>
      </c>
      <c r="G4537" t="s">
        <v>8760</v>
      </c>
      <c r="H4537" t="str">
        <f>"02"</f>
        <v>02</v>
      </c>
      <c r="I4537" t="s">
        <v>2267</v>
      </c>
    </row>
    <row r="4538" spans="1:9" x14ac:dyDescent="0.3">
      <c r="A4538" t="str">
        <f>"22905103"</f>
        <v>22905103</v>
      </c>
      <c r="B4538" t="s">
        <v>8761</v>
      </c>
      <c r="C4538" t="str">
        <f t="shared" si="317"/>
        <v>706</v>
      </c>
      <c r="D4538" t="s">
        <v>28</v>
      </c>
      <c r="E4538" t="s">
        <v>29</v>
      </c>
      <c r="F4538" t="s">
        <v>778</v>
      </c>
      <c r="G4538" t="s">
        <v>8762</v>
      </c>
      <c r="H4538" t="str">
        <f>"9499"</f>
        <v>9499</v>
      </c>
      <c r="I4538" t="s">
        <v>31</v>
      </c>
    </row>
    <row r="4539" spans="1:9" x14ac:dyDescent="0.3">
      <c r="A4539" t="str">
        <f>"05728801"</f>
        <v>05728801</v>
      </c>
      <c r="B4539" t="s">
        <v>8763</v>
      </c>
      <c r="C4539" t="str">
        <f t="shared" si="317"/>
        <v>706</v>
      </c>
      <c r="D4539" t="s">
        <v>28</v>
      </c>
      <c r="E4539" t="s">
        <v>23</v>
      </c>
      <c r="F4539" t="s">
        <v>1254</v>
      </c>
      <c r="G4539" t="s">
        <v>1593</v>
      </c>
      <c r="H4539" t="str">
        <f>"9499"</f>
        <v>9499</v>
      </c>
      <c r="I4539" t="s">
        <v>31</v>
      </c>
    </row>
    <row r="4540" spans="1:9" x14ac:dyDescent="0.3">
      <c r="A4540" t="str">
        <f>"48491403"</f>
        <v>48491403</v>
      </c>
      <c r="B4540" t="s">
        <v>8764</v>
      </c>
      <c r="C4540" t="str">
        <f t="shared" si="317"/>
        <v>706</v>
      </c>
      <c r="D4540" t="s">
        <v>28</v>
      </c>
      <c r="E4540" t="s">
        <v>52</v>
      </c>
      <c r="F4540" t="s">
        <v>645</v>
      </c>
      <c r="G4540" t="s">
        <v>8765</v>
      </c>
      <c r="H4540" t="str">
        <f>"9499"</f>
        <v>9499</v>
      </c>
      <c r="I4540" t="s">
        <v>31</v>
      </c>
    </row>
    <row r="4541" spans="1:9" x14ac:dyDescent="0.3">
      <c r="A4541" t="str">
        <f>"22674233"</f>
        <v>22674233</v>
      </c>
      <c r="B4541" t="s">
        <v>8766</v>
      </c>
      <c r="C4541" t="str">
        <f t="shared" si="317"/>
        <v>706</v>
      </c>
      <c r="D4541" t="s">
        <v>28</v>
      </c>
      <c r="E4541" t="s">
        <v>23</v>
      </c>
      <c r="F4541" t="s">
        <v>107</v>
      </c>
      <c r="G4541" t="s">
        <v>8767</v>
      </c>
      <c r="H4541" t="str">
        <f>"93110"</f>
        <v>93110</v>
      </c>
      <c r="I4541" t="s">
        <v>92</v>
      </c>
    </row>
    <row r="4542" spans="1:9" x14ac:dyDescent="0.3">
      <c r="A4542" t="str">
        <f>"26990083"</f>
        <v>26990083</v>
      </c>
      <c r="B4542" t="s">
        <v>8768</v>
      </c>
      <c r="C4542" t="str">
        <f t="shared" si="317"/>
        <v>706</v>
      </c>
      <c r="D4542" t="s">
        <v>28</v>
      </c>
      <c r="E4542" t="s">
        <v>83</v>
      </c>
      <c r="F4542" t="s">
        <v>3361</v>
      </c>
      <c r="G4542" t="s">
        <v>8769</v>
      </c>
      <c r="H4542" t="str">
        <f>"93110"</f>
        <v>93110</v>
      </c>
      <c r="I4542" t="s">
        <v>92</v>
      </c>
    </row>
    <row r="4543" spans="1:9" x14ac:dyDescent="0.3">
      <c r="A4543" t="str">
        <f>"18559808"</f>
        <v>18559808</v>
      </c>
      <c r="B4543" t="s">
        <v>8770</v>
      </c>
      <c r="C4543" t="str">
        <f t="shared" si="317"/>
        <v>706</v>
      </c>
      <c r="D4543" t="s">
        <v>28</v>
      </c>
      <c r="E4543" t="s">
        <v>23</v>
      </c>
      <c r="F4543" t="s">
        <v>24</v>
      </c>
      <c r="G4543" t="s">
        <v>1721</v>
      </c>
      <c r="H4543" t="str">
        <f>"93110"</f>
        <v>93110</v>
      </c>
      <c r="I4543" t="s">
        <v>92</v>
      </c>
    </row>
    <row r="4544" spans="1:9" x14ac:dyDescent="0.3">
      <c r="A4544" t="str">
        <f>"86771051"</f>
        <v>86771051</v>
      </c>
      <c r="B4544" t="s">
        <v>8771</v>
      </c>
      <c r="C4544" t="str">
        <f t="shared" si="317"/>
        <v>706</v>
      </c>
      <c r="D4544" t="s">
        <v>28</v>
      </c>
      <c r="E4544" t="s">
        <v>23</v>
      </c>
      <c r="F4544" t="s">
        <v>23</v>
      </c>
      <c r="G4544" t="s">
        <v>8772</v>
      </c>
      <c r="H4544" t="str">
        <f>"931"</f>
        <v>931</v>
      </c>
      <c r="I4544" t="s">
        <v>26</v>
      </c>
    </row>
    <row r="4545" spans="1:9" x14ac:dyDescent="0.3">
      <c r="A4545" t="str">
        <f>"22674535"</f>
        <v>22674535</v>
      </c>
      <c r="B4545" t="s">
        <v>8773</v>
      </c>
      <c r="C4545" t="str">
        <f t="shared" si="317"/>
        <v>706</v>
      </c>
      <c r="D4545" t="s">
        <v>28</v>
      </c>
      <c r="E4545" t="s">
        <v>29</v>
      </c>
      <c r="F4545" t="s">
        <v>29</v>
      </c>
      <c r="G4545" t="s">
        <v>8774</v>
      </c>
      <c r="H4545" t="str">
        <f>"93110"</f>
        <v>93110</v>
      </c>
      <c r="I4545" t="s">
        <v>92</v>
      </c>
    </row>
    <row r="4546" spans="1:9" x14ac:dyDescent="0.3">
      <c r="A4546" t="str">
        <f>"22769285"</f>
        <v>22769285</v>
      </c>
      <c r="B4546" t="s">
        <v>8775</v>
      </c>
      <c r="C4546" t="str">
        <f t="shared" si="317"/>
        <v>706</v>
      </c>
      <c r="D4546" t="s">
        <v>28</v>
      </c>
      <c r="E4546" t="s">
        <v>23</v>
      </c>
      <c r="F4546" t="s">
        <v>24</v>
      </c>
      <c r="G4546" t="s">
        <v>8776</v>
      </c>
      <c r="H4546" t="str">
        <f>"9499"</f>
        <v>9499</v>
      </c>
      <c r="I4546" t="s">
        <v>31</v>
      </c>
    </row>
    <row r="4547" spans="1:9" x14ac:dyDescent="0.3">
      <c r="A4547" t="str">
        <f>"65891074"</f>
        <v>65891074</v>
      </c>
      <c r="B4547" t="s">
        <v>8777</v>
      </c>
      <c r="C4547" t="str">
        <f t="shared" si="317"/>
        <v>706</v>
      </c>
      <c r="D4547" t="s">
        <v>28</v>
      </c>
      <c r="E4547" t="s">
        <v>29</v>
      </c>
      <c r="F4547" t="s">
        <v>29</v>
      </c>
      <c r="G4547" t="s">
        <v>8778</v>
      </c>
      <c r="H4547" t="str">
        <f>"931"</f>
        <v>931</v>
      </c>
      <c r="I4547" t="s">
        <v>26</v>
      </c>
    </row>
    <row r="4548" spans="1:9" x14ac:dyDescent="0.3">
      <c r="A4548" t="str">
        <f>"27005216"</f>
        <v>27005216</v>
      </c>
      <c r="B4548" t="s">
        <v>8779</v>
      </c>
      <c r="C4548" t="str">
        <f t="shared" si="317"/>
        <v>706</v>
      </c>
      <c r="D4548" t="s">
        <v>28</v>
      </c>
      <c r="E4548" t="s">
        <v>23</v>
      </c>
      <c r="F4548" t="s">
        <v>957</v>
      </c>
      <c r="G4548" t="s">
        <v>8780</v>
      </c>
      <c r="H4548" t="str">
        <f>"93110"</f>
        <v>93110</v>
      </c>
      <c r="I4548" t="s">
        <v>92</v>
      </c>
    </row>
    <row r="4549" spans="1:9" x14ac:dyDescent="0.3">
      <c r="A4549" t="str">
        <f>"61704148"</f>
        <v>61704148</v>
      </c>
      <c r="B4549" t="s">
        <v>8781</v>
      </c>
      <c r="C4549" t="str">
        <f t="shared" si="317"/>
        <v>706</v>
      </c>
      <c r="D4549" t="s">
        <v>28</v>
      </c>
      <c r="E4549" t="s">
        <v>52</v>
      </c>
      <c r="F4549" t="s">
        <v>488</v>
      </c>
      <c r="G4549" t="s">
        <v>1768</v>
      </c>
      <c r="H4549" t="str">
        <f>"93110"</f>
        <v>93110</v>
      </c>
      <c r="I4549" t="s">
        <v>92</v>
      </c>
    </row>
    <row r="4550" spans="1:9" x14ac:dyDescent="0.3">
      <c r="A4550" t="str">
        <f>"48491993"</f>
        <v>48491993</v>
      </c>
      <c r="B4550" t="s">
        <v>8782</v>
      </c>
      <c r="C4550" t="str">
        <f t="shared" si="317"/>
        <v>706</v>
      </c>
      <c r="D4550" t="s">
        <v>28</v>
      </c>
      <c r="E4550" t="s">
        <v>52</v>
      </c>
      <c r="F4550" t="s">
        <v>631</v>
      </c>
      <c r="G4550" t="s">
        <v>8783</v>
      </c>
      <c r="H4550" t="str">
        <f>"93110"</f>
        <v>93110</v>
      </c>
      <c r="I4550" t="s">
        <v>92</v>
      </c>
    </row>
    <row r="4551" spans="1:9" x14ac:dyDescent="0.3">
      <c r="A4551" t="str">
        <f>"27027643"</f>
        <v>27027643</v>
      </c>
      <c r="B4551" t="s">
        <v>8784</v>
      </c>
      <c r="C4551" t="str">
        <f t="shared" si="317"/>
        <v>706</v>
      </c>
      <c r="D4551" t="s">
        <v>28</v>
      </c>
      <c r="E4551" t="s">
        <v>52</v>
      </c>
      <c r="F4551" t="s">
        <v>1773</v>
      </c>
      <c r="G4551" t="s">
        <v>8785</v>
      </c>
      <c r="H4551" t="str">
        <f>"93110"</f>
        <v>93110</v>
      </c>
      <c r="I4551" t="s">
        <v>92</v>
      </c>
    </row>
    <row r="4552" spans="1:9" x14ac:dyDescent="0.3">
      <c r="A4552" t="str">
        <f>"65842227"</f>
        <v>65842227</v>
      </c>
      <c r="B4552" t="s">
        <v>8786</v>
      </c>
      <c r="C4552" t="str">
        <f t="shared" si="317"/>
        <v>706</v>
      </c>
      <c r="D4552" t="s">
        <v>28</v>
      </c>
      <c r="E4552" t="s">
        <v>23</v>
      </c>
      <c r="F4552" t="s">
        <v>713</v>
      </c>
      <c r="G4552" t="s">
        <v>8787</v>
      </c>
      <c r="H4552" t="str">
        <f>"93110"</f>
        <v>93110</v>
      </c>
      <c r="I4552" t="s">
        <v>92</v>
      </c>
    </row>
    <row r="4553" spans="1:9" x14ac:dyDescent="0.3">
      <c r="A4553" t="str">
        <f>"22742611"</f>
        <v>22742611</v>
      </c>
      <c r="B4553" t="s">
        <v>8788</v>
      </c>
      <c r="C4553" t="str">
        <f t="shared" si="317"/>
        <v>706</v>
      </c>
      <c r="D4553" t="s">
        <v>28</v>
      </c>
      <c r="E4553" t="s">
        <v>52</v>
      </c>
      <c r="F4553" t="s">
        <v>379</v>
      </c>
      <c r="G4553" t="s">
        <v>8789</v>
      </c>
      <c r="H4553" t="str">
        <f>"93120"</f>
        <v>93120</v>
      </c>
      <c r="I4553" t="s">
        <v>54</v>
      </c>
    </row>
    <row r="4554" spans="1:9" x14ac:dyDescent="0.3">
      <c r="A4554" t="str">
        <f>"27017125"</f>
        <v>27017125</v>
      </c>
      <c r="B4554" t="s">
        <v>8790</v>
      </c>
      <c r="C4554" t="str">
        <f t="shared" si="317"/>
        <v>706</v>
      </c>
      <c r="D4554" t="s">
        <v>28</v>
      </c>
      <c r="E4554" t="s">
        <v>52</v>
      </c>
      <c r="F4554" t="s">
        <v>52</v>
      </c>
      <c r="G4554" t="s">
        <v>8791</v>
      </c>
      <c r="H4554" t="str">
        <f>"93110"</f>
        <v>93110</v>
      </c>
      <c r="I4554" t="s">
        <v>92</v>
      </c>
    </row>
    <row r="4555" spans="1:9" x14ac:dyDescent="0.3">
      <c r="A4555" t="str">
        <f>"70855161"</f>
        <v>70855161</v>
      </c>
      <c r="B4555" t="s">
        <v>8792</v>
      </c>
      <c r="C4555" t="str">
        <f t="shared" si="317"/>
        <v>706</v>
      </c>
      <c r="D4555" t="s">
        <v>28</v>
      </c>
      <c r="E4555" t="s">
        <v>83</v>
      </c>
      <c r="F4555" t="s">
        <v>537</v>
      </c>
      <c r="G4555" t="s">
        <v>8793</v>
      </c>
      <c r="H4555" t="str">
        <f>"931"</f>
        <v>931</v>
      </c>
      <c r="I4555" t="s">
        <v>26</v>
      </c>
    </row>
    <row r="4556" spans="1:9" x14ac:dyDescent="0.3">
      <c r="A4556" t="str">
        <f>"18810730"</f>
        <v>18810730</v>
      </c>
      <c r="B4556" t="s">
        <v>8794</v>
      </c>
      <c r="C4556" t="str">
        <f t="shared" si="317"/>
        <v>706</v>
      </c>
      <c r="D4556" t="s">
        <v>28</v>
      </c>
      <c r="E4556" t="s">
        <v>23</v>
      </c>
      <c r="F4556" t="s">
        <v>975</v>
      </c>
      <c r="G4556" t="s">
        <v>8795</v>
      </c>
      <c r="H4556" t="str">
        <f>"93120"</f>
        <v>93120</v>
      </c>
      <c r="I4556" t="s">
        <v>54</v>
      </c>
    </row>
    <row r="4557" spans="1:9" x14ac:dyDescent="0.3">
      <c r="A4557" t="str">
        <f>"26647800"</f>
        <v>26647800</v>
      </c>
      <c r="B4557" t="s">
        <v>8796</v>
      </c>
      <c r="C4557" t="str">
        <f t="shared" si="317"/>
        <v>706</v>
      </c>
      <c r="D4557" t="s">
        <v>28</v>
      </c>
      <c r="E4557" t="s">
        <v>23</v>
      </c>
      <c r="F4557" t="s">
        <v>23</v>
      </c>
      <c r="G4557" t="s">
        <v>8797</v>
      </c>
      <c r="H4557" t="str">
        <f>"93110"</f>
        <v>93110</v>
      </c>
      <c r="I4557" t="s">
        <v>92</v>
      </c>
    </row>
    <row r="4558" spans="1:9" x14ac:dyDescent="0.3">
      <c r="A4558" t="str">
        <f>"70233586"</f>
        <v>70233586</v>
      </c>
      <c r="B4558" t="s">
        <v>8798</v>
      </c>
      <c r="C4558" t="str">
        <f t="shared" si="317"/>
        <v>706</v>
      </c>
      <c r="D4558" t="s">
        <v>28</v>
      </c>
      <c r="E4558" t="s">
        <v>29</v>
      </c>
      <c r="F4558" t="s">
        <v>3480</v>
      </c>
      <c r="G4558" t="s">
        <v>8799</v>
      </c>
      <c r="H4558" t="str">
        <f>"931"</f>
        <v>931</v>
      </c>
      <c r="I4558" t="s">
        <v>26</v>
      </c>
    </row>
    <row r="4559" spans="1:9" x14ac:dyDescent="0.3">
      <c r="A4559" t="str">
        <f>"22878831"</f>
        <v>22878831</v>
      </c>
      <c r="B4559" t="s">
        <v>8800</v>
      </c>
      <c r="C4559" t="str">
        <f t="shared" si="317"/>
        <v>706</v>
      </c>
      <c r="D4559" t="s">
        <v>28</v>
      </c>
      <c r="E4559" t="s">
        <v>83</v>
      </c>
      <c r="F4559" t="s">
        <v>537</v>
      </c>
      <c r="G4559" t="s">
        <v>8801</v>
      </c>
      <c r="H4559" t="str">
        <f>"93120"</f>
        <v>93120</v>
      </c>
      <c r="I4559" t="s">
        <v>54</v>
      </c>
    </row>
    <row r="4560" spans="1:9" x14ac:dyDescent="0.3">
      <c r="A4560" t="str">
        <f>"63458683"</f>
        <v>63458683</v>
      </c>
      <c r="B4560" t="s">
        <v>8802</v>
      </c>
      <c r="C4560" t="str">
        <f t="shared" si="317"/>
        <v>706</v>
      </c>
      <c r="D4560" t="s">
        <v>28</v>
      </c>
      <c r="E4560" t="s">
        <v>83</v>
      </c>
      <c r="F4560" t="s">
        <v>480</v>
      </c>
      <c r="G4560" t="s">
        <v>8803</v>
      </c>
      <c r="H4560" t="str">
        <f>"9499"</f>
        <v>9499</v>
      </c>
      <c r="I4560" t="s">
        <v>31</v>
      </c>
    </row>
    <row r="4561" spans="1:9" x14ac:dyDescent="0.3">
      <c r="A4561" t="str">
        <f>"18189172"</f>
        <v>18189172</v>
      </c>
      <c r="B4561" t="s">
        <v>8804</v>
      </c>
      <c r="C4561" t="str">
        <f t="shared" si="317"/>
        <v>706</v>
      </c>
      <c r="D4561" t="s">
        <v>28</v>
      </c>
      <c r="E4561" t="s">
        <v>83</v>
      </c>
      <c r="F4561" t="s">
        <v>83</v>
      </c>
      <c r="G4561" t="s">
        <v>4238</v>
      </c>
      <c r="H4561" t="str">
        <f>"931"</f>
        <v>931</v>
      </c>
      <c r="I4561" t="s">
        <v>26</v>
      </c>
    </row>
    <row r="4562" spans="1:9" x14ac:dyDescent="0.3">
      <c r="A4562" t="str">
        <f>"26538121"</f>
        <v>26538121</v>
      </c>
      <c r="B4562" t="s">
        <v>8805</v>
      </c>
      <c r="C4562" t="str">
        <f t="shared" ref="C4562:C4576" si="321">"706"</f>
        <v>706</v>
      </c>
      <c r="D4562" t="s">
        <v>28</v>
      </c>
      <c r="E4562" t="s">
        <v>83</v>
      </c>
      <c r="F4562" t="s">
        <v>183</v>
      </c>
      <c r="G4562" t="s">
        <v>8806</v>
      </c>
      <c r="H4562" t="str">
        <f>"9499"</f>
        <v>9499</v>
      </c>
      <c r="I4562" t="s">
        <v>31</v>
      </c>
    </row>
    <row r="4563" spans="1:9" x14ac:dyDescent="0.3">
      <c r="A4563" t="str">
        <f>"46307346"</f>
        <v>46307346</v>
      </c>
      <c r="B4563" t="s">
        <v>8807</v>
      </c>
      <c r="C4563" t="str">
        <f t="shared" si="321"/>
        <v>706</v>
      </c>
      <c r="D4563" t="s">
        <v>28</v>
      </c>
      <c r="E4563" t="s">
        <v>23</v>
      </c>
      <c r="F4563" t="s">
        <v>1953</v>
      </c>
      <c r="G4563" t="s">
        <v>8808</v>
      </c>
      <c r="H4563" t="str">
        <f>"9499"</f>
        <v>9499</v>
      </c>
      <c r="I4563" t="s">
        <v>31</v>
      </c>
    </row>
    <row r="4564" spans="1:9" x14ac:dyDescent="0.3">
      <c r="A4564" t="str">
        <f>"21282145"</f>
        <v>21282145</v>
      </c>
      <c r="B4564" t="s">
        <v>8809</v>
      </c>
      <c r="C4564" t="str">
        <f t="shared" si="321"/>
        <v>706</v>
      </c>
      <c r="D4564" t="s">
        <v>28</v>
      </c>
      <c r="E4564" t="s">
        <v>23</v>
      </c>
      <c r="F4564" t="s">
        <v>744</v>
      </c>
      <c r="G4564" t="s">
        <v>5373</v>
      </c>
      <c r="H4564" t="str">
        <f>"93120"</f>
        <v>93120</v>
      </c>
      <c r="I4564" t="s">
        <v>54</v>
      </c>
    </row>
    <row r="4565" spans="1:9" x14ac:dyDescent="0.3">
      <c r="A4565" t="str">
        <f>"68898525"</f>
        <v>68898525</v>
      </c>
      <c r="B4565" t="s">
        <v>8810</v>
      </c>
      <c r="C4565" t="str">
        <f t="shared" si="321"/>
        <v>706</v>
      </c>
      <c r="D4565" t="s">
        <v>28</v>
      </c>
      <c r="E4565" t="s">
        <v>29</v>
      </c>
      <c r="F4565" t="s">
        <v>195</v>
      </c>
      <c r="G4565" t="s">
        <v>8811</v>
      </c>
      <c r="H4565" t="str">
        <f>"931"</f>
        <v>931</v>
      </c>
      <c r="I4565" t="s">
        <v>26</v>
      </c>
    </row>
    <row r="4566" spans="1:9" x14ac:dyDescent="0.3">
      <c r="A4566" t="str">
        <f>"48473782"</f>
        <v>48473782</v>
      </c>
      <c r="B4566" t="s">
        <v>8812</v>
      </c>
      <c r="C4566" t="str">
        <f t="shared" si="321"/>
        <v>706</v>
      </c>
      <c r="D4566" t="s">
        <v>28</v>
      </c>
      <c r="E4566" t="s">
        <v>23</v>
      </c>
      <c r="F4566" t="s">
        <v>1657</v>
      </c>
      <c r="G4566" t="s">
        <v>8813</v>
      </c>
      <c r="H4566" t="str">
        <f>"931"</f>
        <v>931</v>
      </c>
      <c r="I4566" t="s">
        <v>26</v>
      </c>
    </row>
    <row r="4567" spans="1:9" x14ac:dyDescent="0.3">
      <c r="A4567" t="str">
        <f>"06332901"</f>
        <v>06332901</v>
      </c>
      <c r="B4567" t="s">
        <v>8814</v>
      </c>
      <c r="C4567" t="str">
        <f t="shared" si="321"/>
        <v>706</v>
      </c>
      <c r="D4567" t="s">
        <v>28</v>
      </c>
      <c r="E4567" t="s">
        <v>23</v>
      </c>
      <c r="F4567" t="s">
        <v>23</v>
      </c>
      <c r="G4567" t="s">
        <v>3867</v>
      </c>
      <c r="H4567" t="str">
        <f>"93120"</f>
        <v>93120</v>
      </c>
      <c r="I4567" t="s">
        <v>54</v>
      </c>
    </row>
    <row r="4568" spans="1:9" x14ac:dyDescent="0.3">
      <c r="A4568" t="str">
        <f>"61704199"</f>
        <v>61704199</v>
      </c>
      <c r="B4568" t="s">
        <v>8815</v>
      </c>
      <c r="C4568" t="str">
        <f t="shared" si="321"/>
        <v>706</v>
      </c>
      <c r="D4568" t="s">
        <v>28</v>
      </c>
      <c r="E4568" t="s">
        <v>52</v>
      </c>
      <c r="F4568" t="s">
        <v>1229</v>
      </c>
      <c r="G4568" t="s">
        <v>8816</v>
      </c>
      <c r="H4568" t="str">
        <f>"93110"</f>
        <v>93110</v>
      </c>
      <c r="I4568" t="s">
        <v>92</v>
      </c>
    </row>
    <row r="4569" spans="1:9" x14ac:dyDescent="0.3">
      <c r="A4569" t="str">
        <f>"22745041"</f>
        <v>22745041</v>
      </c>
      <c r="B4569" t="s">
        <v>8817</v>
      </c>
      <c r="C4569" t="str">
        <f t="shared" si="321"/>
        <v>706</v>
      </c>
      <c r="D4569" t="s">
        <v>28</v>
      </c>
      <c r="E4569" t="s">
        <v>29</v>
      </c>
      <c r="F4569" t="s">
        <v>29</v>
      </c>
      <c r="G4569" t="s">
        <v>7185</v>
      </c>
      <c r="H4569" t="str">
        <f>"93120"</f>
        <v>93120</v>
      </c>
      <c r="I4569" t="s">
        <v>54</v>
      </c>
    </row>
    <row r="4570" spans="1:9" x14ac:dyDescent="0.3">
      <c r="A4570" t="str">
        <f>"67008569"</f>
        <v>67008569</v>
      </c>
      <c r="B4570" t="s">
        <v>8818</v>
      </c>
      <c r="C4570" t="str">
        <f t="shared" si="321"/>
        <v>706</v>
      </c>
      <c r="D4570" t="s">
        <v>28</v>
      </c>
      <c r="E4570" t="s">
        <v>23</v>
      </c>
      <c r="F4570" t="s">
        <v>1555</v>
      </c>
      <c r="G4570" t="s">
        <v>8819</v>
      </c>
      <c r="H4570" t="str">
        <f>"931"</f>
        <v>931</v>
      </c>
      <c r="I4570" t="s">
        <v>26</v>
      </c>
    </row>
    <row r="4571" spans="1:9" x14ac:dyDescent="0.3">
      <c r="A4571" t="str">
        <f>"07650779"</f>
        <v>07650779</v>
      </c>
      <c r="B4571" t="s">
        <v>8820</v>
      </c>
      <c r="C4571" t="str">
        <f t="shared" si="321"/>
        <v>706</v>
      </c>
      <c r="D4571" t="s">
        <v>28</v>
      </c>
      <c r="E4571" t="s">
        <v>23</v>
      </c>
      <c r="F4571" t="s">
        <v>23</v>
      </c>
      <c r="G4571" t="s">
        <v>3770</v>
      </c>
      <c r="H4571" t="str">
        <f>"9499"</f>
        <v>9499</v>
      </c>
      <c r="I4571" t="s">
        <v>31</v>
      </c>
    </row>
    <row r="4572" spans="1:9" x14ac:dyDescent="0.3">
      <c r="A4572" t="str">
        <f>"02299631"</f>
        <v>02299631</v>
      </c>
      <c r="B4572" t="s">
        <v>8821</v>
      </c>
      <c r="C4572" t="str">
        <f t="shared" si="321"/>
        <v>706</v>
      </c>
      <c r="D4572" t="s">
        <v>28</v>
      </c>
      <c r="E4572" t="s">
        <v>29</v>
      </c>
      <c r="F4572" t="s">
        <v>195</v>
      </c>
      <c r="G4572" t="s">
        <v>8822</v>
      </c>
      <c r="H4572" t="str">
        <f>"93120"</f>
        <v>93120</v>
      </c>
      <c r="I4572" t="s">
        <v>54</v>
      </c>
    </row>
    <row r="4573" spans="1:9" x14ac:dyDescent="0.3">
      <c r="A4573" t="str">
        <f>"64438261"</f>
        <v>64438261</v>
      </c>
      <c r="B4573" t="s">
        <v>8823</v>
      </c>
      <c r="C4573" t="str">
        <f t="shared" si="321"/>
        <v>706</v>
      </c>
      <c r="D4573" t="s">
        <v>28</v>
      </c>
      <c r="E4573" t="s">
        <v>83</v>
      </c>
      <c r="F4573" t="s">
        <v>8210</v>
      </c>
      <c r="G4573" t="s">
        <v>8824</v>
      </c>
      <c r="H4573" t="str">
        <f>"93120"</f>
        <v>93120</v>
      </c>
      <c r="I4573" t="s">
        <v>54</v>
      </c>
    </row>
    <row r="4574" spans="1:9" x14ac:dyDescent="0.3">
      <c r="A4574" t="str">
        <f>"22888276"</f>
        <v>22888276</v>
      </c>
      <c r="B4574" t="s">
        <v>8825</v>
      </c>
      <c r="C4574" t="str">
        <f t="shared" si="321"/>
        <v>706</v>
      </c>
      <c r="D4574" t="s">
        <v>28</v>
      </c>
      <c r="E4574" t="s">
        <v>23</v>
      </c>
      <c r="F4574" t="s">
        <v>23</v>
      </c>
      <c r="G4574" t="s">
        <v>6792</v>
      </c>
      <c r="H4574" t="str">
        <f>"93120"</f>
        <v>93120</v>
      </c>
      <c r="I4574" t="s">
        <v>54</v>
      </c>
    </row>
    <row r="4575" spans="1:9" x14ac:dyDescent="0.3">
      <c r="A4575" t="str">
        <f>"23207043"</f>
        <v>23207043</v>
      </c>
      <c r="B4575" t="s">
        <v>8826</v>
      </c>
      <c r="C4575" t="str">
        <f t="shared" si="321"/>
        <v>706</v>
      </c>
      <c r="D4575" t="s">
        <v>28</v>
      </c>
      <c r="E4575" t="s">
        <v>83</v>
      </c>
      <c r="F4575" t="s">
        <v>4274</v>
      </c>
      <c r="G4575" t="s">
        <v>8827</v>
      </c>
      <c r="H4575" t="str">
        <f>"93120"</f>
        <v>93120</v>
      </c>
      <c r="I4575" t="s">
        <v>54</v>
      </c>
    </row>
    <row r="4576" spans="1:9" x14ac:dyDescent="0.3">
      <c r="A4576" t="str">
        <f>"22668381"</f>
        <v>22668381</v>
      </c>
      <c r="B4576" t="s">
        <v>8828</v>
      </c>
      <c r="C4576" t="str">
        <f t="shared" si="321"/>
        <v>706</v>
      </c>
      <c r="D4576" t="s">
        <v>28</v>
      </c>
      <c r="E4576" t="s">
        <v>52</v>
      </c>
      <c r="F4576" t="s">
        <v>52</v>
      </c>
      <c r="G4576" t="s">
        <v>8829</v>
      </c>
      <c r="H4576" t="str">
        <f>"93120"</f>
        <v>93120</v>
      </c>
      <c r="I4576" t="s">
        <v>54</v>
      </c>
    </row>
    <row r="4577" spans="1:10" x14ac:dyDescent="0.3">
      <c r="A4577" t="str">
        <f>"71179275"</f>
        <v>71179275</v>
      </c>
      <c r="B4577" t="s">
        <v>8830</v>
      </c>
      <c r="C4577" t="str">
        <f>"736"</f>
        <v>736</v>
      </c>
      <c r="D4577" t="s">
        <v>22</v>
      </c>
      <c r="E4577" t="s">
        <v>83</v>
      </c>
      <c r="F4577" t="s">
        <v>409</v>
      </c>
      <c r="G4577" t="s">
        <v>8831</v>
      </c>
      <c r="H4577" t="str">
        <f>"931"</f>
        <v>931</v>
      </c>
      <c r="I4577" t="s">
        <v>26</v>
      </c>
    </row>
    <row r="4578" spans="1:10" x14ac:dyDescent="0.3">
      <c r="A4578" t="str">
        <f>"47934123"</f>
        <v>47934123</v>
      </c>
      <c r="B4578" t="s">
        <v>8832</v>
      </c>
      <c r="C4578" t="str">
        <f t="shared" ref="C4578:C4596" si="322">"706"</f>
        <v>706</v>
      </c>
      <c r="D4578" t="s">
        <v>28</v>
      </c>
      <c r="E4578" t="s">
        <v>83</v>
      </c>
      <c r="F4578" t="s">
        <v>4471</v>
      </c>
      <c r="G4578" t="s">
        <v>8833</v>
      </c>
      <c r="H4578" t="str">
        <f>"93120"</f>
        <v>93120</v>
      </c>
      <c r="I4578" t="s">
        <v>54</v>
      </c>
    </row>
    <row r="4579" spans="1:10" x14ac:dyDescent="0.3">
      <c r="A4579" t="str">
        <f>"02058740"</f>
        <v>02058740</v>
      </c>
      <c r="B4579" t="s">
        <v>8834</v>
      </c>
      <c r="C4579" t="str">
        <f t="shared" si="322"/>
        <v>706</v>
      </c>
      <c r="D4579" t="s">
        <v>28</v>
      </c>
      <c r="E4579" t="s">
        <v>23</v>
      </c>
      <c r="F4579" t="s">
        <v>23</v>
      </c>
      <c r="G4579" t="s">
        <v>8835</v>
      </c>
      <c r="H4579" t="str">
        <f>"9499"</f>
        <v>9499</v>
      </c>
      <c r="I4579" t="s">
        <v>31</v>
      </c>
    </row>
    <row r="4580" spans="1:10" x14ac:dyDescent="0.3">
      <c r="A4580" t="str">
        <f>"68898690"</f>
        <v>68898690</v>
      </c>
      <c r="B4580" t="s">
        <v>8836</v>
      </c>
      <c r="C4580" t="str">
        <f t="shared" si="322"/>
        <v>706</v>
      </c>
      <c r="D4580" t="s">
        <v>28</v>
      </c>
      <c r="E4580" t="s">
        <v>29</v>
      </c>
      <c r="F4580" t="s">
        <v>702</v>
      </c>
      <c r="G4580" t="s">
        <v>8837</v>
      </c>
      <c r="H4580" t="str">
        <f>"931"</f>
        <v>931</v>
      </c>
      <c r="I4580" t="s">
        <v>26</v>
      </c>
    </row>
    <row r="4581" spans="1:10" x14ac:dyDescent="0.3">
      <c r="A4581" t="str">
        <f>"44125941"</f>
        <v>44125941</v>
      </c>
      <c r="B4581" t="s">
        <v>8838</v>
      </c>
      <c r="C4581" t="str">
        <f t="shared" si="322"/>
        <v>706</v>
      </c>
      <c r="D4581" t="s">
        <v>28</v>
      </c>
      <c r="E4581" t="s">
        <v>23</v>
      </c>
      <c r="F4581" t="s">
        <v>306</v>
      </c>
      <c r="G4581" t="s">
        <v>5505</v>
      </c>
      <c r="H4581" t="str">
        <f>"9499"</f>
        <v>9499</v>
      </c>
      <c r="I4581" t="s">
        <v>31</v>
      </c>
    </row>
    <row r="4582" spans="1:10" x14ac:dyDescent="0.3">
      <c r="A4582" t="str">
        <f>"44005369"</f>
        <v>44005369</v>
      </c>
      <c r="B4582" t="s">
        <v>8839</v>
      </c>
      <c r="C4582" t="str">
        <f t="shared" si="322"/>
        <v>706</v>
      </c>
      <c r="D4582" t="s">
        <v>28</v>
      </c>
      <c r="E4582" t="s">
        <v>23</v>
      </c>
      <c r="F4582" t="s">
        <v>23</v>
      </c>
      <c r="G4582" t="s">
        <v>8840</v>
      </c>
      <c r="H4582" t="str">
        <f>"93110"</f>
        <v>93110</v>
      </c>
      <c r="I4582" t="s">
        <v>92</v>
      </c>
    </row>
    <row r="4583" spans="1:10" x14ac:dyDescent="0.3">
      <c r="A4583" t="str">
        <f>"26617366"</f>
        <v>26617366</v>
      </c>
      <c r="B4583" t="s">
        <v>8841</v>
      </c>
      <c r="C4583" t="str">
        <f t="shared" si="322"/>
        <v>706</v>
      </c>
      <c r="D4583" t="s">
        <v>28</v>
      </c>
      <c r="E4583" t="s">
        <v>52</v>
      </c>
      <c r="F4583" t="s">
        <v>144</v>
      </c>
      <c r="G4583" t="s">
        <v>8329</v>
      </c>
      <c r="H4583" t="str">
        <f>"93110"</f>
        <v>93110</v>
      </c>
      <c r="I4583" t="s">
        <v>92</v>
      </c>
    </row>
    <row r="4584" spans="1:10" x14ac:dyDescent="0.3">
      <c r="A4584" t="str">
        <f>"68731281"</f>
        <v>68731281</v>
      </c>
      <c r="B4584" t="s">
        <v>8842</v>
      </c>
      <c r="C4584" t="str">
        <f t="shared" si="322"/>
        <v>706</v>
      </c>
      <c r="D4584" t="s">
        <v>28</v>
      </c>
      <c r="E4584" t="s">
        <v>23</v>
      </c>
      <c r="F4584" t="s">
        <v>190</v>
      </c>
      <c r="G4584" t="s">
        <v>8843</v>
      </c>
      <c r="H4584" t="str">
        <f>"93110"</f>
        <v>93110</v>
      </c>
      <c r="I4584" t="s">
        <v>92</v>
      </c>
    </row>
    <row r="4585" spans="1:10" x14ac:dyDescent="0.3">
      <c r="A4585" t="str">
        <f>"61704431"</f>
        <v>61704431</v>
      </c>
      <c r="B4585" t="s">
        <v>8844</v>
      </c>
      <c r="C4585" t="str">
        <f t="shared" si="322"/>
        <v>706</v>
      </c>
      <c r="D4585" t="s">
        <v>28</v>
      </c>
      <c r="E4585" t="s">
        <v>52</v>
      </c>
      <c r="F4585" t="s">
        <v>52</v>
      </c>
      <c r="G4585" t="s">
        <v>8845</v>
      </c>
      <c r="H4585" t="str">
        <f>"93110"</f>
        <v>93110</v>
      </c>
      <c r="I4585" t="s">
        <v>92</v>
      </c>
    </row>
    <row r="4586" spans="1:10" x14ac:dyDescent="0.3">
      <c r="A4586" t="str">
        <f>"62180789"</f>
        <v>62180789</v>
      </c>
      <c r="B4586" t="s">
        <v>8846</v>
      </c>
      <c r="C4586" t="str">
        <f t="shared" si="322"/>
        <v>706</v>
      </c>
      <c r="D4586" t="s">
        <v>28</v>
      </c>
      <c r="E4586" t="s">
        <v>23</v>
      </c>
      <c r="F4586" t="s">
        <v>23</v>
      </c>
      <c r="G4586" t="s">
        <v>8847</v>
      </c>
      <c r="H4586" t="str">
        <f>"93120"</f>
        <v>93120</v>
      </c>
      <c r="I4586" t="s">
        <v>54</v>
      </c>
    </row>
    <row r="4587" spans="1:10" x14ac:dyDescent="0.3">
      <c r="A4587" t="str">
        <f>"26632411"</f>
        <v>26632411</v>
      </c>
      <c r="B4587" t="s">
        <v>8848</v>
      </c>
      <c r="C4587" t="str">
        <f t="shared" si="322"/>
        <v>706</v>
      </c>
      <c r="D4587" t="s">
        <v>28</v>
      </c>
      <c r="E4587" t="s">
        <v>52</v>
      </c>
      <c r="F4587" t="s">
        <v>234</v>
      </c>
      <c r="G4587" t="s">
        <v>8849</v>
      </c>
      <c r="H4587" t="str">
        <f>"93110"</f>
        <v>93110</v>
      </c>
      <c r="I4587" t="s">
        <v>92</v>
      </c>
    </row>
    <row r="4588" spans="1:10" x14ac:dyDescent="0.3">
      <c r="A4588" t="str">
        <f>"15549739"</f>
        <v>15549739</v>
      </c>
      <c r="B4588" t="s">
        <v>8850</v>
      </c>
      <c r="C4588" t="str">
        <f t="shared" si="322"/>
        <v>706</v>
      </c>
      <c r="D4588" t="s">
        <v>28</v>
      </c>
      <c r="E4588" t="s">
        <v>29</v>
      </c>
      <c r="F4588" t="s">
        <v>1266</v>
      </c>
      <c r="G4588" t="s">
        <v>8851</v>
      </c>
      <c r="H4588" t="str">
        <f>"931"</f>
        <v>931</v>
      </c>
      <c r="I4588" t="s">
        <v>26</v>
      </c>
      <c r="J4588" t="s">
        <v>161</v>
      </c>
    </row>
    <row r="4589" spans="1:10" x14ac:dyDescent="0.3">
      <c r="A4589" t="str">
        <f>"18189989"</f>
        <v>18189989</v>
      </c>
      <c r="B4589" t="s">
        <v>8852</v>
      </c>
      <c r="C4589" t="str">
        <f t="shared" si="322"/>
        <v>706</v>
      </c>
      <c r="D4589" t="s">
        <v>28</v>
      </c>
      <c r="E4589" t="s">
        <v>83</v>
      </c>
      <c r="F4589" t="s">
        <v>83</v>
      </c>
      <c r="G4589" t="s">
        <v>8853</v>
      </c>
      <c r="H4589" t="str">
        <f>"93120"</f>
        <v>93120</v>
      </c>
      <c r="I4589" t="s">
        <v>54</v>
      </c>
    </row>
    <row r="4590" spans="1:10" x14ac:dyDescent="0.3">
      <c r="A4590" t="str">
        <f>"18189903"</f>
        <v>18189903</v>
      </c>
      <c r="B4590" t="s">
        <v>8854</v>
      </c>
      <c r="C4590" t="str">
        <f t="shared" si="322"/>
        <v>706</v>
      </c>
      <c r="D4590" t="s">
        <v>28</v>
      </c>
      <c r="E4590" t="s">
        <v>83</v>
      </c>
      <c r="F4590" t="s">
        <v>230</v>
      </c>
      <c r="G4590" t="s">
        <v>8244</v>
      </c>
      <c r="H4590" t="str">
        <f>"93110"</f>
        <v>93110</v>
      </c>
      <c r="I4590" t="s">
        <v>92</v>
      </c>
    </row>
    <row r="4591" spans="1:10" x14ac:dyDescent="0.3">
      <c r="A4591" t="str">
        <f>"62182188"</f>
        <v>62182188</v>
      </c>
      <c r="B4591" t="s">
        <v>8855</v>
      </c>
      <c r="C4591" t="str">
        <f t="shared" si="322"/>
        <v>706</v>
      </c>
      <c r="D4591" t="s">
        <v>28</v>
      </c>
      <c r="E4591" t="s">
        <v>23</v>
      </c>
      <c r="F4591" t="s">
        <v>23</v>
      </c>
      <c r="G4591" t="s">
        <v>8856</v>
      </c>
      <c r="H4591" t="str">
        <f>"931"</f>
        <v>931</v>
      </c>
      <c r="I4591" t="s">
        <v>26</v>
      </c>
    </row>
    <row r="4592" spans="1:10" x14ac:dyDescent="0.3">
      <c r="A4592" t="str">
        <f>"19619464"</f>
        <v>19619464</v>
      </c>
      <c r="B4592" t="s">
        <v>8857</v>
      </c>
      <c r="C4592" t="str">
        <f t="shared" si="322"/>
        <v>706</v>
      </c>
      <c r="D4592" t="s">
        <v>28</v>
      </c>
      <c r="E4592" t="s">
        <v>23</v>
      </c>
      <c r="F4592" t="s">
        <v>2429</v>
      </c>
      <c r="G4592" t="s">
        <v>8858</v>
      </c>
      <c r="H4592" t="str">
        <f>"93110"</f>
        <v>93110</v>
      </c>
      <c r="I4592" t="s">
        <v>92</v>
      </c>
    </row>
    <row r="4593" spans="1:10" x14ac:dyDescent="0.3">
      <c r="A4593" t="str">
        <f>"47934263"</f>
        <v>47934263</v>
      </c>
      <c r="B4593" t="s">
        <v>8859</v>
      </c>
      <c r="C4593" t="str">
        <f t="shared" si="322"/>
        <v>706</v>
      </c>
      <c r="D4593" t="s">
        <v>28</v>
      </c>
      <c r="E4593" t="s">
        <v>83</v>
      </c>
      <c r="F4593" t="s">
        <v>83</v>
      </c>
      <c r="G4593" t="s">
        <v>767</v>
      </c>
      <c r="H4593" t="str">
        <f>"93110"</f>
        <v>93110</v>
      </c>
      <c r="I4593" t="s">
        <v>92</v>
      </c>
    </row>
    <row r="4594" spans="1:10" x14ac:dyDescent="0.3">
      <c r="A4594" t="str">
        <f>"26680297"</f>
        <v>26680297</v>
      </c>
      <c r="B4594" t="s">
        <v>8860</v>
      </c>
      <c r="C4594" t="str">
        <f t="shared" si="322"/>
        <v>706</v>
      </c>
      <c r="D4594" t="s">
        <v>28</v>
      </c>
      <c r="E4594" t="s">
        <v>52</v>
      </c>
      <c r="F4594" t="s">
        <v>113</v>
      </c>
      <c r="G4594" t="s">
        <v>572</v>
      </c>
      <c r="H4594" t="str">
        <f>"93120"</f>
        <v>93120</v>
      </c>
      <c r="I4594" t="s">
        <v>54</v>
      </c>
    </row>
    <row r="4595" spans="1:10" x14ac:dyDescent="0.3">
      <c r="A4595" t="str">
        <f>"05813344"</f>
        <v>05813344</v>
      </c>
      <c r="B4595" t="s">
        <v>8861</v>
      </c>
      <c r="C4595" t="str">
        <f t="shared" si="322"/>
        <v>706</v>
      </c>
      <c r="D4595" t="s">
        <v>28</v>
      </c>
      <c r="E4595" t="s">
        <v>23</v>
      </c>
      <c r="F4595" t="s">
        <v>190</v>
      </c>
      <c r="G4595" t="s">
        <v>8862</v>
      </c>
      <c r="H4595" t="str">
        <f>"93190"</f>
        <v>93190</v>
      </c>
      <c r="I4595" t="s">
        <v>59</v>
      </c>
    </row>
    <row r="4596" spans="1:10" x14ac:dyDescent="0.3">
      <c r="A4596" t="str">
        <f>"48506184"</f>
        <v>48506184</v>
      </c>
      <c r="B4596" t="s">
        <v>8863</v>
      </c>
      <c r="C4596" t="str">
        <f t="shared" si="322"/>
        <v>706</v>
      </c>
      <c r="D4596" t="s">
        <v>28</v>
      </c>
      <c r="E4596" t="s">
        <v>52</v>
      </c>
      <c r="F4596" t="s">
        <v>1676</v>
      </c>
      <c r="G4596" t="s">
        <v>8864</v>
      </c>
      <c r="H4596" t="str">
        <f>"93110"</f>
        <v>93110</v>
      </c>
      <c r="I4596" t="s">
        <v>92</v>
      </c>
    </row>
    <row r="4597" spans="1:10" x14ac:dyDescent="0.3">
      <c r="A4597" t="str">
        <f>"71246886"</f>
        <v>71246886</v>
      </c>
      <c r="B4597" t="s">
        <v>8865</v>
      </c>
      <c r="C4597" t="str">
        <f>"736"</f>
        <v>736</v>
      </c>
      <c r="D4597" t="s">
        <v>22</v>
      </c>
      <c r="E4597" t="s">
        <v>23</v>
      </c>
      <c r="F4597" t="s">
        <v>23</v>
      </c>
      <c r="G4597" t="s">
        <v>3654</v>
      </c>
      <c r="H4597" t="str">
        <f>"94993"</f>
        <v>94993</v>
      </c>
      <c r="I4597" t="s">
        <v>50</v>
      </c>
    </row>
    <row r="4598" spans="1:10" x14ac:dyDescent="0.3">
      <c r="A4598" t="str">
        <f>"03516326"</f>
        <v>03516326</v>
      </c>
      <c r="B4598" t="s">
        <v>8866</v>
      </c>
      <c r="C4598" t="str">
        <f t="shared" ref="C4598:C4610" si="323">"706"</f>
        <v>706</v>
      </c>
      <c r="D4598" t="s">
        <v>28</v>
      </c>
      <c r="E4598" t="s">
        <v>23</v>
      </c>
      <c r="F4598" t="s">
        <v>245</v>
      </c>
      <c r="G4598" t="s">
        <v>8867</v>
      </c>
      <c r="H4598" t="str">
        <f>"93190"</f>
        <v>93190</v>
      </c>
      <c r="I4598" t="s">
        <v>59</v>
      </c>
    </row>
    <row r="4599" spans="1:10" x14ac:dyDescent="0.3">
      <c r="A4599" t="str">
        <f>"22887318"</f>
        <v>22887318</v>
      </c>
      <c r="B4599" t="s">
        <v>8868</v>
      </c>
      <c r="C4599" t="str">
        <f t="shared" si="323"/>
        <v>706</v>
      </c>
      <c r="D4599" t="s">
        <v>28</v>
      </c>
      <c r="E4599" t="s">
        <v>83</v>
      </c>
      <c r="F4599" t="s">
        <v>83</v>
      </c>
      <c r="G4599" t="s">
        <v>8869</v>
      </c>
      <c r="H4599" t="str">
        <f>"93120"</f>
        <v>93120</v>
      </c>
      <c r="I4599" t="s">
        <v>54</v>
      </c>
    </row>
    <row r="4600" spans="1:10" x14ac:dyDescent="0.3">
      <c r="A4600" t="str">
        <f>"18826261"</f>
        <v>18826261</v>
      </c>
      <c r="B4600" t="s">
        <v>8870</v>
      </c>
      <c r="C4600" t="str">
        <f t="shared" si="323"/>
        <v>706</v>
      </c>
      <c r="D4600" t="s">
        <v>28</v>
      </c>
      <c r="E4600" t="s">
        <v>23</v>
      </c>
      <c r="F4600" t="s">
        <v>5600</v>
      </c>
      <c r="G4600" t="s">
        <v>5601</v>
      </c>
      <c r="H4600" t="str">
        <f>"931"</f>
        <v>931</v>
      </c>
      <c r="I4600" t="s">
        <v>26</v>
      </c>
    </row>
    <row r="4601" spans="1:10" x14ac:dyDescent="0.3">
      <c r="A4601" t="str">
        <f>"46307478"</f>
        <v>46307478</v>
      </c>
      <c r="B4601" t="s">
        <v>8871</v>
      </c>
      <c r="C4601" t="str">
        <f t="shared" si="323"/>
        <v>706</v>
      </c>
      <c r="D4601" t="s">
        <v>28</v>
      </c>
      <c r="E4601" t="s">
        <v>23</v>
      </c>
      <c r="F4601" t="s">
        <v>23</v>
      </c>
      <c r="G4601" t="s">
        <v>8872</v>
      </c>
      <c r="H4601" t="str">
        <f>"93190"</f>
        <v>93190</v>
      </c>
      <c r="I4601" t="s">
        <v>59</v>
      </c>
      <c r="J4601" t="s">
        <v>31</v>
      </c>
    </row>
    <row r="4602" spans="1:10" x14ac:dyDescent="0.3">
      <c r="A4602" t="str">
        <f>"64467520"</f>
        <v>64467520</v>
      </c>
      <c r="B4602" t="s">
        <v>8873</v>
      </c>
      <c r="C4602" t="str">
        <f t="shared" si="323"/>
        <v>706</v>
      </c>
      <c r="D4602" t="s">
        <v>28</v>
      </c>
      <c r="E4602" t="s">
        <v>23</v>
      </c>
      <c r="F4602" t="s">
        <v>23</v>
      </c>
      <c r="G4602" t="s">
        <v>6534</v>
      </c>
      <c r="H4602" t="str">
        <f>"931"</f>
        <v>931</v>
      </c>
      <c r="I4602" t="s">
        <v>26</v>
      </c>
    </row>
    <row r="4603" spans="1:10" x14ac:dyDescent="0.3">
      <c r="A4603" t="str">
        <f>"47935006"</f>
        <v>47935006</v>
      </c>
      <c r="B4603" t="s">
        <v>8874</v>
      </c>
      <c r="C4603" t="str">
        <f t="shared" si="323"/>
        <v>706</v>
      </c>
      <c r="D4603" t="s">
        <v>28</v>
      </c>
      <c r="E4603" t="s">
        <v>83</v>
      </c>
      <c r="F4603" t="s">
        <v>84</v>
      </c>
      <c r="G4603" t="s">
        <v>8875</v>
      </c>
      <c r="H4603" t="str">
        <f>"93110"</f>
        <v>93110</v>
      </c>
      <c r="I4603" t="s">
        <v>92</v>
      </c>
    </row>
    <row r="4604" spans="1:10" x14ac:dyDescent="0.3">
      <c r="A4604" t="str">
        <f>"46307451"</f>
        <v>46307451</v>
      </c>
      <c r="B4604" t="s">
        <v>8876</v>
      </c>
      <c r="C4604" t="str">
        <f t="shared" si="323"/>
        <v>706</v>
      </c>
      <c r="D4604" t="s">
        <v>28</v>
      </c>
      <c r="E4604" t="s">
        <v>23</v>
      </c>
      <c r="F4604" t="s">
        <v>5614</v>
      </c>
      <c r="G4604" t="s">
        <v>8877</v>
      </c>
      <c r="H4604" t="str">
        <f>"9499"</f>
        <v>9499</v>
      </c>
      <c r="I4604" t="s">
        <v>31</v>
      </c>
    </row>
    <row r="4605" spans="1:10" x14ac:dyDescent="0.3">
      <c r="A4605" t="str">
        <f>"46277625"</f>
        <v>46277625</v>
      </c>
      <c r="B4605" t="s">
        <v>8878</v>
      </c>
      <c r="C4605" t="str">
        <f t="shared" si="323"/>
        <v>706</v>
      </c>
      <c r="D4605" t="s">
        <v>28</v>
      </c>
      <c r="E4605" t="s">
        <v>23</v>
      </c>
      <c r="F4605" t="s">
        <v>459</v>
      </c>
      <c r="G4605" t="s">
        <v>8879</v>
      </c>
      <c r="H4605" t="str">
        <f>"93110"</f>
        <v>93110</v>
      </c>
      <c r="I4605" t="s">
        <v>92</v>
      </c>
    </row>
    <row r="4606" spans="1:10" x14ac:dyDescent="0.3">
      <c r="A4606" t="str">
        <f>"06240968"</f>
        <v>06240968</v>
      </c>
      <c r="B4606" t="s">
        <v>8880</v>
      </c>
      <c r="C4606" t="str">
        <f t="shared" si="323"/>
        <v>706</v>
      </c>
      <c r="D4606" t="s">
        <v>28</v>
      </c>
      <c r="E4606" t="s">
        <v>83</v>
      </c>
      <c r="F4606" t="s">
        <v>537</v>
      </c>
      <c r="G4606" t="s">
        <v>8881</v>
      </c>
      <c r="H4606" t="str">
        <f>"93110"</f>
        <v>93110</v>
      </c>
      <c r="I4606" t="s">
        <v>92</v>
      </c>
    </row>
    <row r="4607" spans="1:10" x14ac:dyDescent="0.3">
      <c r="A4607" t="str">
        <f>"26982277"</f>
        <v>26982277</v>
      </c>
      <c r="B4607" t="s">
        <v>8882</v>
      </c>
      <c r="C4607" t="str">
        <f t="shared" si="323"/>
        <v>706</v>
      </c>
      <c r="D4607" t="s">
        <v>28</v>
      </c>
      <c r="E4607" t="s">
        <v>23</v>
      </c>
      <c r="F4607" t="s">
        <v>23</v>
      </c>
      <c r="G4607" t="s">
        <v>8883</v>
      </c>
      <c r="H4607" t="str">
        <f>"93110"</f>
        <v>93110</v>
      </c>
      <c r="I4607" t="s">
        <v>92</v>
      </c>
    </row>
    <row r="4608" spans="1:10" x14ac:dyDescent="0.3">
      <c r="A4608" t="str">
        <f>"05709792"</f>
        <v>05709792</v>
      </c>
      <c r="B4608" t="s">
        <v>8884</v>
      </c>
      <c r="C4608" t="str">
        <f t="shared" si="323"/>
        <v>706</v>
      </c>
      <c r="D4608" t="s">
        <v>28</v>
      </c>
      <c r="E4608" t="s">
        <v>83</v>
      </c>
      <c r="F4608" t="s">
        <v>537</v>
      </c>
      <c r="G4608" t="s">
        <v>4340</v>
      </c>
      <c r="H4608" t="str">
        <f>"93190"</f>
        <v>93190</v>
      </c>
      <c r="I4608" t="s">
        <v>59</v>
      </c>
    </row>
    <row r="4609" spans="1:12" x14ac:dyDescent="0.3">
      <c r="A4609" t="str">
        <f>"15545555"</f>
        <v>15545555</v>
      </c>
      <c r="B4609" t="s">
        <v>8885</v>
      </c>
      <c r="C4609" t="str">
        <f t="shared" si="323"/>
        <v>706</v>
      </c>
      <c r="D4609" t="s">
        <v>28</v>
      </c>
      <c r="E4609" t="s">
        <v>23</v>
      </c>
      <c r="F4609" t="s">
        <v>5647</v>
      </c>
      <c r="G4609" t="s">
        <v>5648</v>
      </c>
      <c r="H4609" t="str">
        <f>"931"</f>
        <v>931</v>
      </c>
      <c r="I4609" t="s">
        <v>26</v>
      </c>
    </row>
    <row r="4610" spans="1:12" x14ac:dyDescent="0.3">
      <c r="A4610" t="str">
        <f>"13692321"</f>
        <v>13692321</v>
      </c>
      <c r="B4610" t="s">
        <v>8886</v>
      </c>
      <c r="C4610" t="str">
        <f t="shared" si="323"/>
        <v>706</v>
      </c>
      <c r="D4610" t="s">
        <v>28</v>
      </c>
      <c r="E4610" t="s">
        <v>23</v>
      </c>
      <c r="F4610" t="s">
        <v>695</v>
      </c>
      <c r="G4610" t="s">
        <v>8887</v>
      </c>
      <c r="H4610" t="str">
        <f>"931"</f>
        <v>931</v>
      </c>
      <c r="I4610" t="s">
        <v>26</v>
      </c>
    </row>
    <row r="4611" spans="1:12" x14ac:dyDescent="0.3">
      <c r="A4611" t="str">
        <f>"62182404"</f>
        <v>62182404</v>
      </c>
      <c r="B4611" t="s">
        <v>8888</v>
      </c>
      <c r="C4611" t="str">
        <f>"736"</f>
        <v>736</v>
      </c>
      <c r="D4611" t="s">
        <v>22</v>
      </c>
      <c r="E4611" t="s">
        <v>23</v>
      </c>
      <c r="F4611" t="s">
        <v>24</v>
      </c>
      <c r="G4611" t="s">
        <v>6393</v>
      </c>
      <c r="H4611" t="str">
        <f>"931"</f>
        <v>931</v>
      </c>
      <c r="I4611" t="s">
        <v>26</v>
      </c>
    </row>
    <row r="4612" spans="1:12" x14ac:dyDescent="0.3">
      <c r="A4612" t="str">
        <f>"22671544"</f>
        <v>22671544</v>
      </c>
      <c r="B4612" t="s">
        <v>8889</v>
      </c>
      <c r="C4612" t="str">
        <f t="shared" ref="C4612:C4633" si="324">"706"</f>
        <v>706</v>
      </c>
      <c r="D4612" t="s">
        <v>28</v>
      </c>
      <c r="E4612" t="s">
        <v>52</v>
      </c>
      <c r="F4612" t="s">
        <v>6722</v>
      </c>
      <c r="G4612" t="s">
        <v>8890</v>
      </c>
      <c r="H4612" t="str">
        <f>"93120"</f>
        <v>93120</v>
      </c>
      <c r="I4612" t="s">
        <v>54</v>
      </c>
    </row>
    <row r="4613" spans="1:12" x14ac:dyDescent="0.3">
      <c r="A4613" t="str">
        <f>"46307711"</f>
        <v>46307711</v>
      </c>
      <c r="B4613" t="s">
        <v>8891</v>
      </c>
      <c r="C4613" t="str">
        <f t="shared" si="324"/>
        <v>706</v>
      </c>
      <c r="D4613" t="s">
        <v>28</v>
      </c>
      <c r="E4613" t="s">
        <v>23</v>
      </c>
      <c r="F4613" t="s">
        <v>1917</v>
      </c>
      <c r="G4613" t="s">
        <v>8892</v>
      </c>
      <c r="H4613" t="str">
        <f>"9499"</f>
        <v>9499</v>
      </c>
      <c r="I4613" t="s">
        <v>31</v>
      </c>
    </row>
    <row r="4614" spans="1:12" x14ac:dyDescent="0.3">
      <c r="A4614" t="str">
        <f>"22850309"</f>
        <v>22850309</v>
      </c>
      <c r="B4614" t="s">
        <v>8893</v>
      </c>
      <c r="C4614" t="str">
        <f t="shared" si="324"/>
        <v>706</v>
      </c>
      <c r="D4614" t="s">
        <v>28</v>
      </c>
      <c r="E4614" t="s">
        <v>23</v>
      </c>
      <c r="F4614" t="s">
        <v>23</v>
      </c>
      <c r="G4614" t="s">
        <v>8669</v>
      </c>
      <c r="H4614" t="str">
        <f>"93120"</f>
        <v>93120</v>
      </c>
      <c r="I4614" t="s">
        <v>54</v>
      </c>
    </row>
    <row r="4615" spans="1:12" x14ac:dyDescent="0.3">
      <c r="A4615" t="str">
        <f>"26677466"</f>
        <v>26677466</v>
      </c>
      <c r="B4615" t="s">
        <v>8894</v>
      </c>
      <c r="C4615" t="str">
        <f t="shared" si="324"/>
        <v>706</v>
      </c>
      <c r="D4615" t="s">
        <v>28</v>
      </c>
      <c r="E4615" t="s">
        <v>23</v>
      </c>
      <c r="F4615" t="s">
        <v>68</v>
      </c>
      <c r="G4615" t="s">
        <v>8895</v>
      </c>
      <c r="H4615" t="str">
        <f>"93110"</f>
        <v>93110</v>
      </c>
      <c r="I4615" t="s">
        <v>92</v>
      </c>
    </row>
    <row r="4616" spans="1:12" x14ac:dyDescent="0.3">
      <c r="A4616" t="str">
        <f>"42866162"</f>
        <v>42866162</v>
      </c>
      <c r="B4616" t="s">
        <v>8896</v>
      </c>
      <c r="C4616" t="str">
        <f t="shared" si="324"/>
        <v>706</v>
      </c>
      <c r="D4616" t="s">
        <v>28</v>
      </c>
      <c r="E4616" t="s">
        <v>29</v>
      </c>
      <c r="F4616" t="s">
        <v>29</v>
      </c>
      <c r="G4616" t="s">
        <v>29</v>
      </c>
      <c r="H4616" t="str">
        <f>"9499"</f>
        <v>9499</v>
      </c>
      <c r="I4616" t="s">
        <v>31</v>
      </c>
    </row>
    <row r="4617" spans="1:12" x14ac:dyDescent="0.3">
      <c r="A4617" t="str">
        <f>"48506516"</f>
        <v>48506516</v>
      </c>
      <c r="B4617" t="s">
        <v>8897</v>
      </c>
      <c r="C4617" t="str">
        <f t="shared" si="324"/>
        <v>706</v>
      </c>
      <c r="D4617" t="s">
        <v>28</v>
      </c>
      <c r="E4617" t="s">
        <v>52</v>
      </c>
      <c r="F4617" t="s">
        <v>645</v>
      </c>
      <c r="G4617" t="s">
        <v>8898</v>
      </c>
      <c r="H4617" t="str">
        <f>"93110"</f>
        <v>93110</v>
      </c>
      <c r="I4617" t="s">
        <v>92</v>
      </c>
    </row>
    <row r="4618" spans="1:12" x14ac:dyDescent="0.3">
      <c r="A4618" t="str">
        <f>"27002357"</f>
        <v>27002357</v>
      </c>
      <c r="B4618" t="s">
        <v>8899</v>
      </c>
      <c r="C4618" t="str">
        <f t="shared" si="324"/>
        <v>706</v>
      </c>
      <c r="D4618" t="s">
        <v>28</v>
      </c>
      <c r="E4618" t="s">
        <v>23</v>
      </c>
      <c r="F4618" t="s">
        <v>350</v>
      </c>
      <c r="G4618" t="s">
        <v>8900</v>
      </c>
      <c r="H4618" t="str">
        <f>"93110"</f>
        <v>93110</v>
      </c>
      <c r="I4618" t="s">
        <v>92</v>
      </c>
    </row>
    <row r="4619" spans="1:12" x14ac:dyDescent="0.3">
      <c r="A4619" t="str">
        <f>"44740883"</f>
        <v>44740883</v>
      </c>
      <c r="B4619" t="s">
        <v>8901</v>
      </c>
      <c r="C4619" t="str">
        <f t="shared" si="324"/>
        <v>706</v>
      </c>
      <c r="D4619" t="s">
        <v>28</v>
      </c>
      <c r="E4619" t="s">
        <v>29</v>
      </c>
      <c r="F4619" t="s">
        <v>852</v>
      </c>
      <c r="G4619" t="s">
        <v>8902</v>
      </c>
      <c r="H4619" t="str">
        <f>"931"</f>
        <v>931</v>
      </c>
      <c r="I4619" t="s">
        <v>26</v>
      </c>
      <c r="J4619" t="s">
        <v>155</v>
      </c>
      <c r="K4619" t="s">
        <v>209</v>
      </c>
      <c r="L4619" t="s">
        <v>161</v>
      </c>
    </row>
    <row r="4620" spans="1:12" x14ac:dyDescent="0.3">
      <c r="A4620" t="str">
        <f>"48505544"</f>
        <v>48505544</v>
      </c>
      <c r="B4620" t="s">
        <v>8903</v>
      </c>
      <c r="C4620" t="str">
        <f t="shared" si="324"/>
        <v>706</v>
      </c>
      <c r="D4620" t="s">
        <v>28</v>
      </c>
      <c r="E4620" t="s">
        <v>52</v>
      </c>
      <c r="F4620" t="s">
        <v>2736</v>
      </c>
      <c r="G4620" t="s">
        <v>2825</v>
      </c>
      <c r="H4620" t="str">
        <f>"93110"</f>
        <v>93110</v>
      </c>
      <c r="I4620" t="s">
        <v>92</v>
      </c>
    </row>
    <row r="4621" spans="1:12" x14ac:dyDescent="0.3">
      <c r="A4621" t="str">
        <f>"02647567"</f>
        <v>02647567</v>
      </c>
      <c r="B4621" t="s">
        <v>8904</v>
      </c>
      <c r="C4621" t="str">
        <f t="shared" si="324"/>
        <v>706</v>
      </c>
      <c r="D4621" t="s">
        <v>28</v>
      </c>
      <c r="E4621" t="s">
        <v>23</v>
      </c>
      <c r="F4621" t="s">
        <v>23</v>
      </c>
      <c r="G4621" t="s">
        <v>590</v>
      </c>
      <c r="H4621" t="str">
        <f>"93110"</f>
        <v>93110</v>
      </c>
      <c r="I4621" t="s">
        <v>92</v>
      </c>
    </row>
    <row r="4622" spans="1:12" x14ac:dyDescent="0.3">
      <c r="A4622" t="str">
        <f>"18190146"</f>
        <v>18190146</v>
      </c>
      <c r="B4622" t="s">
        <v>8905</v>
      </c>
      <c r="C4622" t="str">
        <f t="shared" si="324"/>
        <v>706</v>
      </c>
      <c r="D4622" t="s">
        <v>28</v>
      </c>
      <c r="E4622" t="s">
        <v>83</v>
      </c>
      <c r="F4622" t="s">
        <v>991</v>
      </c>
      <c r="G4622" t="s">
        <v>8906</v>
      </c>
      <c r="H4622" t="str">
        <f>"93110"</f>
        <v>93110</v>
      </c>
      <c r="I4622" t="s">
        <v>92</v>
      </c>
    </row>
    <row r="4623" spans="1:12" x14ac:dyDescent="0.3">
      <c r="A4623" t="str">
        <f>"46276424"</f>
        <v>46276424</v>
      </c>
      <c r="B4623" t="s">
        <v>8907</v>
      </c>
      <c r="C4623" t="str">
        <f t="shared" si="324"/>
        <v>706</v>
      </c>
      <c r="D4623" t="s">
        <v>28</v>
      </c>
      <c r="E4623" t="s">
        <v>23</v>
      </c>
      <c r="F4623" t="s">
        <v>793</v>
      </c>
      <c r="G4623" t="s">
        <v>2634</v>
      </c>
      <c r="H4623" t="str">
        <f>"9499"</f>
        <v>9499</v>
      </c>
      <c r="I4623" t="s">
        <v>31</v>
      </c>
    </row>
    <row r="4624" spans="1:12" x14ac:dyDescent="0.3">
      <c r="A4624" t="str">
        <f>"19991487"</f>
        <v>19991487</v>
      </c>
      <c r="B4624" t="s">
        <v>8908</v>
      </c>
      <c r="C4624" t="str">
        <f t="shared" si="324"/>
        <v>706</v>
      </c>
      <c r="D4624" t="s">
        <v>28</v>
      </c>
      <c r="E4624" t="s">
        <v>23</v>
      </c>
      <c r="F4624" t="s">
        <v>24</v>
      </c>
      <c r="G4624" t="s">
        <v>4529</v>
      </c>
      <c r="H4624" t="str">
        <f>"93190"</f>
        <v>93190</v>
      </c>
      <c r="I4624" t="s">
        <v>59</v>
      </c>
    </row>
    <row r="4625" spans="1:9" x14ac:dyDescent="0.3">
      <c r="A4625" t="str">
        <f>"22888632"</f>
        <v>22888632</v>
      </c>
      <c r="B4625" t="s">
        <v>8909</v>
      </c>
      <c r="C4625" t="str">
        <f t="shared" si="324"/>
        <v>706</v>
      </c>
      <c r="D4625" t="s">
        <v>28</v>
      </c>
      <c r="E4625" t="s">
        <v>23</v>
      </c>
      <c r="F4625" t="s">
        <v>23</v>
      </c>
      <c r="G4625" t="s">
        <v>8910</v>
      </c>
      <c r="H4625" t="str">
        <f>"9499"</f>
        <v>9499</v>
      </c>
      <c r="I4625" t="s">
        <v>31</v>
      </c>
    </row>
    <row r="4626" spans="1:9" x14ac:dyDescent="0.3">
      <c r="A4626" t="str">
        <f>"70287091"</f>
        <v>70287091</v>
      </c>
      <c r="B4626" t="s">
        <v>8911</v>
      </c>
      <c r="C4626" t="str">
        <f t="shared" si="324"/>
        <v>706</v>
      </c>
      <c r="D4626" t="s">
        <v>28</v>
      </c>
      <c r="E4626" t="s">
        <v>52</v>
      </c>
      <c r="F4626" t="s">
        <v>52</v>
      </c>
      <c r="G4626" t="s">
        <v>8912</v>
      </c>
      <c r="H4626" t="str">
        <f>"93120"</f>
        <v>93120</v>
      </c>
      <c r="I4626" t="s">
        <v>54</v>
      </c>
    </row>
    <row r="4627" spans="1:9" x14ac:dyDescent="0.3">
      <c r="A4627" t="str">
        <f>"09591214"</f>
        <v>09591214</v>
      </c>
      <c r="B4627" t="s">
        <v>8913</v>
      </c>
      <c r="C4627" t="str">
        <f t="shared" si="324"/>
        <v>706</v>
      </c>
      <c r="D4627" t="s">
        <v>28</v>
      </c>
      <c r="E4627" t="s">
        <v>52</v>
      </c>
      <c r="F4627" t="s">
        <v>1679</v>
      </c>
      <c r="G4627" t="s">
        <v>8914</v>
      </c>
      <c r="H4627" t="str">
        <f>"93120"</f>
        <v>93120</v>
      </c>
      <c r="I4627" t="s">
        <v>54</v>
      </c>
    </row>
    <row r="4628" spans="1:9" x14ac:dyDescent="0.3">
      <c r="A4628" t="str">
        <f>"65891171"</f>
        <v>65891171</v>
      </c>
      <c r="B4628" t="s">
        <v>8915</v>
      </c>
      <c r="C4628" t="str">
        <f t="shared" si="324"/>
        <v>706</v>
      </c>
      <c r="D4628" t="s">
        <v>28</v>
      </c>
      <c r="E4628" t="s">
        <v>29</v>
      </c>
      <c r="F4628" t="s">
        <v>29</v>
      </c>
      <c r="G4628" t="s">
        <v>8916</v>
      </c>
      <c r="H4628" t="str">
        <f>"93120"</f>
        <v>93120</v>
      </c>
      <c r="I4628" t="s">
        <v>54</v>
      </c>
    </row>
    <row r="4629" spans="1:9" x14ac:dyDescent="0.3">
      <c r="A4629" t="str">
        <f>"26653664"</f>
        <v>26653664</v>
      </c>
      <c r="B4629" t="s">
        <v>8917</v>
      </c>
      <c r="C4629" t="str">
        <f t="shared" si="324"/>
        <v>706</v>
      </c>
      <c r="D4629" t="s">
        <v>28</v>
      </c>
      <c r="E4629" t="s">
        <v>23</v>
      </c>
      <c r="F4629" t="s">
        <v>23</v>
      </c>
      <c r="G4629" t="s">
        <v>8918</v>
      </c>
      <c r="H4629" t="str">
        <f>"93110"</f>
        <v>93110</v>
      </c>
      <c r="I4629" t="s">
        <v>92</v>
      </c>
    </row>
    <row r="4630" spans="1:9" x14ac:dyDescent="0.3">
      <c r="A4630" t="str">
        <f>"01905911"</f>
        <v>01905911</v>
      </c>
      <c r="B4630" t="s">
        <v>8919</v>
      </c>
      <c r="C4630" t="str">
        <f t="shared" si="324"/>
        <v>706</v>
      </c>
      <c r="D4630" t="s">
        <v>28</v>
      </c>
      <c r="E4630" t="s">
        <v>52</v>
      </c>
      <c r="F4630" t="s">
        <v>52</v>
      </c>
      <c r="G4630" t="s">
        <v>6518</v>
      </c>
      <c r="H4630" t="str">
        <f>"93120"</f>
        <v>93120</v>
      </c>
      <c r="I4630" t="s">
        <v>54</v>
      </c>
    </row>
    <row r="4631" spans="1:9" x14ac:dyDescent="0.3">
      <c r="A4631" t="str">
        <f>"26563754"</f>
        <v>26563754</v>
      </c>
      <c r="B4631" t="s">
        <v>8920</v>
      </c>
      <c r="C4631" t="str">
        <f t="shared" si="324"/>
        <v>706</v>
      </c>
      <c r="D4631" t="s">
        <v>28</v>
      </c>
      <c r="E4631" t="s">
        <v>83</v>
      </c>
      <c r="F4631" t="s">
        <v>175</v>
      </c>
      <c r="G4631" t="s">
        <v>8921</v>
      </c>
      <c r="H4631" t="str">
        <f>"93120"</f>
        <v>93120</v>
      </c>
      <c r="I4631" t="s">
        <v>54</v>
      </c>
    </row>
    <row r="4632" spans="1:9" x14ac:dyDescent="0.3">
      <c r="A4632" t="str">
        <f>"26596822"</f>
        <v>26596822</v>
      </c>
      <c r="B4632" t="s">
        <v>8922</v>
      </c>
      <c r="C4632" t="str">
        <f t="shared" si="324"/>
        <v>706</v>
      </c>
      <c r="D4632" t="s">
        <v>28</v>
      </c>
      <c r="E4632" t="s">
        <v>83</v>
      </c>
      <c r="F4632" t="s">
        <v>183</v>
      </c>
      <c r="G4632" t="s">
        <v>8923</v>
      </c>
      <c r="H4632" t="str">
        <f>"93110"</f>
        <v>93110</v>
      </c>
      <c r="I4632" t="s">
        <v>92</v>
      </c>
    </row>
    <row r="4633" spans="1:9" x14ac:dyDescent="0.3">
      <c r="A4633" t="str">
        <f>"22885790"</f>
        <v>22885790</v>
      </c>
      <c r="B4633" t="s">
        <v>8924</v>
      </c>
      <c r="C4633" t="str">
        <f t="shared" si="324"/>
        <v>706</v>
      </c>
      <c r="D4633" t="s">
        <v>28</v>
      </c>
      <c r="E4633" t="s">
        <v>29</v>
      </c>
      <c r="F4633" t="s">
        <v>195</v>
      </c>
      <c r="G4633" t="s">
        <v>8925</v>
      </c>
      <c r="H4633" t="str">
        <f>"93190"</f>
        <v>93190</v>
      </c>
      <c r="I4633" t="s">
        <v>59</v>
      </c>
    </row>
    <row r="4634" spans="1:9" x14ac:dyDescent="0.3">
      <c r="A4634" t="str">
        <f>"05674859"</f>
        <v>05674859</v>
      </c>
      <c r="B4634" t="s">
        <v>8926</v>
      </c>
      <c r="C4634" t="str">
        <f t="shared" ref="C4634:C4662" si="325">"706"</f>
        <v>706</v>
      </c>
      <c r="D4634" t="s">
        <v>28</v>
      </c>
      <c r="E4634" t="s">
        <v>29</v>
      </c>
      <c r="F4634" t="s">
        <v>1266</v>
      </c>
      <c r="G4634" t="s">
        <v>8927</v>
      </c>
      <c r="H4634" t="str">
        <f>"93190"</f>
        <v>93190</v>
      </c>
      <c r="I4634" t="s">
        <v>59</v>
      </c>
    </row>
    <row r="4635" spans="1:9" x14ac:dyDescent="0.3">
      <c r="A4635" t="str">
        <f>"28552334"</f>
        <v>28552334</v>
      </c>
      <c r="B4635" t="s">
        <v>8928</v>
      </c>
      <c r="C4635" t="str">
        <f t="shared" si="325"/>
        <v>706</v>
      </c>
      <c r="D4635" t="s">
        <v>28</v>
      </c>
      <c r="E4635" t="s">
        <v>52</v>
      </c>
      <c r="F4635" t="s">
        <v>113</v>
      </c>
      <c r="G4635" t="s">
        <v>8929</v>
      </c>
      <c r="H4635" t="str">
        <f>"93110"</f>
        <v>93110</v>
      </c>
      <c r="I4635" t="s">
        <v>92</v>
      </c>
    </row>
    <row r="4636" spans="1:9" x14ac:dyDescent="0.3">
      <c r="A4636" t="str">
        <f>"26602041"</f>
        <v>26602041</v>
      </c>
      <c r="B4636" t="s">
        <v>8930</v>
      </c>
      <c r="C4636" t="str">
        <f t="shared" si="325"/>
        <v>706</v>
      </c>
      <c r="D4636" t="s">
        <v>28</v>
      </c>
      <c r="E4636" t="s">
        <v>29</v>
      </c>
      <c r="F4636" t="s">
        <v>29</v>
      </c>
      <c r="G4636" t="s">
        <v>8931</v>
      </c>
      <c r="H4636" t="str">
        <f>"93110"</f>
        <v>93110</v>
      </c>
      <c r="I4636" t="s">
        <v>92</v>
      </c>
    </row>
    <row r="4637" spans="1:9" x14ac:dyDescent="0.3">
      <c r="A4637" t="str">
        <f>"69721947"</f>
        <v>69721947</v>
      </c>
      <c r="B4637" t="s">
        <v>8932</v>
      </c>
      <c r="C4637" t="str">
        <f t="shared" si="325"/>
        <v>706</v>
      </c>
      <c r="D4637" t="s">
        <v>28</v>
      </c>
      <c r="E4637" t="s">
        <v>23</v>
      </c>
      <c r="F4637" t="s">
        <v>23</v>
      </c>
      <c r="G4637" t="s">
        <v>8933</v>
      </c>
      <c r="H4637" t="str">
        <f>"93120"</f>
        <v>93120</v>
      </c>
      <c r="I4637" t="s">
        <v>54</v>
      </c>
    </row>
    <row r="4638" spans="1:9" x14ac:dyDescent="0.3">
      <c r="A4638" t="str">
        <f>"60383127"</f>
        <v>60383127</v>
      </c>
      <c r="B4638" t="s">
        <v>8934</v>
      </c>
      <c r="C4638" t="str">
        <f t="shared" si="325"/>
        <v>706</v>
      </c>
      <c r="D4638" t="s">
        <v>28</v>
      </c>
      <c r="E4638" t="s">
        <v>83</v>
      </c>
      <c r="F4638" t="s">
        <v>1425</v>
      </c>
      <c r="G4638" t="s">
        <v>8935</v>
      </c>
      <c r="H4638" t="str">
        <f>"93110"</f>
        <v>93110</v>
      </c>
      <c r="I4638" t="s">
        <v>92</v>
      </c>
    </row>
    <row r="4639" spans="1:9" x14ac:dyDescent="0.3">
      <c r="A4639" t="str">
        <f>"27021289"</f>
        <v>27021289</v>
      </c>
      <c r="B4639" t="s">
        <v>8936</v>
      </c>
      <c r="C4639" t="str">
        <f t="shared" si="325"/>
        <v>706</v>
      </c>
      <c r="D4639" t="s">
        <v>28</v>
      </c>
      <c r="E4639" t="s">
        <v>29</v>
      </c>
      <c r="F4639" t="s">
        <v>138</v>
      </c>
      <c r="G4639" t="s">
        <v>8937</v>
      </c>
      <c r="H4639" t="str">
        <f>"93110"</f>
        <v>93110</v>
      </c>
      <c r="I4639" t="s">
        <v>92</v>
      </c>
    </row>
    <row r="4640" spans="1:9" x14ac:dyDescent="0.3">
      <c r="A4640" t="str">
        <f>"14612062"</f>
        <v>14612062</v>
      </c>
      <c r="B4640" t="s">
        <v>8938</v>
      </c>
      <c r="C4640" t="str">
        <f t="shared" si="325"/>
        <v>706</v>
      </c>
      <c r="D4640" t="s">
        <v>28</v>
      </c>
      <c r="E4640" t="s">
        <v>29</v>
      </c>
      <c r="F4640" t="s">
        <v>29</v>
      </c>
      <c r="G4640" t="s">
        <v>1303</v>
      </c>
      <c r="H4640" t="str">
        <f>"93110"</f>
        <v>93110</v>
      </c>
      <c r="I4640" t="s">
        <v>92</v>
      </c>
    </row>
    <row r="4641" spans="1:10" x14ac:dyDescent="0.3">
      <c r="A4641" t="str">
        <f>"04948017"</f>
        <v>04948017</v>
      </c>
      <c r="B4641" t="s">
        <v>8939</v>
      </c>
      <c r="C4641" t="str">
        <f t="shared" si="325"/>
        <v>706</v>
      </c>
      <c r="D4641" t="s">
        <v>28</v>
      </c>
      <c r="E4641" t="s">
        <v>29</v>
      </c>
      <c r="F4641" t="s">
        <v>195</v>
      </c>
      <c r="G4641" t="s">
        <v>8940</v>
      </c>
      <c r="H4641" t="str">
        <f>"93190"</f>
        <v>93190</v>
      </c>
      <c r="I4641" t="s">
        <v>59</v>
      </c>
    </row>
    <row r="4642" spans="1:10" x14ac:dyDescent="0.3">
      <c r="A4642" t="str">
        <f>"04042484"</f>
        <v>04042484</v>
      </c>
      <c r="B4642" t="s">
        <v>8941</v>
      </c>
      <c r="C4642" t="str">
        <f t="shared" si="325"/>
        <v>706</v>
      </c>
      <c r="D4642" t="s">
        <v>28</v>
      </c>
      <c r="E4642" t="s">
        <v>29</v>
      </c>
      <c r="F4642" t="s">
        <v>195</v>
      </c>
      <c r="G4642" t="s">
        <v>8942</v>
      </c>
      <c r="H4642" t="str">
        <f>"93190"</f>
        <v>93190</v>
      </c>
      <c r="I4642" t="s">
        <v>59</v>
      </c>
    </row>
    <row r="4643" spans="1:10" x14ac:dyDescent="0.3">
      <c r="A4643" t="str">
        <f>"07582331"</f>
        <v>07582331</v>
      </c>
      <c r="B4643" t="s">
        <v>8943</v>
      </c>
      <c r="C4643" t="str">
        <f t="shared" si="325"/>
        <v>706</v>
      </c>
      <c r="D4643" t="s">
        <v>28</v>
      </c>
      <c r="E4643" t="s">
        <v>29</v>
      </c>
      <c r="F4643" t="s">
        <v>38</v>
      </c>
      <c r="G4643" t="s">
        <v>8944</v>
      </c>
      <c r="H4643" t="str">
        <f>"93190"</f>
        <v>93190</v>
      </c>
      <c r="I4643" t="s">
        <v>59</v>
      </c>
    </row>
    <row r="4644" spans="1:10" x14ac:dyDescent="0.3">
      <c r="A4644" t="str">
        <f>"19690428"</f>
        <v>19690428</v>
      </c>
      <c r="B4644" t="s">
        <v>8945</v>
      </c>
      <c r="C4644" t="str">
        <f t="shared" si="325"/>
        <v>706</v>
      </c>
      <c r="D4644" t="s">
        <v>28</v>
      </c>
      <c r="E4644" t="s">
        <v>29</v>
      </c>
      <c r="F4644" t="s">
        <v>852</v>
      </c>
      <c r="G4644" t="s">
        <v>3411</v>
      </c>
      <c r="H4644" t="str">
        <f>"93190"</f>
        <v>93190</v>
      </c>
      <c r="I4644" t="s">
        <v>59</v>
      </c>
    </row>
    <row r="4645" spans="1:10" x14ac:dyDescent="0.3">
      <c r="A4645" t="str">
        <f>"22836101"</f>
        <v>22836101</v>
      </c>
      <c r="B4645" t="s">
        <v>8946</v>
      </c>
      <c r="C4645" t="str">
        <f t="shared" si="325"/>
        <v>706</v>
      </c>
      <c r="D4645" t="s">
        <v>28</v>
      </c>
      <c r="E4645" t="s">
        <v>29</v>
      </c>
      <c r="F4645" t="s">
        <v>38</v>
      </c>
      <c r="G4645" t="s">
        <v>4218</v>
      </c>
      <c r="H4645" t="str">
        <f>"93110"</f>
        <v>93110</v>
      </c>
      <c r="I4645" t="s">
        <v>92</v>
      </c>
    </row>
    <row r="4646" spans="1:10" x14ac:dyDescent="0.3">
      <c r="A4646" t="str">
        <f>"62182820"</f>
        <v>62182820</v>
      </c>
      <c r="B4646" t="s">
        <v>8947</v>
      </c>
      <c r="C4646" t="str">
        <f t="shared" si="325"/>
        <v>706</v>
      </c>
      <c r="D4646" t="s">
        <v>28</v>
      </c>
      <c r="E4646" t="s">
        <v>23</v>
      </c>
      <c r="F4646" t="s">
        <v>245</v>
      </c>
      <c r="G4646" t="s">
        <v>245</v>
      </c>
      <c r="H4646" t="str">
        <f>"931"</f>
        <v>931</v>
      </c>
      <c r="I4646" t="s">
        <v>26</v>
      </c>
    </row>
    <row r="4647" spans="1:10" x14ac:dyDescent="0.3">
      <c r="A4647" t="str">
        <f>"07158548"</f>
        <v>07158548</v>
      </c>
      <c r="B4647" t="s">
        <v>8948</v>
      </c>
      <c r="C4647" t="str">
        <f t="shared" si="325"/>
        <v>706</v>
      </c>
      <c r="D4647" t="s">
        <v>28</v>
      </c>
      <c r="E4647" t="s">
        <v>83</v>
      </c>
      <c r="F4647" t="s">
        <v>83</v>
      </c>
      <c r="G4647" t="s">
        <v>8949</v>
      </c>
      <c r="H4647" t="str">
        <f>"93190"</f>
        <v>93190</v>
      </c>
      <c r="I4647" t="s">
        <v>59</v>
      </c>
    </row>
    <row r="4648" spans="1:10" x14ac:dyDescent="0.3">
      <c r="A4648" t="str">
        <f>"22864091"</f>
        <v>22864091</v>
      </c>
      <c r="B4648" t="s">
        <v>8950</v>
      </c>
      <c r="C4648" t="str">
        <f t="shared" si="325"/>
        <v>706</v>
      </c>
      <c r="D4648" t="s">
        <v>28</v>
      </c>
      <c r="E4648" t="s">
        <v>23</v>
      </c>
      <c r="F4648" t="s">
        <v>23</v>
      </c>
      <c r="G4648" t="s">
        <v>8951</v>
      </c>
      <c r="H4648" t="str">
        <f>"93120"</f>
        <v>93120</v>
      </c>
      <c r="I4648" t="s">
        <v>54</v>
      </c>
    </row>
    <row r="4649" spans="1:10" x14ac:dyDescent="0.3">
      <c r="A4649" t="str">
        <f>"01246232"</f>
        <v>01246232</v>
      </c>
      <c r="B4649" t="s">
        <v>8952</v>
      </c>
      <c r="C4649" t="str">
        <f t="shared" si="325"/>
        <v>706</v>
      </c>
      <c r="D4649" t="s">
        <v>28</v>
      </c>
      <c r="E4649" t="s">
        <v>83</v>
      </c>
      <c r="F4649" t="s">
        <v>5718</v>
      </c>
      <c r="G4649" t="s">
        <v>8953</v>
      </c>
      <c r="H4649" t="str">
        <f>"93190"</f>
        <v>93190</v>
      </c>
      <c r="I4649" t="s">
        <v>59</v>
      </c>
    </row>
    <row r="4650" spans="1:10" x14ac:dyDescent="0.3">
      <c r="A4650" t="str">
        <f>"21116091"</f>
        <v>21116091</v>
      </c>
      <c r="B4650" t="s">
        <v>8954</v>
      </c>
      <c r="C4650" t="str">
        <f t="shared" si="325"/>
        <v>706</v>
      </c>
      <c r="D4650" t="s">
        <v>28</v>
      </c>
      <c r="E4650" t="s">
        <v>83</v>
      </c>
      <c r="F4650" t="s">
        <v>83</v>
      </c>
      <c r="G4650" t="s">
        <v>8955</v>
      </c>
      <c r="H4650" t="str">
        <f>"93120"</f>
        <v>93120</v>
      </c>
      <c r="I4650" t="s">
        <v>54</v>
      </c>
    </row>
    <row r="4651" spans="1:10" x14ac:dyDescent="0.3">
      <c r="A4651" t="str">
        <f>"04644450"</f>
        <v>04644450</v>
      </c>
      <c r="B4651" t="s">
        <v>8956</v>
      </c>
      <c r="C4651" t="str">
        <f t="shared" si="325"/>
        <v>706</v>
      </c>
      <c r="D4651" t="s">
        <v>28</v>
      </c>
      <c r="E4651" t="s">
        <v>23</v>
      </c>
      <c r="F4651" t="s">
        <v>23</v>
      </c>
      <c r="G4651" t="s">
        <v>8957</v>
      </c>
      <c r="H4651" t="str">
        <f>"9499"</f>
        <v>9499</v>
      </c>
      <c r="I4651" t="s">
        <v>31</v>
      </c>
    </row>
    <row r="4652" spans="1:10" x14ac:dyDescent="0.3">
      <c r="A4652" t="str">
        <f>"22817883"</f>
        <v>22817883</v>
      </c>
      <c r="B4652" t="s">
        <v>8958</v>
      </c>
      <c r="C4652" t="str">
        <f t="shared" si="325"/>
        <v>706</v>
      </c>
      <c r="D4652" t="s">
        <v>28</v>
      </c>
      <c r="E4652" t="s">
        <v>29</v>
      </c>
      <c r="F4652" t="s">
        <v>670</v>
      </c>
      <c r="G4652" t="s">
        <v>8959</v>
      </c>
      <c r="H4652" t="str">
        <f>"93120"</f>
        <v>93120</v>
      </c>
      <c r="I4652" t="s">
        <v>54</v>
      </c>
    </row>
    <row r="4653" spans="1:10" x14ac:dyDescent="0.3">
      <c r="A4653" t="str">
        <f>"21435171"</f>
        <v>21435171</v>
      </c>
      <c r="B4653" t="s">
        <v>8960</v>
      </c>
      <c r="C4653" t="str">
        <f t="shared" si="325"/>
        <v>706</v>
      </c>
      <c r="D4653" t="s">
        <v>28</v>
      </c>
      <c r="E4653" t="s">
        <v>29</v>
      </c>
      <c r="F4653" t="s">
        <v>45</v>
      </c>
      <c r="G4653" t="s">
        <v>8961</v>
      </c>
      <c r="H4653" t="str">
        <f>"93190"</f>
        <v>93190</v>
      </c>
      <c r="I4653" t="s">
        <v>59</v>
      </c>
    </row>
    <row r="4654" spans="1:10" x14ac:dyDescent="0.3">
      <c r="A4654" t="str">
        <f>"22722025"</f>
        <v>22722025</v>
      </c>
      <c r="B4654" t="s">
        <v>8962</v>
      </c>
      <c r="C4654" t="str">
        <f t="shared" si="325"/>
        <v>706</v>
      </c>
      <c r="D4654" t="s">
        <v>28</v>
      </c>
      <c r="E4654" t="s">
        <v>83</v>
      </c>
      <c r="F4654" t="s">
        <v>873</v>
      </c>
      <c r="G4654" t="s">
        <v>8963</v>
      </c>
      <c r="H4654" t="str">
        <f>"85100"</f>
        <v>85100</v>
      </c>
      <c r="I4654" t="s">
        <v>1309</v>
      </c>
      <c r="J4654" t="s">
        <v>31</v>
      </c>
    </row>
    <row r="4655" spans="1:10" x14ac:dyDescent="0.3">
      <c r="A4655" t="str">
        <f>"26660377"</f>
        <v>26660377</v>
      </c>
      <c r="B4655" t="s">
        <v>8964</v>
      </c>
      <c r="C4655" t="str">
        <f t="shared" si="325"/>
        <v>706</v>
      </c>
      <c r="D4655" t="s">
        <v>28</v>
      </c>
      <c r="E4655" t="s">
        <v>23</v>
      </c>
      <c r="F4655" t="s">
        <v>957</v>
      </c>
      <c r="G4655" t="s">
        <v>8965</v>
      </c>
      <c r="H4655" t="str">
        <f t="shared" ref="H4655:H4662" si="326">"9499"</f>
        <v>9499</v>
      </c>
      <c r="I4655" t="s">
        <v>31</v>
      </c>
    </row>
    <row r="4656" spans="1:10" x14ac:dyDescent="0.3">
      <c r="A4656" t="str">
        <f>"09751181"</f>
        <v>09751181</v>
      </c>
      <c r="B4656" t="s">
        <v>8966</v>
      </c>
      <c r="C4656" t="str">
        <f t="shared" si="325"/>
        <v>706</v>
      </c>
      <c r="D4656" t="s">
        <v>28</v>
      </c>
      <c r="E4656" t="s">
        <v>29</v>
      </c>
      <c r="F4656" t="s">
        <v>195</v>
      </c>
      <c r="G4656" t="s">
        <v>8967</v>
      </c>
      <c r="H4656" t="str">
        <f t="shared" si="326"/>
        <v>9499</v>
      </c>
      <c r="I4656" t="s">
        <v>31</v>
      </c>
    </row>
    <row r="4657" spans="1:14" x14ac:dyDescent="0.3">
      <c r="A4657" t="str">
        <f>"26589664"</f>
        <v>26589664</v>
      </c>
      <c r="B4657" t="s">
        <v>8968</v>
      </c>
      <c r="C4657" t="str">
        <f t="shared" si="325"/>
        <v>706</v>
      </c>
      <c r="D4657" t="s">
        <v>28</v>
      </c>
      <c r="E4657" t="s">
        <v>83</v>
      </c>
      <c r="F4657" t="s">
        <v>83</v>
      </c>
      <c r="G4657" t="s">
        <v>8969</v>
      </c>
      <c r="H4657" t="str">
        <f t="shared" si="326"/>
        <v>9499</v>
      </c>
      <c r="I4657" t="s">
        <v>31</v>
      </c>
    </row>
    <row r="4658" spans="1:14" x14ac:dyDescent="0.3">
      <c r="A4658" t="str">
        <f>"70878285"</f>
        <v>70878285</v>
      </c>
      <c r="B4658" t="s">
        <v>8970</v>
      </c>
      <c r="C4658" t="str">
        <f t="shared" si="325"/>
        <v>706</v>
      </c>
      <c r="D4658" t="s">
        <v>28</v>
      </c>
      <c r="E4658" t="s">
        <v>23</v>
      </c>
      <c r="F4658" t="s">
        <v>23</v>
      </c>
      <c r="G4658" t="s">
        <v>8971</v>
      </c>
      <c r="H4658" t="str">
        <f t="shared" si="326"/>
        <v>9499</v>
      </c>
      <c r="I4658" t="s">
        <v>31</v>
      </c>
    </row>
    <row r="4659" spans="1:14" x14ac:dyDescent="0.3">
      <c r="A4659" t="str">
        <f>"67011403"</f>
        <v>67011403</v>
      </c>
      <c r="B4659" t="s">
        <v>8972</v>
      </c>
      <c r="C4659" t="str">
        <f t="shared" si="325"/>
        <v>706</v>
      </c>
      <c r="D4659" t="s">
        <v>28</v>
      </c>
      <c r="E4659" t="s">
        <v>23</v>
      </c>
      <c r="F4659" t="s">
        <v>23</v>
      </c>
      <c r="G4659" t="s">
        <v>8973</v>
      </c>
      <c r="H4659" t="str">
        <f t="shared" si="326"/>
        <v>9499</v>
      </c>
      <c r="I4659" t="s">
        <v>31</v>
      </c>
    </row>
    <row r="4660" spans="1:14" x14ac:dyDescent="0.3">
      <c r="A4660" t="str">
        <f>"64123090"</f>
        <v>64123090</v>
      </c>
      <c r="B4660" t="s">
        <v>8974</v>
      </c>
      <c r="C4660" t="str">
        <f t="shared" si="325"/>
        <v>706</v>
      </c>
      <c r="D4660" t="s">
        <v>28</v>
      </c>
      <c r="E4660" t="s">
        <v>29</v>
      </c>
      <c r="F4660" t="s">
        <v>29</v>
      </c>
      <c r="G4660" t="s">
        <v>7185</v>
      </c>
      <c r="H4660" t="str">
        <f t="shared" si="326"/>
        <v>9499</v>
      </c>
      <c r="I4660" t="s">
        <v>31</v>
      </c>
    </row>
    <row r="4661" spans="1:14" x14ac:dyDescent="0.3">
      <c r="A4661" t="str">
        <f>"22868330"</f>
        <v>22868330</v>
      </c>
      <c r="B4661" t="s">
        <v>8975</v>
      </c>
      <c r="C4661" t="str">
        <f t="shared" si="325"/>
        <v>706</v>
      </c>
      <c r="D4661" t="s">
        <v>28</v>
      </c>
      <c r="E4661" t="s">
        <v>23</v>
      </c>
      <c r="F4661" t="s">
        <v>99</v>
      </c>
      <c r="G4661" t="s">
        <v>4862</v>
      </c>
      <c r="H4661" t="str">
        <f t="shared" si="326"/>
        <v>9499</v>
      </c>
      <c r="I4661" t="s">
        <v>31</v>
      </c>
    </row>
    <row r="4662" spans="1:14" x14ac:dyDescent="0.3">
      <c r="A4662" t="str">
        <f>"65325885"</f>
        <v>65325885</v>
      </c>
      <c r="B4662" t="s">
        <v>8976</v>
      </c>
      <c r="C4662" t="str">
        <f t="shared" si="325"/>
        <v>706</v>
      </c>
      <c r="D4662" t="s">
        <v>28</v>
      </c>
      <c r="E4662" t="s">
        <v>52</v>
      </c>
      <c r="F4662" t="s">
        <v>52</v>
      </c>
      <c r="G4662" t="s">
        <v>8977</v>
      </c>
      <c r="H4662" t="str">
        <f t="shared" si="326"/>
        <v>9499</v>
      </c>
      <c r="I4662" t="s">
        <v>31</v>
      </c>
    </row>
    <row r="4663" spans="1:14" x14ac:dyDescent="0.3">
      <c r="A4663" t="str">
        <f>"72023074"</f>
        <v>72023074</v>
      </c>
      <c r="B4663" t="s">
        <v>8978</v>
      </c>
      <c r="C4663" t="str">
        <f>"736"</f>
        <v>736</v>
      </c>
      <c r="D4663" t="s">
        <v>22</v>
      </c>
      <c r="E4663" t="s">
        <v>23</v>
      </c>
      <c r="F4663" t="s">
        <v>23</v>
      </c>
      <c r="G4663" t="s">
        <v>1143</v>
      </c>
      <c r="H4663" t="str">
        <f>"94991"</f>
        <v>94991</v>
      </c>
      <c r="I4663" t="s">
        <v>433</v>
      </c>
    </row>
    <row r="4664" spans="1:14" x14ac:dyDescent="0.3">
      <c r="A4664" t="str">
        <f>"22889183"</f>
        <v>22889183</v>
      </c>
      <c r="B4664" t="s">
        <v>8979</v>
      </c>
      <c r="C4664" t="str">
        <f>"706"</f>
        <v>706</v>
      </c>
      <c r="D4664" t="s">
        <v>28</v>
      </c>
      <c r="E4664" t="s">
        <v>23</v>
      </c>
      <c r="F4664" t="s">
        <v>23</v>
      </c>
      <c r="G4664" t="s">
        <v>8980</v>
      </c>
      <c r="H4664" t="str">
        <f>"93120"</f>
        <v>93120</v>
      </c>
      <c r="I4664" t="s">
        <v>54</v>
      </c>
    </row>
    <row r="4665" spans="1:14" x14ac:dyDescent="0.3">
      <c r="A4665" t="str">
        <f>"14358921"</f>
        <v>14358921</v>
      </c>
      <c r="B4665" t="s">
        <v>8981</v>
      </c>
      <c r="C4665" t="str">
        <f>"706"</f>
        <v>706</v>
      </c>
      <c r="D4665" t="s">
        <v>28</v>
      </c>
      <c r="E4665" t="s">
        <v>52</v>
      </c>
      <c r="F4665" t="s">
        <v>1170</v>
      </c>
      <c r="G4665" t="s">
        <v>8982</v>
      </c>
      <c r="H4665" t="str">
        <f>"93190"</f>
        <v>93190</v>
      </c>
      <c r="I4665" t="s">
        <v>59</v>
      </c>
    </row>
    <row r="4666" spans="1:14" x14ac:dyDescent="0.3">
      <c r="A4666" t="str">
        <f>"10961798"</f>
        <v>10961798</v>
      </c>
      <c r="B4666" t="s">
        <v>8983</v>
      </c>
      <c r="C4666" t="str">
        <f>"706"</f>
        <v>706</v>
      </c>
      <c r="D4666" t="s">
        <v>28</v>
      </c>
      <c r="E4666" t="s">
        <v>23</v>
      </c>
      <c r="F4666" t="s">
        <v>350</v>
      </c>
      <c r="G4666" t="s">
        <v>437</v>
      </c>
      <c r="H4666" t="str">
        <f>"9499"</f>
        <v>9499</v>
      </c>
      <c r="I4666" t="s">
        <v>31</v>
      </c>
    </row>
    <row r="4667" spans="1:14" x14ac:dyDescent="0.3">
      <c r="A4667" t="str">
        <f>"05313031"</f>
        <v>05313031</v>
      </c>
      <c r="B4667" t="s">
        <v>8984</v>
      </c>
      <c r="C4667" t="str">
        <f>"161"</f>
        <v>161</v>
      </c>
      <c r="D4667" t="s">
        <v>152</v>
      </c>
      <c r="E4667" t="s">
        <v>52</v>
      </c>
      <c r="F4667" t="s">
        <v>379</v>
      </c>
      <c r="G4667" t="s">
        <v>8985</v>
      </c>
      <c r="H4667" t="str">
        <f>"94995"</f>
        <v>94995</v>
      </c>
      <c r="I4667" t="s">
        <v>232</v>
      </c>
      <c r="J4667" t="s">
        <v>258</v>
      </c>
      <c r="K4667" t="s">
        <v>2347</v>
      </c>
      <c r="L4667" t="s">
        <v>2350</v>
      </c>
      <c r="M4667" t="s">
        <v>2353</v>
      </c>
      <c r="N4667" t="s">
        <v>4428</v>
      </c>
    </row>
    <row r="4668" spans="1:14" x14ac:dyDescent="0.3">
      <c r="A4668" t="str">
        <f>"05847061"</f>
        <v>05847061</v>
      </c>
      <c r="B4668" t="s">
        <v>8986</v>
      </c>
      <c r="C4668" t="str">
        <f t="shared" ref="C4668:C4675" si="327">"706"</f>
        <v>706</v>
      </c>
      <c r="D4668" t="s">
        <v>28</v>
      </c>
      <c r="E4668" t="s">
        <v>52</v>
      </c>
      <c r="F4668" t="s">
        <v>379</v>
      </c>
      <c r="G4668" t="s">
        <v>8987</v>
      </c>
      <c r="H4668" t="str">
        <f>"9499"</f>
        <v>9499</v>
      </c>
      <c r="I4668" t="s">
        <v>31</v>
      </c>
    </row>
    <row r="4669" spans="1:14" x14ac:dyDescent="0.3">
      <c r="A4669" t="str">
        <f>"08395683"</f>
        <v>08395683</v>
      </c>
      <c r="B4669" t="s">
        <v>8988</v>
      </c>
      <c r="C4669" t="str">
        <f t="shared" si="327"/>
        <v>706</v>
      </c>
      <c r="D4669" t="s">
        <v>28</v>
      </c>
      <c r="E4669" t="s">
        <v>52</v>
      </c>
      <c r="F4669" t="s">
        <v>344</v>
      </c>
      <c r="G4669" t="s">
        <v>8989</v>
      </c>
      <c r="H4669" t="str">
        <f>"9499"</f>
        <v>9499</v>
      </c>
      <c r="I4669" t="s">
        <v>31</v>
      </c>
    </row>
    <row r="4670" spans="1:14" x14ac:dyDescent="0.3">
      <c r="A4670" t="str">
        <f>"22898344"</f>
        <v>22898344</v>
      </c>
      <c r="B4670" t="s">
        <v>8990</v>
      </c>
      <c r="C4670" t="str">
        <f t="shared" si="327"/>
        <v>706</v>
      </c>
      <c r="D4670" t="s">
        <v>28</v>
      </c>
      <c r="E4670" t="s">
        <v>52</v>
      </c>
      <c r="F4670" t="s">
        <v>1078</v>
      </c>
      <c r="G4670" t="s">
        <v>8991</v>
      </c>
      <c r="H4670" t="str">
        <f>"9499"</f>
        <v>9499</v>
      </c>
      <c r="I4670" t="s">
        <v>31</v>
      </c>
    </row>
    <row r="4671" spans="1:14" x14ac:dyDescent="0.3">
      <c r="A4671" t="str">
        <f>"26560101"</f>
        <v>26560101</v>
      </c>
      <c r="B4671" t="s">
        <v>8992</v>
      </c>
      <c r="C4671" t="str">
        <f t="shared" si="327"/>
        <v>706</v>
      </c>
      <c r="D4671" t="s">
        <v>28</v>
      </c>
      <c r="E4671" t="s">
        <v>52</v>
      </c>
      <c r="F4671" t="s">
        <v>52</v>
      </c>
      <c r="G4671" t="s">
        <v>8993</v>
      </c>
      <c r="H4671" t="str">
        <f>"9499"</f>
        <v>9499</v>
      </c>
      <c r="I4671" t="s">
        <v>31</v>
      </c>
    </row>
    <row r="4672" spans="1:14" x14ac:dyDescent="0.3">
      <c r="A4672" t="str">
        <f>"13694316"</f>
        <v>13694316</v>
      </c>
      <c r="B4672" t="s">
        <v>8994</v>
      </c>
      <c r="C4672" t="str">
        <f t="shared" si="327"/>
        <v>706</v>
      </c>
      <c r="D4672" t="s">
        <v>28</v>
      </c>
      <c r="E4672" t="s">
        <v>23</v>
      </c>
      <c r="F4672" t="s">
        <v>721</v>
      </c>
      <c r="G4672" t="s">
        <v>8995</v>
      </c>
      <c r="H4672" t="str">
        <f>"93120"</f>
        <v>93120</v>
      </c>
      <c r="I4672" t="s">
        <v>54</v>
      </c>
    </row>
    <row r="4673" spans="1:9" x14ac:dyDescent="0.3">
      <c r="A4673" t="str">
        <f>"22689087"</f>
        <v>22689087</v>
      </c>
      <c r="B4673" t="s">
        <v>8996</v>
      </c>
      <c r="C4673" t="str">
        <f t="shared" si="327"/>
        <v>706</v>
      </c>
      <c r="D4673" t="s">
        <v>28</v>
      </c>
      <c r="E4673" t="s">
        <v>52</v>
      </c>
      <c r="F4673" t="s">
        <v>52</v>
      </c>
      <c r="G4673" t="s">
        <v>8997</v>
      </c>
      <c r="H4673" t="str">
        <f>"9499"</f>
        <v>9499</v>
      </c>
      <c r="I4673" t="s">
        <v>31</v>
      </c>
    </row>
    <row r="4674" spans="1:9" x14ac:dyDescent="0.3">
      <c r="A4674" t="str">
        <f>"06981160"</f>
        <v>06981160</v>
      </c>
      <c r="B4674" t="s">
        <v>8998</v>
      </c>
      <c r="C4674" t="str">
        <f t="shared" si="327"/>
        <v>706</v>
      </c>
      <c r="D4674" t="s">
        <v>28</v>
      </c>
      <c r="E4674" t="s">
        <v>52</v>
      </c>
      <c r="F4674" t="s">
        <v>52</v>
      </c>
      <c r="G4674" t="s">
        <v>6368</v>
      </c>
      <c r="H4674" t="str">
        <f>"94999"</f>
        <v>94999</v>
      </c>
      <c r="I4674" t="s">
        <v>202</v>
      </c>
    </row>
    <row r="4675" spans="1:9" x14ac:dyDescent="0.3">
      <c r="A4675" t="str">
        <f>"00557587"</f>
        <v>00557587</v>
      </c>
      <c r="B4675" t="s">
        <v>8999</v>
      </c>
      <c r="C4675" t="str">
        <f t="shared" si="327"/>
        <v>706</v>
      </c>
      <c r="D4675" t="s">
        <v>28</v>
      </c>
      <c r="E4675" t="s">
        <v>52</v>
      </c>
      <c r="F4675" t="s">
        <v>234</v>
      </c>
      <c r="G4675" t="s">
        <v>4452</v>
      </c>
      <c r="H4675" t="str">
        <f>"94993"</f>
        <v>94993</v>
      </c>
      <c r="I4675" t="s">
        <v>50</v>
      </c>
    </row>
    <row r="4676" spans="1:9" x14ac:dyDescent="0.3">
      <c r="A4676" t="str">
        <f>"00559997"</f>
        <v>00559997</v>
      </c>
      <c r="B4676" t="s">
        <v>9000</v>
      </c>
      <c r="C4676" t="str">
        <f>"736"</f>
        <v>736</v>
      </c>
      <c r="D4676" t="s">
        <v>22</v>
      </c>
      <c r="E4676" t="s">
        <v>52</v>
      </c>
      <c r="F4676" t="s">
        <v>52</v>
      </c>
      <c r="G4676" t="s">
        <v>9001</v>
      </c>
      <c r="H4676" t="str">
        <f>"94993"</f>
        <v>94993</v>
      </c>
      <c r="I4676" t="s">
        <v>50</v>
      </c>
    </row>
    <row r="4677" spans="1:9" x14ac:dyDescent="0.3">
      <c r="A4677" t="str">
        <f>"26624281"</f>
        <v>26624281</v>
      </c>
      <c r="B4677" t="s">
        <v>9002</v>
      </c>
      <c r="C4677" t="str">
        <f t="shared" ref="C4677:C4683" si="328">"706"</f>
        <v>706</v>
      </c>
      <c r="D4677" t="s">
        <v>28</v>
      </c>
      <c r="E4677" t="s">
        <v>52</v>
      </c>
      <c r="F4677" t="s">
        <v>52</v>
      </c>
      <c r="G4677" t="s">
        <v>9003</v>
      </c>
      <c r="H4677" t="str">
        <f t="shared" ref="H4677:H4683" si="329">"9499"</f>
        <v>9499</v>
      </c>
      <c r="I4677" t="s">
        <v>31</v>
      </c>
    </row>
    <row r="4678" spans="1:9" x14ac:dyDescent="0.3">
      <c r="A4678" t="str">
        <f>"22686517"</f>
        <v>22686517</v>
      </c>
      <c r="B4678" t="s">
        <v>9004</v>
      </c>
      <c r="C4678" t="str">
        <f t="shared" si="328"/>
        <v>706</v>
      </c>
      <c r="D4678" t="s">
        <v>28</v>
      </c>
      <c r="E4678" t="s">
        <v>52</v>
      </c>
      <c r="F4678" t="s">
        <v>52</v>
      </c>
      <c r="G4678" t="s">
        <v>9005</v>
      </c>
      <c r="H4678" t="str">
        <f t="shared" si="329"/>
        <v>9499</v>
      </c>
      <c r="I4678" t="s">
        <v>31</v>
      </c>
    </row>
    <row r="4679" spans="1:9" x14ac:dyDescent="0.3">
      <c r="A4679" t="str">
        <f>"65326547"</f>
        <v>65326547</v>
      </c>
      <c r="B4679" t="s">
        <v>9006</v>
      </c>
      <c r="C4679" t="str">
        <f t="shared" si="328"/>
        <v>706</v>
      </c>
      <c r="D4679" t="s">
        <v>28</v>
      </c>
      <c r="E4679" t="s">
        <v>52</v>
      </c>
      <c r="F4679" t="s">
        <v>1676</v>
      </c>
      <c r="G4679" t="s">
        <v>9007</v>
      </c>
      <c r="H4679" t="str">
        <f t="shared" si="329"/>
        <v>9499</v>
      </c>
      <c r="I4679" t="s">
        <v>31</v>
      </c>
    </row>
    <row r="4680" spans="1:9" x14ac:dyDescent="0.3">
      <c r="A4680" t="str">
        <f>"62829840"</f>
        <v>62829840</v>
      </c>
      <c r="B4680" t="s">
        <v>9008</v>
      </c>
      <c r="C4680" t="str">
        <f t="shared" si="328"/>
        <v>706</v>
      </c>
      <c r="D4680" t="s">
        <v>28</v>
      </c>
      <c r="E4680" t="s">
        <v>23</v>
      </c>
      <c r="F4680" t="s">
        <v>245</v>
      </c>
      <c r="G4680" t="s">
        <v>9009</v>
      </c>
      <c r="H4680" t="str">
        <f t="shared" si="329"/>
        <v>9499</v>
      </c>
      <c r="I4680" t="s">
        <v>31</v>
      </c>
    </row>
    <row r="4681" spans="1:9" x14ac:dyDescent="0.3">
      <c r="A4681" t="str">
        <f>"49156071"</f>
        <v>49156071</v>
      </c>
      <c r="B4681" t="s">
        <v>9010</v>
      </c>
      <c r="C4681" t="str">
        <f t="shared" si="328"/>
        <v>706</v>
      </c>
      <c r="D4681" t="s">
        <v>28</v>
      </c>
      <c r="E4681" t="s">
        <v>23</v>
      </c>
      <c r="F4681" t="s">
        <v>23</v>
      </c>
      <c r="G4681" t="s">
        <v>418</v>
      </c>
      <c r="H4681" t="str">
        <f t="shared" si="329"/>
        <v>9499</v>
      </c>
      <c r="I4681" t="s">
        <v>31</v>
      </c>
    </row>
    <row r="4682" spans="1:9" x14ac:dyDescent="0.3">
      <c r="A4682" t="str">
        <f>"02205009"</f>
        <v>02205009</v>
      </c>
      <c r="B4682" t="s">
        <v>9011</v>
      </c>
      <c r="C4682" t="str">
        <f t="shared" si="328"/>
        <v>706</v>
      </c>
      <c r="D4682" t="s">
        <v>28</v>
      </c>
      <c r="E4682" t="s">
        <v>52</v>
      </c>
      <c r="F4682" t="s">
        <v>379</v>
      </c>
      <c r="G4682" t="s">
        <v>9012</v>
      </c>
      <c r="H4682" t="str">
        <f t="shared" si="329"/>
        <v>9499</v>
      </c>
      <c r="I4682" t="s">
        <v>31</v>
      </c>
    </row>
    <row r="4683" spans="1:9" x14ac:dyDescent="0.3">
      <c r="A4683" t="str">
        <f>"26568799"</f>
        <v>26568799</v>
      </c>
      <c r="B4683" t="s">
        <v>9013</v>
      </c>
      <c r="C4683" t="str">
        <f t="shared" si="328"/>
        <v>706</v>
      </c>
      <c r="D4683" t="s">
        <v>28</v>
      </c>
      <c r="E4683" t="s">
        <v>52</v>
      </c>
      <c r="F4683" t="s">
        <v>52</v>
      </c>
      <c r="G4683" t="s">
        <v>9014</v>
      </c>
      <c r="H4683" t="str">
        <f t="shared" si="329"/>
        <v>9499</v>
      </c>
      <c r="I4683" t="s">
        <v>31</v>
      </c>
    </row>
    <row r="4684" spans="1:9" x14ac:dyDescent="0.3">
      <c r="A4684" t="str">
        <f>"29447674"</f>
        <v>29447674</v>
      </c>
      <c r="B4684" t="s">
        <v>9015</v>
      </c>
      <c r="C4684" t="str">
        <f>"141"</f>
        <v>141</v>
      </c>
      <c r="D4684" t="s">
        <v>112</v>
      </c>
      <c r="E4684" t="s">
        <v>29</v>
      </c>
      <c r="F4684" t="s">
        <v>3236</v>
      </c>
      <c r="G4684" t="s">
        <v>9016</v>
      </c>
      <c r="H4684" t="str">
        <f>"94999"</f>
        <v>94999</v>
      </c>
      <c r="I4684" t="s">
        <v>202</v>
      </c>
    </row>
    <row r="4685" spans="1:9" x14ac:dyDescent="0.3">
      <c r="A4685" t="str">
        <f>"26573482"</f>
        <v>26573482</v>
      </c>
      <c r="B4685" t="s">
        <v>9017</v>
      </c>
      <c r="C4685" t="str">
        <f t="shared" ref="C4685:C4705" si="330">"706"</f>
        <v>706</v>
      </c>
      <c r="D4685" t="s">
        <v>28</v>
      </c>
      <c r="E4685" t="s">
        <v>23</v>
      </c>
      <c r="F4685" t="s">
        <v>23</v>
      </c>
      <c r="G4685" t="s">
        <v>9018</v>
      </c>
      <c r="H4685" t="str">
        <f>"94991"</f>
        <v>94991</v>
      </c>
      <c r="I4685" t="s">
        <v>433</v>
      </c>
    </row>
    <row r="4686" spans="1:9" x14ac:dyDescent="0.3">
      <c r="A4686" t="str">
        <f>"27014347"</f>
        <v>27014347</v>
      </c>
      <c r="B4686" t="s">
        <v>9019</v>
      </c>
      <c r="C4686" t="str">
        <f t="shared" si="330"/>
        <v>706</v>
      </c>
      <c r="D4686" t="s">
        <v>28</v>
      </c>
      <c r="E4686" t="s">
        <v>23</v>
      </c>
      <c r="F4686" t="s">
        <v>459</v>
      </c>
      <c r="G4686" t="s">
        <v>9020</v>
      </c>
      <c r="H4686" t="str">
        <f>"9499"</f>
        <v>9499</v>
      </c>
      <c r="I4686" t="s">
        <v>31</v>
      </c>
    </row>
    <row r="4687" spans="1:9" x14ac:dyDescent="0.3">
      <c r="A4687" t="str">
        <f>"02976544"</f>
        <v>02976544</v>
      </c>
      <c r="B4687" t="s">
        <v>9021</v>
      </c>
      <c r="C4687" t="str">
        <f t="shared" si="330"/>
        <v>706</v>
      </c>
      <c r="D4687" t="s">
        <v>28</v>
      </c>
      <c r="E4687" t="s">
        <v>23</v>
      </c>
      <c r="F4687" t="s">
        <v>459</v>
      </c>
      <c r="G4687" t="s">
        <v>9022</v>
      </c>
      <c r="H4687" t="str">
        <f>"9499"</f>
        <v>9499</v>
      </c>
      <c r="I4687" t="s">
        <v>31</v>
      </c>
    </row>
    <row r="4688" spans="1:9" x14ac:dyDescent="0.3">
      <c r="A4688" t="str">
        <f>"67727816"</f>
        <v>67727816</v>
      </c>
      <c r="B4688" t="s">
        <v>9023</v>
      </c>
      <c r="C4688" t="str">
        <f t="shared" si="330"/>
        <v>706</v>
      </c>
      <c r="D4688" t="s">
        <v>28</v>
      </c>
      <c r="E4688" t="s">
        <v>29</v>
      </c>
      <c r="F4688" t="s">
        <v>250</v>
      </c>
      <c r="G4688" t="s">
        <v>9024</v>
      </c>
      <c r="H4688" t="str">
        <f>"931"</f>
        <v>931</v>
      </c>
      <c r="I4688" t="s">
        <v>26</v>
      </c>
    </row>
    <row r="4689" spans="1:10" x14ac:dyDescent="0.3">
      <c r="A4689" t="str">
        <f>"22716891"</f>
        <v>22716891</v>
      </c>
      <c r="B4689" t="s">
        <v>9025</v>
      </c>
      <c r="C4689" t="str">
        <f t="shared" si="330"/>
        <v>706</v>
      </c>
      <c r="D4689" t="s">
        <v>28</v>
      </c>
      <c r="E4689" t="s">
        <v>83</v>
      </c>
      <c r="F4689" t="s">
        <v>5486</v>
      </c>
      <c r="G4689" t="s">
        <v>9026</v>
      </c>
      <c r="H4689" t="str">
        <f>"93190"</f>
        <v>93190</v>
      </c>
      <c r="I4689" t="s">
        <v>59</v>
      </c>
    </row>
    <row r="4690" spans="1:10" x14ac:dyDescent="0.3">
      <c r="A4690" t="str">
        <f>"26535777"</f>
        <v>26535777</v>
      </c>
      <c r="B4690" t="s">
        <v>9027</v>
      </c>
      <c r="C4690" t="str">
        <f t="shared" si="330"/>
        <v>706</v>
      </c>
      <c r="D4690" t="s">
        <v>28</v>
      </c>
      <c r="E4690" t="s">
        <v>23</v>
      </c>
      <c r="F4690" t="s">
        <v>23</v>
      </c>
      <c r="G4690" t="s">
        <v>9028</v>
      </c>
      <c r="H4690" t="str">
        <f>"94991"</f>
        <v>94991</v>
      </c>
      <c r="I4690" t="s">
        <v>433</v>
      </c>
    </row>
    <row r="4691" spans="1:10" x14ac:dyDescent="0.3">
      <c r="A4691" t="str">
        <f>"22904441"</f>
        <v>22904441</v>
      </c>
      <c r="B4691" t="s">
        <v>9029</v>
      </c>
      <c r="C4691" t="str">
        <f t="shared" si="330"/>
        <v>706</v>
      </c>
      <c r="D4691" t="s">
        <v>28</v>
      </c>
      <c r="E4691" t="s">
        <v>52</v>
      </c>
      <c r="F4691" t="s">
        <v>864</v>
      </c>
      <c r="G4691" t="s">
        <v>9030</v>
      </c>
      <c r="H4691" t="str">
        <f>"9499"</f>
        <v>9499</v>
      </c>
      <c r="I4691" t="s">
        <v>31</v>
      </c>
      <c r="J4691" t="s">
        <v>500</v>
      </c>
    </row>
    <row r="4692" spans="1:10" x14ac:dyDescent="0.3">
      <c r="A4692" t="str">
        <f>"48472336"</f>
        <v>48472336</v>
      </c>
      <c r="B4692" t="s">
        <v>9031</v>
      </c>
      <c r="C4692" t="str">
        <f t="shared" si="330"/>
        <v>706</v>
      </c>
      <c r="D4692" t="s">
        <v>28</v>
      </c>
      <c r="E4692" t="s">
        <v>23</v>
      </c>
      <c r="F4692" t="s">
        <v>23</v>
      </c>
      <c r="G4692" t="s">
        <v>418</v>
      </c>
      <c r="H4692" t="str">
        <f>"9499"</f>
        <v>9499</v>
      </c>
      <c r="I4692" t="s">
        <v>31</v>
      </c>
    </row>
    <row r="4693" spans="1:10" x14ac:dyDescent="0.3">
      <c r="A4693" t="str">
        <f>"70893110"</f>
        <v>70893110</v>
      </c>
      <c r="B4693" t="s">
        <v>9032</v>
      </c>
      <c r="C4693" t="str">
        <f t="shared" si="330"/>
        <v>706</v>
      </c>
      <c r="D4693" t="s">
        <v>28</v>
      </c>
      <c r="E4693" t="s">
        <v>52</v>
      </c>
      <c r="F4693" t="s">
        <v>52</v>
      </c>
      <c r="G4693" t="s">
        <v>9033</v>
      </c>
      <c r="H4693" t="str">
        <f>"9499"</f>
        <v>9499</v>
      </c>
      <c r="I4693" t="s">
        <v>31</v>
      </c>
    </row>
    <row r="4694" spans="1:10" x14ac:dyDescent="0.3">
      <c r="A4694" t="str">
        <f>"26649675"</f>
        <v>26649675</v>
      </c>
      <c r="B4694" t="s">
        <v>9034</v>
      </c>
      <c r="C4694" t="str">
        <f t="shared" si="330"/>
        <v>706</v>
      </c>
      <c r="D4694" t="s">
        <v>28</v>
      </c>
      <c r="E4694" t="s">
        <v>52</v>
      </c>
      <c r="F4694" t="s">
        <v>234</v>
      </c>
      <c r="G4694" t="s">
        <v>1414</v>
      </c>
      <c r="H4694" t="str">
        <f>"93110"</f>
        <v>93110</v>
      </c>
      <c r="I4694" t="s">
        <v>92</v>
      </c>
    </row>
    <row r="4695" spans="1:10" x14ac:dyDescent="0.3">
      <c r="A4695" t="str">
        <f>"06629857"</f>
        <v>06629857</v>
      </c>
      <c r="B4695" t="s">
        <v>9035</v>
      </c>
      <c r="C4695" t="str">
        <f t="shared" si="330"/>
        <v>706</v>
      </c>
      <c r="D4695" t="s">
        <v>28</v>
      </c>
      <c r="E4695" t="s">
        <v>23</v>
      </c>
      <c r="F4695" t="s">
        <v>1657</v>
      </c>
      <c r="G4695" t="s">
        <v>9036</v>
      </c>
      <c r="H4695" t="str">
        <f>"93190"</f>
        <v>93190</v>
      </c>
      <c r="I4695" t="s">
        <v>59</v>
      </c>
    </row>
    <row r="4696" spans="1:10" x14ac:dyDescent="0.3">
      <c r="A4696" t="str">
        <f>"22906371"</f>
        <v>22906371</v>
      </c>
      <c r="B4696" t="s">
        <v>9037</v>
      </c>
      <c r="C4696" t="str">
        <f t="shared" si="330"/>
        <v>706</v>
      </c>
      <c r="D4696" t="s">
        <v>28</v>
      </c>
      <c r="E4696" t="s">
        <v>29</v>
      </c>
      <c r="F4696" t="s">
        <v>775</v>
      </c>
      <c r="G4696" t="s">
        <v>1803</v>
      </c>
      <c r="H4696" t="str">
        <f>"94991"</f>
        <v>94991</v>
      </c>
      <c r="I4696" t="s">
        <v>433</v>
      </c>
      <c r="J4696" t="s">
        <v>9038</v>
      </c>
    </row>
    <row r="4697" spans="1:10" x14ac:dyDescent="0.3">
      <c r="A4697" t="str">
        <f>"22905529"</f>
        <v>22905529</v>
      </c>
      <c r="B4697" t="s">
        <v>9039</v>
      </c>
      <c r="C4697" t="str">
        <f t="shared" si="330"/>
        <v>706</v>
      </c>
      <c r="D4697" t="s">
        <v>28</v>
      </c>
      <c r="E4697" t="s">
        <v>23</v>
      </c>
      <c r="F4697" t="s">
        <v>23</v>
      </c>
      <c r="G4697" t="s">
        <v>348</v>
      </c>
      <c r="H4697" t="str">
        <f>"93120"</f>
        <v>93120</v>
      </c>
      <c r="I4697" t="s">
        <v>54</v>
      </c>
    </row>
    <row r="4698" spans="1:10" x14ac:dyDescent="0.3">
      <c r="A4698" t="str">
        <f>"26602555"</f>
        <v>26602555</v>
      </c>
      <c r="B4698" t="s">
        <v>9040</v>
      </c>
      <c r="C4698" t="str">
        <f t="shared" si="330"/>
        <v>706</v>
      </c>
      <c r="D4698" t="s">
        <v>28</v>
      </c>
      <c r="E4698" t="s">
        <v>29</v>
      </c>
      <c r="F4698" t="s">
        <v>775</v>
      </c>
      <c r="G4698" t="s">
        <v>9041</v>
      </c>
      <c r="H4698" t="str">
        <f>"9499"</f>
        <v>9499</v>
      </c>
      <c r="I4698" t="s">
        <v>31</v>
      </c>
    </row>
    <row r="4699" spans="1:10" x14ac:dyDescent="0.3">
      <c r="A4699" t="str">
        <f>"04811364"</f>
        <v>04811364</v>
      </c>
      <c r="B4699" t="s">
        <v>9042</v>
      </c>
      <c r="C4699" t="str">
        <f t="shared" si="330"/>
        <v>706</v>
      </c>
      <c r="D4699" t="s">
        <v>28</v>
      </c>
      <c r="E4699" t="s">
        <v>23</v>
      </c>
      <c r="F4699" t="s">
        <v>695</v>
      </c>
      <c r="G4699" t="s">
        <v>1034</v>
      </c>
      <c r="H4699" t="str">
        <f>"9499"</f>
        <v>9499</v>
      </c>
      <c r="I4699" t="s">
        <v>31</v>
      </c>
    </row>
    <row r="4700" spans="1:10" x14ac:dyDescent="0.3">
      <c r="A4700" t="str">
        <f>"04942680"</f>
        <v>04942680</v>
      </c>
      <c r="B4700" t="s">
        <v>9043</v>
      </c>
      <c r="C4700" t="str">
        <f t="shared" si="330"/>
        <v>706</v>
      </c>
      <c r="D4700" t="s">
        <v>28</v>
      </c>
      <c r="E4700" t="s">
        <v>23</v>
      </c>
      <c r="F4700" t="s">
        <v>695</v>
      </c>
      <c r="G4700" t="s">
        <v>1034</v>
      </c>
      <c r="H4700" t="str">
        <f>"94996"</f>
        <v>94996</v>
      </c>
      <c r="I4700" t="s">
        <v>47</v>
      </c>
    </row>
    <row r="4701" spans="1:10" x14ac:dyDescent="0.3">
      <c r="A4701" t="str">
        <f>"22606157"</f>
        <v>22606157</v>
      </c>
      <c r="B4701" t="s">
        <v>9044</v>
      </c>
      <c r="C4701" t="str">
        <f t="shared" si="330"/>
        <v>706</v>
      </c>
      <c r="D4701" t="s">
        <v>28</v>
      </c>
      <c r="E4701" t="s">
        <v>83</v>
      </c>
      <c r="F4701" t="s">
        <v>83</v>
      </c>
      <c r="G4701" t="s">
        <v>9045</v>
      </c>
      <c r="H4701" t="str">
        <f>"94999"</f>
        <v>94999</v>
      </c>
      <c r="I4701" t="s">
        <v>202</v>
      </c>
    </row>
    <row r="4702" spans="1:10" x14ac:dyDescent="0.3">
      <c r="A4702" t="str">
        <f>"22739076"</f>
        <v>22739076</v>
      </c>
      <c r="B4702" t="s">
        <v>9046</v>
      </c>
      <c r="C4702" t="str">
        <f t="shared" si="330"/>
        <v>706</v>
      </c>
      <c r="D4702" t="s">
        <v>28</v>
      </c>
      <c r="E4702" t="s">
        <v>23</v>
      </c>
      <c r="F4702" t="s">
        <v>23</v>
      </c>
      <c r="G4702" t="s">
        <v>9047</v>
      </c>
      <c r="H4702" t="str">
        <f>"9499"</f>
        <v>9499</v>
      </c>
      <c r="I4702" t="s">
        <v>31</v>
      </c>
    </row>
    <row r="4703" spans="1:10" x14ac:dyDescent="0.3">
      <c r="A4703" t="str">
        <f>"17337429"</f>
        <v>17337429</v>
      </c>
      <c r="B4703" t="s">
        <v>9048</v>
      </c>
      <c r="C4703" t="str">
        <f t="shared" si="330"/>
        <v>706</v>
      </c>
      <c r="D4703" t="s">
        <v>28</v>
      </c>
      <c r="E4703" t="s">
        <v>29</v>
      </c>
      <c r="F4703" t="s">
        <v>676</v>
      </c>
      <c r="G4703" t="s">
        <v>9049</v>
      </c>
      <c r="H4703" t="str">
        <f>"9499"</f>
        <v>9499</v>
      </c>
      <c r="I4703" t="s">
        <v>31</v>
      </c>
    </row>
    <row r="4704" spans="1:10" x14ac:dyDescent="0.3">
      <c r="A4704" t="str">
        <f>"03529916"</f>
        <v>03529916</v>
      </c>
      <c r="B4704" t="s">
        <v>9050</v>
      </c>
      <c r="C4704" t="str">
        <f t="shared" si="330"/>
        <v>706</v>
      </c>
      <c r="D4704" t="s">
        <v>28</v>
      </c>
      <c r="E4704" t="s">
        <v>23</v>
      </c>
      <c r="F4704" t="s">
        <v>8229</v>
      </c>
      <c r="G4704" t="s">
        <v>9051</v>
      </c>
      <c r="H4704" t="str">
        <f>"9499"</f>
        <v>9499</v>
      </c>
      <c r="I4704" t="s">
        <v>31</v>
      </c>
    </row>
    <row r="4705" spans="1:10" x14ac:dyDescent="0.3">
      <c r="A4705" t="str">
        <f>"48505668"</f>
        <v>48505668</v>
      </c>
      <c r="B4705" t="s">
        <v>9052</v>
      </c>
      <c r="C4705" t="str">
        <f t="shared" si="330"/>
        <v>706</v>
      </c>
      <c r="D4705" t="s">
        <v>28</v>
      </c>
      <c r="E4705" t="s">
        <v>52</v>
      </c>
      <c r="F4705" t="s">
        <v>1078</v>
      </c>
      <c r="G4705" t="s">
        <v>9053</v>
      </c>
      <c r="H4705" t="str">
        <f>"93110"</f>
        <v>93110</v>
      </c>
      <c r="I4705" t="s">
        <v>92</v>
      </c>
    </row>
    <row r="4706" spans="1:10" x14ac:dyDescent="0.3">
      <c r="A4706" t="str">
        <f>"47930110"</f>
        <v>47930110</v>
      </c>
      <c r="B4706" t="s">
        <v>9054</v>
      </c>
      <c r="C4706" t="str">
        <f>"736"</f>
        <v>736</v>
      </c>
      <c r="D4706" t="s">
        <v>22</v>
      </c>
      <c r="E4706" t="s">
        <v>83</v>
      </c>
      <c r="F4706" t="s">
        <v>130</v>
      </c>
      <c r="G4706" t="s">
        <v>9055</v>
      </c>
      <c r="H4706" t="str">
        <f>"93110"</f>
        <v>93110</v>
      </c>
      <c r="I4706" t="s">
        <v>92</v>
      </c>
    </row>
    <row r="4707" spans="1:10" x14ac:dyDescent="0.3">
      <c r="A4707" t="str">
        <f>"61704351"</f>
        <v>61704351</v>
      </c>
      <c r="B4707" t="s">
        <v>9056</v>
      </c>
      <c r="C4707" t="str">
        <f>"706"</f>
        <v>706</v>
      </c>
      <c r="D4707" t="s">
        <v>28</v>
      </c>
      <c r="E4707" t="s">
        <v>52</v>
      </c>
      <c r="F4707" t="s">
        <v>1902</v>
      </c>
      <c r="G4707" t="s">
        <v>9057</v>
      </c>
      <c r="H4707" t="str">
        <f>"93110"</f>
        <v>93110</v>
      </c>
      <c r="I4707" t="s">
        <v>92</v>
      </c>
    </row>
    <row r="4708" spans="1:10" x14ac:dyDescent="0.3">
      <c r="A4708" t="str">
        <f>"26587483"</f>
        <v>26587483</v>
      </c>
      <c r="B4708" t="s">
        <v>9058</v>
      </c>
      <c r="C4708" t="str">
        <f>"706"</f>
        <v>706</v>
      </c>
      <c r="D4708" t="s">
        <v>28</v>
      </c>
      <c r="E4708" t="s">
        <v>52</v>
      </c>
      <c r="F4708" t="s">
        <v>5049</v>
      </c>
      <c r="G4708" t="s">
        <v>9059</v>
      </c>
      <c r="H4708" t="str">
        <f>"9499"</f>
        <v>9499</v>
      </c>
      <c r="I4708" t="s">
        <v>31</v>
      </c>
    </row>
    <row r="4709" spans="1:10" x14ac:dyDescent="0.3">
      <c r="A4709" t="str">
        <f>"29306051"</f>
        <v>29306051</v>
      </c>
      <c r="B4709" t="s">
        <v>9060</v>
      </c>
      <c r="C4709" t="str">
        <f>"141"</f>
        <v>141</v>
      </c>
      <c r="D4709" t="s">
        <v>112</v>
      </c>
      <c r="E4709" t="s">
        <v>52</v>
      </c>
      <c r="F4709" t="s">
        <v>951</v>
      </c>
      <c r="G4709" t="s">
        <v>952</v>
      </c>
      <c r="H4709" t="str">
        <f>"94992"</f>
        <v>94992</v>
      </c>
      <c r="I4709" t="s">
        <v>241</v>
      </c>
    </row>
    <row r="4710" spans="1:10" x14ac:dyDescent="0.3">
      <c r="A4710" t="str">
        <f>"46998489"</f>
        <v>46998489</v>
      </c>
      <c r="B4710" t="s">
        <v>9061</v>
      </c>
      <c r="C4710" t="str">
        <f>"736"</f>
        <v>736</v>
      </c>
      <c r="D4710" t="s">
        <v>22</v>
      </c>
      <c r="E4710" t="s">
        <v>83</v>
      </c>
      <c r="F4710" t="s">
        <v>83</v>
      </c>
      <c r="G4710" t="s">
        <v>9062</v>
      </c>
      <c r="H4710" t="str">
        <f>"93110"</f>
        <v>93110</v>
      </c>
      <c r="I4710" t="s">
        <v>92</v>
      </c>
    </row>
    <row r="4711" spans="1:10" x14ac:dyDescent="0.3">
      <c r="A4711" t="str">
        <f>"16361083"</f>
        <v>16361083</v>
      </c>
      <c r="B4711" t="s">
        <v>9063</v>
      </c>
      <c r="C4711" t="str">
        <f>"736"</f>
        <v>736</v>
      </c>
      <c r="D4711" t="s">
        <v>22</v>
      </c>
      <c r="E4711" t="s">
        <v>23</v>
      </c>
      <c r="F4711" t="s">
        <v>23</v>
      </c>
      <c r="G4711" t="s">
        <v>9064</v>
      </c>
      <c r="H4711" t="str">
        <f>"93110"</f>
        <v>93110</v>
      </c>
      <c r="I4711" t="s">
        <v>92</v>
      </c>
    </row>
    <row r="4712" spans="1:10" x14ac:dyDescent="0.3">
      <c r="A4712" t="str">
        <f>"65469739"</f>
        <v>65469739</v>
      </c>
      <c r="B4712" t="s">
        <v>9065</v>
      </c>
      <c r="C4712" t="str">
        <f>"736"</f>
        <v>736</v>
      </c>
      <c r="D4712" t="s">
        <v>22</v>
      </c>
      <c r="E4712" t="s">
        <v>29</v>
      </c>
      <c r="F4712" t="s">
        <v>195</v>
      </c>
      <c r="G4712" t="s">
        <v>9066</v>
      </c>
      <c r="H4712" t="str">
        <f>"93110"</f>
        <v>93110</v>
      </c>
      <c r="I4712" t="s">
        <v>92</v>
      </c>
      <c r="J4712" t="s">
        <v>126</v>
      </c>
    </row>
    <row r="4713" spans="1:10" x14ac:dyDescent="0.3">
      <c r="A4713" t="str">
        <f>"22668268"</f>
        <v>22668268</v>
      </c>
      <c r="B4713" t="s">
        <v>9067</v>
      </c>
      <c r="C4713" t="str">
        <f t="shared" ref="C4713:C4721" si="331">"706"</f>
        <v>706</v>
      </c>
      <c r="D4713" t="s">
        <v>28</v>
      </c>
      <c r="E4713" t="s">
        <v>23</v>
      </c>
      <c r="F4713" t="s">
        <v>23</v>
      </c>
      <c r="G4713" t="s">
        <v>9068</v>
      </c>
      <c r="H4713" t="str">
        <f>"9499"</f>
        <v>9499</v>
      </c>
      <c r="I4713" t="s">
        <v>31</v>
      </c>
    </row>
    <row r="4714" spans="1:10" x14ac:dyDescent="0.3">
      <c r="A4714" t="str">
        <f>"26571579"</f>
        <v>26571579</v>
      </c>
      <c r="B4714" t="s">
        <v>9069</v>
      </c>
      <c r="C4714" t="str">
        <f t="shared" si="331"/>
        <v>706</v>
      </c>
      <c r="D4714" t="s">
        <v>28</v>
      </c>
      <c r="E4714" t="s">
        <v>23</v>
      </c>
      <c r="F4714" t="s">
        <v>282</v>
      </c>
      <c r="G4714" t="s">
        <v>9070</v>
      </c>
      <c r="H4714" t="str">
        <f>"9499"</f>
        <v>9499</v>
      </c>
      <c r="I4714" t="s">
        <v>31</v>
      </c>
    </row>
    <row r="4715" spans="1:10" x14ac:dyDescent="0.3">
      <c r="A4715" t="str">
        <f>"22741283"</f>
        <v>22741283</v>
      </c>
      <c r="B4715" t="s">
        <v>9071</v>
      </c>
      <c r="C4715" t="str">
        <f t="shared" si="331"/>
        <v>706</v>
      </c>
      <c r="D4715" t="s">
        <v>28</v>
      </c>
      <c r="E4715" t="s">
        <v>83</v>
      </c>
      <c r="F4715" t="s">
        <v>83</v>
      </c>
      <c r="G4715" t="s">
        <v>9072</v>
      </c>
      <c r="H4715" t="str">
        <f>"94996"</f>
        <v>94996</v>
      </c>
      <c r="I4715" t="s">
        <v>47</v>
      </c>
    </row>
    <row r="4716" spans="1:10" x14ac:dyDescent="0.3">
      <c r="A4716" t="str">
        <f>"19950985"</f>
        <v>19950985</v>
      </c>
      <c r="B4716" t="s">
        <v>9073</v>
      </c>
      <c r="C4716" t="str">
        <f t="shared" si="331"/>
        <v>706</v>
      </c>
      <c r="D4716" t="s">
        <v>28</v>
      </c>
      <c r="E4716" t="s">
        <v>23</v>
      </c>
      <c r="F4716" t="s">
        <v>23</v>
      </c>
      <c r="G4716" t="s">
        <v>9074</v>
      </c>
      <c r="H4716" t="str">
        <f t="shared" ref="H4716:H4721" si="332">"9499"</f>
        <v>9499</v>
      </c>
      <c r="I4716" t="s">
        <v>31</v>
      </c>
    </row>
    <row r="4717" spans="1:10" x14ac:dyDescent="0.3">
      <c r="A4717" t="str">
        <f>"60370475"</f>
        <v>60370475</v>
      </c>
      <c r="B4717" t="s">
        <v>9075</v>
      </c>
      <c r="C4717" t="str">
        <f t="shared" si="331"/>
        <v>706</v>
      </c>
      <c r="D4717" t="s">
        <v>28</v>
      </c>
      <c r="E4717" t="s">
        <v>52</v>
      </c>
      <c r="F4717" t="s">
        <v>379</v>
      </c>
      <c r="G4717" t="s">
        <v>9076</v>
      </c>
      <c r="H4717" t="str">
        <f t="shared" si="332"/>
        <v>9499</v>
      </c>
      <c r="I4717" t="s">
        <v>31</v>
      </c>
    </row>
    <row r="4718" spans="1:10" x14ac:dyDescent="0.3">
      <c r="A4718" t="str">
        <f>"49563076"</f>
        <v>49563076</v>
      </c>
      <c r="B4718" t="s">
        <v>9077</v>
      </c>
      <c r="C4718" t="str">
        <f t="shared" si="331"/>
        <v>706</v>
      </c>
      <c r="D4718" t="s">
        <v>28</v>
      </c>
      <c r="E4718" t="s">
        <v>29</v>
      </c>
      <c r="F4718" t="s">
        <v>38</v>
      </c>
      <c r="G4718" t="s">
        <v>9078</v>
      </c>
      <c r="H4718" t="str">
        <f t="shared" si="332"/>
        <v>9499</v>
      </c>
      <c r="I4718" t="s">
        <v>31</v>
      </c>
    </row>
    <row r="4719" spans="1:10" x14ac:dyDescent="0.3">
      <c r="A4719" t="str">
        <f>"48491772"</f>
        <v>48491772</v>
      </c>
      <c r="B4719" t="s">
        <v>9079</v>
      </c>
      <c r="C4719" t="str">
        <f t="shared" si="331"/>
        <v>706</v>
      </c>
      <c r="D4719" t="s">
        <v>28</v>
      </c>
      <c r="E4719" t="s">
        <v>52</v>
      </c>
      <c r="F4719" t="s">
        <v>113</v>
      </c>
      <c r="G4719" t="s">
        <v>570</v>
      </c>
      <c r="H4719" t="str">
        <f t="shared" si="332"/>
        <v>9499</v>
      </c>
      <c r="I4719" t="s">
        <v>31</v>
      </c>
    </row>
    <row r="4720" spans="1:10" x14ac:dyDescent="0.3">
      <c r="A4720" t="str">
        <f>"45211418"</f>
        <v>45211418</v>
      </c>
      <c r="B4720" t="s">
        <v>9080</v>
      </c>
      <c r="C4720" t="str">
        <f t="shared" si="331"/>
        <v>706</v>
      </c>
      <c r="D4720" t="s">
        <v>28</v>
      </c>
      <c r="E4720" t="s">
        <v>29</v>
      </c>
      <c r="F4720" t="s">
        <v>1796</v>
      </c>
      <c r="G4720" t="s">
        <v>9081</v>
      </c>
      <c r="H4720" t="str">
        <f t="shared" si="332"/>
        <v>9499</v>
      </c>
      <c r="I4720" t="s">
        <v>31</v>
      </c>
    </row>
    <row r="4721" spans="1:12" x14ac:dyDescent="0.3">
      <c r="A4721" t="str">
        <f>"07744994"</f>
        <v>07744994</v>
      </c>
      <c r="B4721" t="s">
        <v>9082</v>
      </c>
      <c r="C4721" t="str">
        <f t="shared" si="331"/>
        <v>706</v>
      </c>
      <c r="D4721" t="s">
        <v>28</v>
      </c>
      <c r="E4721" t="s">
        <v>29</v>
      </c>
      <c r="F4721" t="s">
        <v>1810</v>
      </c>
      <c r="G4721" t="s">
        <v>9083</v>
      </c>
      <c r="H4721" t="str">
        <f t="shared" si="332"/>
        <v>9499</v>
      </c>
      <c r="I4721" t="s">
        <v>31</v>
      </c>
      <c r="J4721" t="s">
        <v>258</v>
      </c>
      <c r="K4721" t="s">
        <v>209</v>
      </c>
      <c r="L4721" t="s">
        <v>161</v>
      </c>
    </row>
    <row r="4722" spans="1:12" x14ac:dyDescent="0.3">
      <c r="A4722" t="str">
        <f>"25830007"</f>
        <v>25830007</v>
      </c>
      <c r="B4722" t="s">
        <v>9084</v>
      </c>
      <c r="C4722" t="str">
        <f>"141"</f>
        <v>141</v>
      </c>
      <c r="D4722" t="s">
        <v>112</v>
      </c>
      <c r="E4722" t="s">
        <v>29</v>
      </c>
      <c r="F4722" t="s">
        <v>29</v>
      </c>
      <c r="G4722" t="s">
        <v>9085</v>
      </c>
      <c r="H4722" t="str">
        <f>"85100"</f>
        <v>85100</v>
      </c>
      <c r="I4722" t="s">
        <v>1309</v>
      </c>
    </row>
    <row r="4723" spans="1:12" x14ac:dyDescent="0.3">
      <c r="A4723" t="str">
        <f>"25547429"</f>
        <v>25547429</v>
      </c>
      <c r="B4723" t="s">
        <v>9086</v>
      </c>
      <c r="C4723" t="str">
        <f>"141"</f>
        <v>141</v>
      </c>
      <c r="D4723" t="s">
        <v>112</v>
      </c>
      <c r="E4723" t="s">
        <v>23</v>
      </c>
      <c r="F4723" t="s">
        <v>23</v>
      </c>
      <c r="G4723" t="s">
        <v>9087</v>
      </c>
      <c r="H4723" t="str">
        <f>"855"</f>
        <v>855</v>
      </c>
      <c r="I4723" t="s">
        <v>146</v>
      </c>
    </row>
    <row r="4724" spans="1:12" x14ac:dyDescent="0.3">
      <c r="A4724" t="str">
        <f>"26569787"</f>
        <v>26569787</v>
      </c>
      <c r="B4724" t="s">
        <v>9088</v>
      </c>
      <c r="C4724" t="str">
        <f>"706"</f>
        <v>706</v>
      </c>
      <c r="D4724" t="s">
        <v>28</v>
      </c>
      <c r="E4724" t="s">
        <v>83</v>
      </c>
      <c r="F4724" t="s">
        <v>83</v>
      </c>
      <c r="G4724" t="s">
        <v>9089</v>
      </c>
      <c r="H4724" t="str">
        <f>"9499"</f>
        <v>9499</v>
      </c>
      <c r="I4724" t="s">
        <v>31</v>
      </c>
    </row>
    <row r="4725" spans="1:12" x14ac:dyDescent="0.3">
      <c r="A4725" t="str">
        <f>"26559811"</f>
        <v>26559811</v>
      </c>
      <c r="B4725" t="s">
        <v>9090</v>
      </c>
      <c r="C4725" t="str">
        <f>"706"</f>
        <v>706</v>
      </c>
      <c r="D4725" t="s">
        <v>28</v>
      </c>
      <c r="E4725" t="s">
        <v>29</v>
      </c>
      <c r="F4725" t="s">
        <v>38</v>
      </c>
      <c r="G4725" t="s">
        <v>9091</v>
      </c>
      <c r="H4725" t="str">
        <f>"93190"</f>
        <v>93190</v>
      </c>
      <c r="I4725" t="s">
        <v>59</v>
      </c>
    </row>
    <row r="4726" spans="1:12" x14ac:dyDescent="0.3">
      <c r="A4726" t="str">
        <f>"26527316"</f>
        <v>26527316</v>
      </c>
      <c r="B4726" t="s">
        <v>9092</v>
      </c>
      <c r="C4726" t="str">
        <f>"706"</f>
        <v>706</v>
      </c>
      <c r="D4726" t="s">
        <v>28</v>
      </c>
      <c r="E4726" t="s">
        <v>23</v>
      </c>
      <c r="F4726" t="s">
        <v>23</v>
      </c>
      <c r="G4726" t="s">
        <v>9093</v>
      </c>
      <c r="H4726" t="str">
        <f>"9499"</f>
        <v>9499</v>
      </c>
      <c r="I4726" t="s">
        <v>31</v>
      </c>
    </row>
    <row r="4727" spans="1:12" x14ac:dyDescent="0.3">
      <c r="A4727" t="str">
        <f>"22549617"</f>
        <v>22549617</v>
      </c>
      <c r="B4727" t="s">
        <v>9094</v>
      </c>
      <c r="C4727" t="str">
        <f>"736"</f>
        <v>736</v>
      </c>
      <c r="D4727" t="s">
        <v>22</v>
      </c>
      <c r="E4727" t="s">
        <v>52</v>
      </c>
      <c r="F4727" t="s">
        <v>2400</v>
      </c>
      <c r="G4727" t="s">
        <v>4021</v>
      </c>
      <c r="H4727" t="str">
        <f>"94993"</f>
        <v>94993</v>
      </c>
      <c r="I4727" t="s">
        <v>50</v>
      </c>
    </row>
    <row r="4728" spans="1:12" x14ac:dyDescent="0.3">
      <c r="A4728" t="str">
        <f>"01976397"</f>
        <v>01976397</v>
      </c>
      <c r="B4728" t="s">
        <v>9095</v>
      </c>
      <c r="C4728" t="str">
        <f t="shared" ref="C4728:C4735" si="333">"706"</f>
        <v>706</v>
      </c>
      <c r="D4728" t="s">
        <v>28</v>
      </c>
      <c r="E4728" t="s">
        <v>52</v>
      </c>
      <c r="F4728" t="s">
        <v>113</v>
      </c>
      <c r="G4728" t="s">
        <v>113</v>
      </c>
      <c r="H4728" t="str">
        <f>"9499"</f>
        <v>9499</v>
      </c>
      <c r="I4728" t="s">
        <v>31</v>
      </c>
    </row>
    <row r="4729" spans="1:12" x14ac:dyDescent="0.3">
      <c r="A4729" t="str">
        <f>"26983231"</f>
        <v>26983231</v>
      </c>
      <c r="B4729" t="s">
        <v>9096</v>
      </c>
      <c r="C4729" t="str">
        <f t="shared" si="333"/>
        <v>706</v>
      </c>
      <c r="D4729" t="s">
        <v>28</v>
      </c>
      <c r="E4729" t="s">
        <v>52</v>
      </c>
      <c r="F4729" t="s">
        <v>2795</v>
      </c>
      <c r="G4729" t="s">
        <v>9097</v>
      </c>
      <c r="H4729" t="str">
        <f>"9499"</f>
        <v>9499</v>
      </c>
      <c r="I4729" t="s">
        <v>31</v>
      </c>
    </row>
    <row r="4730" spans="1:12" x14ac:dyDescent="0.3">
      <c r="A4730" t="str">
        <f>"27006875"</f>
        <v>27006875</v>
      </c>
      <c r="B4730" t="s">
        <v>9098</v>
      </c>
      <c r="C4730" t="str">
        <f t="shared" si="333"/>
        <v>706</v>
      </c>
      <c r="D4730" t="s">
        <v>28</v>
      </c>
      <c r="E4730" t="s">
        <v>23</v>
      </c>
      <c r="F4730" t="s">
        <v>245</v>
      </c>
      <c r="G4730" t="s">
        <v>9099</v>
      </c>
      <c r="H4730" t="str">
        <f>"9499"</f>
        <v>9499</v>
      </c>
      <c r="I4730" t="s">
        <v>31</v>
      </c>
    </row>
    <row r="4731" spans="1:12" x14ac:dyDescent="0.3">
      <c r="A4731" t="str">
        <f>"27022374"</f>
        <v>27022374</v>
      </c>
      <c r="B4731" t="s">
        <v>9100</v>
      </c>
      <c r="C4731" t="str">
        <f t="shared" si="333"/>
        <v>706</v>
      </c>
      <c r="D4731" t="s">
        <v>28</v>
      </c>
      <c r="E4731" t="s">
        <v>23</v>
      </c>
      <c r="F4731" t="s">
        <v>24</v>
      </c>
      <c r="G4731" t="s">
        <v>9101</v>
      </c>
      <c r="H4731" t="str">
        <f>"93110"</f>
        <v>93110</v>
      </c>
      <c r="I4731" t="s">
        <v>92</v>
      </c>
    </row>
    <row r="4732" spans="1:12" x14ac:dyDescent="0.3">
      <c r="A4732" t="str">
        <f>"11632879"</f>
        <v>11632879</v>
      </c>
      <c r="B4732" t="s">
        <v>9102</v>
      </c>
      <c r="C4732" t="str">
        <f t="shared" si="333"/>
        <v>706</v>
      </c>
      <c r="D4732" t="s">
        <v>28</v>
      </c>
      <c r="E4732" t="s">
        <v>23</v>
      </c>
      <c r="F4732" t="s">
        <v>23</v>
      </c>
      <c r="G4732" t="s">
        <v>9103</v>
      </c>
      <c r="H4732" t="str">
        <f>"94993"</f>
        <v>94993</v>
      </c>
      <c r="I4732" t="s">
        <v>50</v>
      </c>
    </row>
    <row r="4733" spans="1:12" x14ac:dyDescent="0.3">
      <c r="A4733" t="str">
        <f>"05002699"</f>
        <v>05002699</v>
      </c>
      <c r="B4733" t="s">
        <v>9104</v>
      </c>
      <c r="C4733" t="str">
        <f t="shared" si="333"/>
        <v>706</v>
      </c>
      <c r="D4733" t="s">
        <v>28</v>
      </c>
      <c r="E4733" t="s">
        <v>83</v>
      </c>
      <c r="F4733" t="s">
        <v>537</v>
      </c>
      <c r="G4733" t="s">
        <v>9105</v>
      </c>
      <c r="H4733" t="str">
        <f>"94991"</f>
        <v>94991</v>
      </c>
      <c r="I4733" t="s">
        <v>433</v>
      </c>
    </row>
    <row r="4734" spans="1:12" x14ac:dyDescent="0.3">
      <c r="A4734" t="str">
        <f>"26524562"</f>
        <v>26524562</v>
      </c>
      <c r="B4734" t="s">
        <v>9106</v>
      </c>
      <c r="C4734" t="str">
        <f t="shared" si="333"/>
        <v>706</v>
      </c>
      <c r="D4734" t="s">
        <v>28</v>
      </c>
      <c r="E4734" t="s">
        <v>23</v>
      </c>
      <c r="F4734" t="s">
        <v>23</v>
      </c>
      <c r="G4734" t="s">
        <v>9107</v>
      </c>
      <c r="H4734" t="str">
        <f>"9499"</f>
        <v>9499</v>
      </c>
      <c r="I4734" t="s">
        <v>31</v>
      </c>
    </row>
    <row r="4735" spans="1:12" x14ac:dyDescent="0.3">
      <c r="A4735" t="str">
        <f>"69652180"</f>
        <v>69652180</v>
      </c>
      <c r="B4735" t="s">
        <v>9108</v>
      </c>
      <c r="C4735" t="str">
        <f t="shared" si="333"/>
        <v>706</v>
      </c>
      <c r="D4735" t="s">
        <v>28</v>
      </c>
      <c r="E4735" t="s">
        <v>83</v>
      </c>
      <c r="F4735" t="s">
        <v>83</v>
      </c>
      <c r="G4735" t="s">
        <v>9109</v>
      </c>
      <c r="H4735" t="str">
        <f>"9499"</f>
        <v>9499</v>
      </c>
      <c r="I4735" t="s">
        <v>31</v>
      </c>
    </row>
    <row r="4736" spans="1:12" x14ac:dyDescent="0.3">
      <c r="A4736" t="str">
        <f>"64509796"</f>
        <v>64509796</v>
      </c>
      <c r="B4736" t="s">
        <v>9110</v>
      </c>
      <c r="C4736" t="str">
        <f>"141"</f>
        <v>141</v>
      </c>
      <c r="D4736" t="s">
        <v>112</v>
      </c>
      <c r="E4736" t="s">
        <v>23</v>
      </c>
      <c r="F4736" t="s">
        <v>23</v>
      </c>
      <c r="G4736" t="s">
        <v>9111</v>
      </c>
      <c r="H4736" t="str">
        <f>"88"</f>
        <v>88</v>
      </c>
      <c r="I4736" t="s">
        <v>154</v>
      </c>
      <c r="J4736" t="s">
        <v>500</v>
      </c>
    </row>
    <row r="4737" spans="1:10" x14ac:dyDescent="0.3">
      <c r="A4737" t="str">
        <f>"04986679"</f>
        <v>04986679</v>
      </c>
      <c r="B4737" t="s">
        <v>9112</v>
      </c>
      <c r="C4737" t="str">
        <f>"706"</f>
        <v>706</v>
      </c>
      <c r="D4737" t="s">
        <v>28</v>
      </c>
      <c r="E4737" t="s">
        <v>83</v>
      </c>
      <c r="F4737" t="s">
        <v>183</v>
      </c>
      <c r="G4737" t="s">
        <v>9113</v>
      </c>
      <c r="H4737" t="str">
        <f>"9499"</f>
        <v>9499</v>
      </c>
      <c r="I4737" t="s">
        <v>31</v>
      </c>
    </row>
    <row r="4738" spans="1:10" x14ac:dyDescent="0.3">
      <c r="A4738" t="str">
        <f>"04611519"</f>
        <v>04611519</v>
      </c>
      <c r="B4738" t="s">
        <v>9114</v>
      </c>
      <c r="C4738" t="str">
        <f>"706"</f>
        <v>706</v>
      </c>
      <c r="D4738" t="s">
        <v>28</v>
      </c>
      <c r="E4738" t="s">
        <v>23</v>
      </c>
      <c r="F4738" t="s">
        <v>793</v>
      </c>
      <c r="G4738" t="s">
        <v>9115</v>
      </c>
      <c r="H4738" t="str">
        <f>"9499"</f>
        <v>9499</v>
      </c>
      <c r="I4738" t="s">
        <v>31</v>
      </c>
    </row>
    <row r="4739" spans="1:10" x14ac:dyDescent="0.3">
      <c r="A4739" t="str">
        <f>"26576767"</f>
        <v>26576767</v>
      </c>
      <c r="B4739" t="s">
        <v>9116</v>
      </c>
      <c r="C4739" t="str">
        <f>"706"</f>
        <v>706</v>
      </c>
      <c r="D4739" t="s">
        <v>28</v>
      </c>
      <c r="E4739" t="s">
        <v>23</v>
      </c>
      <c r="F4739" t="s">
        <v>23</v>
      </c>
      <c r="G4739" t="s">
        <v>9117</v>
      </c>
      <c r="H4739" t="str">
        <f>"93190"</f>
        <v>93190</v>
      </c>
      <c r="I4739" t="s">
        <v>59</v>
      </c>
    </row>
    <row r="4740" spans="1:10" x14ac:dyDescent="0.3">
      <c r="A4740" t="str">
        <f>"05698928"</f>
        <v>05698928</v>
      </c>
      <c r="B4740" t="s">
        <v>9118</v>
      </c>
      <c r="C4740" t="str">
        <f>"706"</f>
        <v>706</v>
      </c>
      <c r="D4740" t="s">
        <v>28</v>
      </c>
      <c r="E4740" t="s">
        <v>29</v>
      </c>
      <c r="F4740" t="s">
        <v>38</v>
      </c>
      <c r="G4740" t="s">
        <v>9119</v>
      </c>
      <c r="H4740" t="str">
        <f>"94996"</f>
        <v>94996</v>
      </c>
      <c r="I4740" t="s">
        <v>47</v>
      </c>
    </row>
    <row r="4741" spans="1:10" x14ac:dyDescent="0.3">
      <c r="A4741" t="str">
        <f>"22763422"</f>
        <v>22763422</v>
      </c>
      <c r="B4741" t="s">
        <v>9120</v>
      </c>
      <c r="C4741" t="str">
        <f>"706"</f>
        <v>706</v>
      </c>
      <c r="D4741" t="s">
        <v>28</v>
      </c>
      <c r="E4741" t="s">
        <v>23</v>
      </c>
      <c r="F4741" t="s">
        <v>99</v>
      </c>
      <c r="G4741" t="s">
        <v>9121</v>
      </c>
      <c r="H4741" t="str">
        <f>"94996"</f>
        <v>94996</v>
      </c>
      <c r="I4741" t="s">
        <v>47</v>
      </c>
    </row>
    <row r="4742" spans="1:10" x14ac:dyDescent="0.3">
      <c r="A4742" t="str">
        <f>"70965200"</f>
        <v>70965200</v>
      </c>
      <c r="B4742" t="s">
        <v>9122</v>
      </c>
      <c r="C4742" t="str">
        <f>"736"</f>
        <v>736</v>
      </c>
      <c r="D4742" t="s">
        <v>22</v>
      </c>
      <c r="E4742" t="s">
        <v>29</v>
      </c>
      <c r="F4742" t="s">
        <v>195</v>
      </c>
      <c r="G4742" t="s">
        <v>6389</v>
      </c>
      <c r="H4742" t="str">
        <f>"9499"</f>
        <v>9499</v>
      </c>
      <c r="I4742" t="s">
        <v>31</v>
      </c>
      <c r="J4742" t="s">
        <v>1125</v>
      </c>
    </row>
    <row r="4743" spans="1:10" x14ac:dyDescent="0.3">
      <c r="A4743" t="str">
        <f>"04918215"</f>
        <v>04918215</v>
      </c>
      <c r="B4743" t="s">
        <v>9123</v>
      </c>
      <c r="C4743" t="str">
        <f>"736"</f>
        <v>736</v>
      </c>
      <c r="D4743" t="s">
        <v>22</v>
      </c>
      <c r="E4743" t="s">
        <v>23</v>
      </c>
      <c r="F4743" t="s">
        <v>24</v>
      </c>
      <c r="G4743" t="s">
        <v>9124</v>
      </c>
      <c r="H4743" t="str">
        <f>"94996"</f>
        <v>94996</v>
      </c>
      <c r="I4743" t="s">
        <v>47</v>
      </c>
    </row>
    <row r="4744" spans="1:10" x14ac:dyDescent="0.3">
      <c r="A4744" t="str">
        <f>"46277374"</f>
        <v>46277374</v>
      </c>
      <c r="B4744" t="s">
        <v>9125</v>
      </c>
      <c r="C4744" t="str">
        <f t="shared" ref="C4744:C4754" si="334">"706"</f>
        <v>706</v>
      </c>
      <c r="D4744" t="s">
        <v>28</v>
      </c>
      <c r="E4744" t="s">
        <v>23</v>
      </c>
      <c r="F4744" t="s">
        <v>23</v>
      </c>
      <c r="G4744" t="s">
        <v>2571</v>
      </c>
      <c r="H4744" t="str">
        <f>"9499"</f>
        <v>9499</v>
      </c>
      <c r="I4744" t="s">
        <v>31</v>
      </c>
    </row>
    <row r="4745" spans="1:10" x14ac:dyDescent="0.3">
      <c r="A4745" t="str">
        <f>"70233021"</f>
        <v>70233021</v>
      </c>
      <c r="B4745" t="s">
        <v>9126</v>
      </c>
      <c r="C4745" t="str">
        <f t="shared" si="334"/>
        <v>706</v>
      </c>
      <c r="D4745" t="s">
        <v>28</v>
      </c>
      <c r="E4745" t="s">
        <v>29</v>
      </c>
      <c r="F4745" t="s">
        <v>702</v>
      </c>
      <c r="G4745" t="s">
        <v>1844</v>
      </c>
      <c r="H4745" t="str">
        <f>"94991"</f>
        <v>94991</v>
      </c>
      <c r="I4745" t="s">
        <v>433</v>
      </c>
    </row>
    <row r="4746" spans="1:10" x14ac:dyDescent="0.3">
      <c r="A4746" t="str">
        <f>"26596547"</f>
        <v>26596547</v>
      </c>
      <c r="B4746" t="s">
        <v>9127</v>
      </c>
      <c r="C4746" t="str">
        <f t="shared" si="334"/>
        <v>706</v>
      </c>
      <c r="D4746" t="s">
        <v>28</v>
      </c>
      <c r="E4746" t="s">
        <v>29</v>
      </c>
      <c r="F4746" t="s">
        <v>195</v>
      </c>
      <c r="G4746" t="s">
        <v>9128</v>
      </c>
      <c r="H4746" t="str">
        <f>"9499"</f>
        <v>9499</v>
      </c>
      <c r="I4746" t="s">
        <v>31</v>
      </c>
    </row>
    <row r="4747" spans="1:10" x14ac:dyDescent="0.3">
      <c r="A4747" t="str">
        <f>"09835148"</f>
        <v>09835148</v>
      </c>
      <c r="B4747" t="s">
        <v>9129</v>
      </c>
      <c r="C4747" t="str">
        <f t="shared" si="334"/>
        <v>706</v>
      </c>
      <c r="D4747" t="s">
        <v>28</v>
      </c>
      <c r="E4747" t="s">
        <v>23</v>
      </c>
      <c r="F4747" t="s">
        <v>107</v>
      </c>
      <c r="G4747" t="s">
        <v>9130</v>
      </c>
      <c r="H4747" t="str">
        <f>"9499"</f>
        <v>9499</v>
      </c>
      <c r="I4747" t="s">
        <v>31</v>
      </c>
    </row>
    <row r="4748" spans="1:10" x14ac:dyDescent="0.3">
      <c r="A4748" t="str">
        <f>"22863834"</f>
        <v>22863834</v>
      </c>
      <c r="B4748" t="s">
        <v>9131</v>
      </c>
      <c r="C4748" t="str">
        <f t="shared" si="334"/>
        <v>706</v>
      </c>
      <c r="D4748" t="s">
        <v>28</v>
      </c>
      <c r="E4748" t="s">
        <v>52</v>
      </c>
      <c r="F4748" t="s">
        <v>362</v>
      </c>
      <c r="G4748" t="s">
        <v>9132</v>
      </c>
      <c r="H4748" t="str">
        <f>"94999"</f>
        <v>94999</v>
      </c>
      <c r="I4748" t="s">
        <v>202</v>
      </c>
    </row>
    <row r="4749" spans="1:10" x14ac:dyDescent="0.3">
      <c r="A4749" t="str">
        <f>"03800911"</f>
        <v>03800911</v>
      </c>
      <c r="B4749" t="s">
        <v>9133</v>
      </c>
      <c r="C4749" t="str">
        <f t="shared" si="334"/>
        <v>706</v>
      </c>
      <c r="D4749" t="s">
        <v>28</v>
      </c>
      <c r="E4749" t="s">
        <v>23</v>
      </c>
      <c r="F4749" t="s">
        <v>23</v>
      </c>
      <c r="G4749" t="s">
        <v>1437</v>
      </c>
      <c r="H4749" t="str">
        <f>"9499"</f>
        <v>9499</v>
      </c>
      <c r="I4749" t="s">
        <v>31</v>
      </c>
    </row>
    <row r="4750" spans="1:10" x14ac:dyDescent="0.3">
      <c r="A4750" t="str">
        <f>"01931270"</f>
        <v>01931270</v>
      </c>
      <c r="B4750" t="s">
        <v>9134</v>
      </c>
      <c r="C4750" t="str">
        <f t="shared" si="334"/>
        <v>706</v>
      </c>
      <c r="D4750" t="s">
        <v>28</v>
      </c>
      <c r="E4750" t="s">
        <v>29</v>
      </c>
      <c r="F4750" t="s">
        <v>195</v>
      </c>
      <c r="G4750" t="s">
        <v>195</v>
      </c>
      <c r="H4750" t="str">
        <f>"9499"</f>
        <v>9499</v>
      </c>
      <c r="I4750" t="s">
        <v>31</v>
      </c>
    </row>
    <row r="4751" spans="1:10" x14ac:dyDescent="0.3">
      <c r="A4751" t="str">
        <f>"05409276"</f>
        <v>05409276</v>
      </c>
      <c r="B4751" t="s">
        <v>9135</v>
      </c>
      <c r="C4751" t="str">
        <f t="shared" si="334"/>
        <v>706</v>
      </c>
      <c r="D4751" t="s">
        <v>28</v>
      </c>
      <c r="E4751" t="s">
        <v>29</v>
      </c>
      <c r="F4751" t="s">
        <v>195</v>
      </c>
      <c r="G4751" t="s">
        <v>195</v>
      </c>
      <c r="H4751" t="str">
        <f>"9499"</f>
        <v>9499</v>
      </c>
      <c r="I4751" t="s">
        <v>31</v>
      </c>
    </row>
    <row r="4752" spans="1:10" x14ac:dyDescent="0.3">
      <c r="A4752" t="str">
        <f>"69650870"</f>
        <v>69650870</v>
      </c>
      <c r="B4752" t="s">
        <v>9136</v>
      </c>
      <c r="C4752" t="str">
        <f t="shared" si="334"/>
        <v>706</v>
      </c>
      <c r="D4752" t="s">
        <v>28</v>
      </c>
      <c r="E4752" t="s">
        <v>52</v>
      </c>
      <c r="F4752" t="s">
        <v>52</v>
      </c>
      <c r="G4752" t="s">
        <v>9137</v>
      </c>
      <c r="H4752" t="str">
        <f>"9499"</f>
        <v>9499</v>
      </c>
      <c r="I4752" t="s">
        <v>31</v>
      </c>
    </row>
    <row r="4753" spans="1:9" x14ac:dyDescent="0.3">
      <c r="A4753" t="str">
        <f>"05500389"</f>
        <v>05500389</v>
      </c>
      <c r="B4753" t="s">
        <v>9138</v>
      </c>
      <c r="C4753" t="str">
        <f t="shared" si="334"/>
        <v>706</v>
      </c>
      <c r="D4753" t="s">
        <v>28</v>
      </c>
      <c r="E4753" t="s">
        <v>29</v>
      </c>
      <c r="F4753" t="s">
        <v>38</v>
      </c>
      <c r="G4753" t="s">
        <v>38</v>
      </c>
      <c r="H4753" t="str">
        <f>"94120"</f>
        <v>94120</v>
      </c>
      <c r="I4753" t="s">
        <v>43</v>
      </c>
    </row>
    <row r="4754" spans="1:9" x14ac:dyDescent="0.3">
      <c r="A4754" t="str">
        <f>"22369449"</f>
        <v>22369449</v>
      </c>
      <c r="B4754" t="s">
        <v>9139</v>
      </c>
      <c r="C4754" t="str">
        <f t="shared" si="334"/>
        <v>706</v>
      </c>
      <c r="D4754" t="s">
        <v>28</v>
      </c>
      <c r="E4754" t="s">
        <v>23</v>
      </c>
      <c r="F4754" t="s">
        <v>23</v>
      </c>
      <c r="G4754" t="s">
        <v>279</v>
      </c>
      <c r="H4754" t="str">
        <f>"9499"</f>
        <v>9499</v>
      </c>
      <c r="I4754" t="s">
        <v>31</v>
      </c>
    </row>
    <row r="4755" spans="1:9" x14ac:dyDescent="0.3">
      <c r="A4755" t="str">
        <f>"73633593"</f>
        <v>73633593</v>
      </c>
      <c r="B4755" t="s">
        <v>9140</v>
      </c>
      <c r="C4755" t="str">
        <f>"722"</f>
        <v>722</v>
      </c>
      <c r="D4755" t="s">
        <v>315</v>
      </c>
      <c r="E4755" t="s">
        <v>29</v>
      </c>
      <c r="F4755" t="s">
        <v>117</v>
      </c>
      <c r="G4755" t="s">
        <v>7406</v>
      </c>
      <c r="H4755" t="str">
        <f>"94910"</f>
        <v>94910</v>
      </c>
      <c r="I4755" t="s">
        <v>316</v>
      </c>
    </row>
    <row r="4756" spans="1:9" x14ac:dyDescent="0.3">
      <c r="A4756" t="str">
        <f>"60369868"</f>
        <v>60369868</v>
      </c>
      <c r="B4756" t="s">
        <v>9141</v>
      </c>
      <c r="C4756" t="str">
        <f>"736"</f>
        <v>736</v>
      </c>
      <c r="D4756" t="s">
        <v>22</v>
      </c>
      <c r="E4756" t="s">
        <v>52</v>
      </c>
      <c r="F4756" t="s">
        <v>52</v>
      </c>
      <c r="G4756" t="s">
        <v>9142</v>
      </c>
      <c r="H4756" t="str">
        <f t="shared" ref="H4756:H4771" si="335">"9499"</f>
        <v>9499</v>
      </c>
      <c r="I4756" t="s">
        <v>31</v>
      </c>
    </row>
    <row r="4757" spans="1:9" x14ac:dyDescent="0.3">
      <c r="A4757" t="str">
        <f>"16361903"</f>
        <v>16361903</v>
      </c>
      <c r="B4757" t="s">
        <v>9143</v>
      </c>
      <c r="C4757" t="str">
        <f>"706"</f>
        <v>706</v>
      </c>
      <c r="D4757" t="s">
        <v>28</v>
      </c>
      <c r="E4757" t="s">
        <v>52</v>
      </c>
      <c r="F4757" t="s">
        <v>951</v>
      </c>
      <c r="G4757" t="s">
        <v>9144</v>
      </c>
      <c r="H4757" t="str">
        <f t="shared" si="335"/>
        <v>9499</v>
      </c>
      <c r="I4757" t="s">
        <v>31</v>
      </c>
    </row>
    <row r="4758" spans="1:9" x14ac:dyDescent="0.3">
      <c r="A4758" t="str">
        <f>"47933747"</f>
        <v>47933747</v>
      </c>
      <c r="B4758" t="s">
        <v>9145</v>
      </c>
      <c r="C4758" t="str">
        <f>"706"</f>
        <v>706</v>
      </c>
      <c r="D4758" t="s">
        <v>28</v>
      </c>
      <c r="E4758" t="s">
        <v>83</v>
      </c>
      <c r="F4758" t="s">
        <v>183</v>
      </c>
      <c r="G4758" t="s">
        <v>9146</v>
      </c>
      <c r="H4758" t="str">
        <f t="shared" si="335"/>
        <v>9499</v>
      </c>
      <c r="I4758" t="s">
        <v>31</v>
      </c>
    </row>
    <row r="4759" spans="1:9" x14ac:dyDescent="0.3">
      <c r="A4759" t="str">
        <f>"22855823"</f>
        <v>22855823</v>
      </c>
      <c r="B4759" t="s">
        <v>9147</v>
      </c>
      <c r="C4759" t="str">
        <f>"706"</f>
        <v>706</v>
      </c>
      <c r="D4759" t="s">
        <v>28</v>
      </c>
      <c r="E4759" t="s">
        <v>23</v>
      </c>
      <c r="F4759" t="s">
        <v>23</v>
      </c>
      <c r="G4759" t="s">
        <v>9148</v>
      </c>
      <c r="H4759" t="str">
        <f t="shared" si="335"/>
        <v>9499</v>
      </c>
      <c r="I4759" t="s">
        <v>31</v>
      </c>
    </row>
    <row r="4760" spans="1:9" x14ac:dyDescent="0.3">
      <c r="A4760" t="str">
        <f>"22839674"</f>
        <v>22839674</v>
      </c>
      <c r="B4760" t="s">
        <v>9149</v>
      </c>
      <c r="C4760" t="str">
        <f>"706"</f>
        <v>706</v>
      </c>
      <c r="D4760" t="s">
        <v>28</v>
      </c>
      <c r="E4760" t="s">
        <v>23</v>
      </c>
      <c r="F4760" t="s">
        <v>23</v>
      </c>
      <c r="G4760" t="s">
        <v>9150</v>
      </c>
      <c r="H4760" t="str">
        <f t="shared" si="335"/>
        <v>9499</v>
      </c>
      <c r="I4760" t="s">
        <v>31</v>
      </c>
    </row>
    <row r="4761" spans="1:9" x14ac:dyDescent="0.3">
      <c r="A4761" t="str">
        <f>"63459540"</f>
        <v>63459540</v>
      </c>
      <c r="B4761" t="s">
        <v>9151</v>
      </c>
      <c r="C4761" t="str">
        <f>"706"</f>
        <v>706</v>
      </c>
      <c r="D4761" t="s">
        <v>28</v>
      </c>
      <c r="E4761" t="s">
        <v>83</v>
      </c>
      <c r="F4761" t="s">
        <v>5486</v>
      </c>
      <c r="G4761" t="s">
        <v>9152</v>
      </c>
      <c r="H4761" t="str">
        <f t="shared" si="335"/>
        <v>9499</v>
      </c>
      <c r="I4761" t="s">
        <v>31</v>
      </c>
    </row>
    <row r="4762" spans="1:9" x14ac:dyDescent="0.3">
      <c r="A4762" t="str">
        <f>"62831895"</f>
        <v>62831895</v>
      </c>
      <c r="B4762" t="s">
        <v>9153</v>
      </c>
      <c r="C4762" t="str">
        <f t="shared" ref="C4762:C4771" si="336">"706"</f>
        <v>706</v>
      </c>
      <c r="D4762" t="s">
        <v>28</v>
      </c>
      <c r="E4762" t="s">
        <v>52</v>
      </c>
      <c r="F4762" t="s">
        <v>864</v>
      </c>
      <c r="G4762" t="s">
        <v>9154</v>
      </c>
      <c r="H4762" t="str">
        <f t="shared" si="335"/>
        <v>9499</v>
      </c>
      <c r="I4762" t="s">
        <v>31</v>
      </c>
    </row>
    <row r="4763" spans="1:9" x14ac:dyDescent="0.3">
      <c r="A4763" t="str">
        <f>"26653869"</f>
        <v>26653869</v>
      </c>
      <c r="B4763" t="s">
        <v>9155</v>
      </c>
      <c r="C4763" t="str">
        <f t="shared" si="336"/>
        <v>706</v>
      </c>
      <c r="D4763" t="s">
        <v>28</v>
      </c>
      <c r="E4763" t="s">
        <v>29</v>
      </c>
      <c r="F4763" t="s">
        <v>234</v>
      </c>
      <c r="G4763" t="s">
        <v>5568</v>
      </c>
      <c r="H4763" t="str">
        <f t="shared" si="335"/>
        <v>9499</v>
      </c>
      <c r="I4763" t="s">
        <v>31</v>
      </c>
    </row>
    <row r="4764" spans="1:9" x14ac:dyDescent="0.3">
      <c r="A4764" t="str">
        <f>"22837892"</f>
        <v>22837892</v>
      </c>
      <c r="B4764" t="s">
        <v>9156</v>
      </c>
      <c r="C4764" t="str">
        <f t="shared" si="336"/>
        <v>706</v>
      </c>
      <c r="D4764" t="s">
        <v>28</v>
      </c>
      <c r="E4764" t="s">
        <v>29</v>
      </c>
      <c r="F4764" t="s">
        <v>195</v>
      </c>
      <c r="G4764" t="s">
        <v>9157</v>
      </c>
      <c r="H4764" t="str">
        <f t="shared" si="335"/>
        <v>9499</v>
      </c>
      <c r="I4764" t="s">
        <v>31</v>
      </c>
    </row>
    <row r="4765" spans="1:9" x14ac:dyDescent="0.3">
      <c r="A4765" t="str">
        <f>"26621711"</f>
        <v>26621711</v>
      </c>
      <c r="B4765" t="s">
        <v>9158</v>
      </c>
      <c r="C4765" t="str">
        <f t="shared" si="336"/>
        <v>706</v>
      </c>
      <c r="D4765" t="s">
        <v>28</v>
      </c>
      <c r="E4765" t="s">
        <v>23</v>
      </c>
      <c r="F4765" t="s">
        <v>23</v>
      </c>
      <c r="G4765" t="s">
        <v>9159</v>
      </c>
      <c r="H4765" t="str">
        <f t="shared" si="335"/>
        <v>9499</v>
      </c>
      <c r="I4765" t="s">
        <v>31</v>
      </c>
    </row>
    <row r="4766" spans="1:9" x14ac:dyDescent="0.3">
      <c r="A4766" t="str">
        <f>"46998039"</f>
        <v>46998039</v>
      </c>
      <c r="B4766" t="s">
        <v>9160</v>
      </c>
      <c r="C4766" t="str">
        <f t="shared" si="336"/>
        <v>706</v>
      </c>
      <c r="D4766" t="s">
        <v>28</v>
      </c>
      <c r="E4766" t="s">
        <v>83</v>
      </c>
      <c r="F4766" t="s">
        <v>83</v>
      </c>
      <c r="G4766" t="s">
        <v>9161</v>
      </c>
      <c r="H4766" t="str">
        <f t="shared" si="335"/>
        <v>9499</v>
      </c>
      <c r="I4766" t="s">
        <v>31</v>
      </c>
    </row>
    <row r="4767" spans="1:9" x14ac:dyDescent="0.3">
      <c r="A4767" t="str">
        <f>"09151842"</f>
        <v>09151842</v>
      </c>
      <c r="B4767" t="s">
        <v>9162</v>
      </c>
      <c r="C4767" t="str">
        <f t="shared" si="336"/>
        <v>706</v>
      </c>
      <c r="D4767" t="s">
        <v>28</v>
      </c>
      <c r="E4767" t="s">
        <v>29</v>
      </c>
      <c r="F4767" t="s">
        <v>195</v>
      </c>
      <c r="G4767" t="s">
        <v>1618</v>
      </c>
      <c r="H4767" t="str">
        <f t="shared" si="335"/>
        <v>9499</v>
      </c>
      <c r="I4767" t="s">
        <v>31</v>
      </c>
    </row>
    <row r="4768" spans="1:9" x14ac:dyDescent="0.3">
      <c r="A4768" t="str">
        <f>"22891773"</f>
        <v>22891773</v>
      </c>
      <c r="B4768" t="s">
        <v>9163</v>
      </c>
      <c r="C4768" t="str">
        <f t="shared" si="336"/>
        <v>706</v>
      </c>
      <c r="D4768" t="s">
        <v>28</v>
      </c>
      <c r="E4768" t="s">
        <v>52</v>
      </c>
      <c r="F4768" t="s">
        <v>52</v>
      </c>
      <c r="G4768" t="s">
        <v>5137</v>
      </c>
      <c r="H4768" t="str">
        <f t="shared" si="335"/>
        <v>9499</v>
      </c>
      <c r="I4768" t="s">
        <v>31</v>
      </c>
    </row>
    <row r="4769" spans="1:11" x14ac:dyDescent="0.3">
      <c r="A4769" t="str">
        <f>"26634171"</f>
        <v>26634171</v>
      </c>
      <c r="B4769" t="s">
        <v>9164</v>
      </c>
      <c r="C4769" t="str">
        <f t="shared" si="336"/>
        <v>706</v>
      </c>
      <c r="D4769" t="s">
        <v>28</v>
      </c>
      <c r="E4769" t="s">
        <v>83</v>
      </c>
      <c r="F4769" t="s">
        <v>83</v>
      </c>
      <c r="G4769" t="s">
        <v>1561</v>
      </c>
      <c r="H4769" t="str">
        <f t="shared" si="335"/>
        <v>9499</v>
      </c>
      <c r="I4769" t="s">
        <v>31</v>
      </c>
    </row>
    <row r="4770" spans="1:11" x14ac:dyDescent="0.3">
      <c r="A4770" t="str">
        <f>"66610516"</f>
        <v>66610516</v>
      </c>
      <c r="B4770" t="s">
        <v>9165</v>
      </c>
      <c r="C4770" t="str">
        <f t="shared" si="336"/>
        <v>706</v>
      </c>
      <c r="D4770" t="s">
        <v>28</v>
      </c>
      <c r="E4770" t="s">
        <v>23</v>
      </c>
      <c r="F4770" t="s">
        <v>141</v>
      </c>
      <c r="G4770" t="s">
        <v>9166</v>
      </c>
      <c r="H4770" t="str">
        <f t="shared" si="335"/>
        <v>9499</v>
      </c>
      <c r="I4770" t="s">
        <v>31</v>
      </c>
    </row>
    <row r="4771" spans="1:11" x14ac:dyDescent="0.3">
      <c r="A4771" t="str">
        <f>"26579979"</f>
        <v>26579979</v>
      </c>
      <c r="B4771" t="s">
        <v>9167</v>
      </c>
      <c r="C4771" t="str">
        <f t="shared" si="336"/>
        <v>706</v>
      </c>
      <c r="D4771" t="s">
        <v>28</v>
      </c>
      <c r="E4771" t="s">
        <v>23</v>
      </c>
      <c r="F4771" t="s">
        <v>245</v>
      </c>
      <c r="G4771" t="s">
        <v>9168</v>
      </c>
      <c r="H4771" t="str">
        <f t="shared" si="335"/>
        <v>9499</v>
      </c>
      <c r="I4771" t="s">
        <v>31</v>
      </c>
    </row>
    <row r="4772" spans="1:11" x14ac:dyDescent="0.3">
      <c r="A4772" t="str">
        <f>"28638271"</f>
        <v>28638271</v>
      </c>
      <c r="B4772" t="s">
        <v>9169</v>
      </c>
      <c r="C4772" t="str">
        <f>"141"</f>
        <v>141</v>
      </c>
      <c r="D4772" t="s">
        <v>112</v>
      </c>
      <c r="E4772" t="s">
        <v>29</v>
      </c>
      <c r="F4772" t="s">
        <v>1590</v>
      </c>
      <c r="G4772" t="s">
        <v>9170</v>
      </c>
      <c r="H4772" t="str">
        <f>"702"</f>
        <v>702</v>
      </c>
      <c r="I4772" t="s">
        <v>1496</v>
      </c>
      <c r="J4772" t="s">
        <v>146</v>
      </c>
      <c r="K4772" t="s">
        <v>40</v>
      </c>
    </row>
    <row r="4773" spans="1:11" x14ac:dyDescent="0.3">
      <c r="A4773" t="str">
        <f>"64439500"</f>
        <v>64439500</v>
      </c>
      <c r="B4773" t="s">
        <v>9171</v>
      </c>
      <c r="C4773" t="str">
        <f>"706"</f>
        <v>706</v>
      </c>
      <c r="D4773" t="s">
        <v>28</v>
      </c>
      <c r="E4773" t="s">
        <v>52</v>
      </c>
      <c r="F4773" t="s">
        <v>80</v>
      </c>
      <c r="G4773" t="s">
        <v>1761</v>
      </c>
      <c r="H4773" t="str">
        <f>"9499"</f>
        <v>9499</v>
      </c>
      <c r="I4773" t="s">
        <v>31</v>
      </c>
    </row>
    <row r="4774" spans="1:11" x14ac:dyDescent="0.3">
      <c r="A4774" t="str">
        <f>"49157752"</f>
        <v>49157752</v>
      </c>
      <c r="B4774" t="s">
        <v>9172</v>
      </c>
      <c r="C4774" t="str">
        <f>"706"</f>
        <v>706</v>
      </c>
      <c r="D4774" t="s">
        <v>28</v>
      </c>
      <c r="E4774" t="s">
        <v>23</v>
      </c>
      <c r="F4774" t="s">
        <v>23</v>
      </c>
      <c r="G4774" t="s">
        <v>23</v>
      </c>
      <c r="H4774" t="str">
        <f>"9499"</f>
        <v>9499</v>
      </c>
      <c r="I4774" t="s">
        <v>31</v>
      </c>
    </row>
    <row r="4775" spans="1:11" x14ac:dyDescent="0.3">
      <c r="A4775" t="str">
        <f>"07721714"</f>
        <v>07721714</v>
      </c>
      <c r="B4775" t="s">
        <v>9173</v>
      </c>
      <c r="C4775" t="str">
        <f>"706"</f>
        <v>706</v>
      </c>
      <c r="D4775" t="s">
        <v>28</v>
      </c>
      <c r="E4775" t="s">
        <v>52</v>
      </c>
      <c r="F4775" t="s">
        <v>52</v>
      </c>
      <c r="G4775" t="s">
        <v>9174</v>
      </c>
      <c r="H4775" t="str">
        <f>"9499"</f>
        <v>9499</v>
      </c>
      <c r="I4775" t="s">
        <v>31</v>
      </c>
    </row>
    <row r="4776" spans="1:11" x14ac:dyDescent="0.3">
      <c r="A4776" t="str">
        <f>"70419124"</f>
        <v>70419124</v>
      </c>
      <c r="B4776" t="s">
        <v>9175</v>
      </c>
      <c r="C4776" t="str">
        <f t="shared" ref="C4776:C4837" si="337">"706"</f>
        <v>706</v>
      </c>
      <c r="D4776" t="s">
        <v>28</v>
      </c>
      <c r="E4776" t="s">
        <v>83</v>
      </c>
      <c r="F4776" t="s">
        <v>83</v>
      </c>
      <c r="G4776" t="s">
        <v>9176</v>
      </c>
      <c r="H4776" t="str">
        <f>"9499"</f>
        <v>9499</v>
      </c>
      <c r="I4776" t="s">
        <v>31</v>
      </c>
    </row>
    <row r="4777" spans="1:11" x14ac:dyDescent="0.3">
      <c r="A4777" t="str">
        <f>"68898240"</f>
        <v>68898240</v>
      </c>
      <c r="B4777" t="s">
        <v>9177</v>
      </c>
      <c r="C4777" t="str">
        <f t="shared" si="337"/>
        <v>706</v>
      </c>
      <c r="D4777" t="s">
        <v>28</v>
      </c>
      <c r="E4777" t="s">
        <v>29</v>
      </c>
      <c r="F4777" t="s">
        <v>45</v>
      </c>
      <c r="G4777" t="s">
        <v>9178</v>
      </c>
      <c r="H4777" t="str">
        <f>"9499"</f>
        <v>9499</v>
      </c>
      <c r="I4777" t="s">
        <v>31</v>
      </c>
    </row>
    <row r="4778" spans="1:11" x14ac:dyDescent="0.3">
      <c r="A4778" t="str">
        <f>"06048897"</f>
        <v>06048897</v>
      </c>
      <c r="B4778" t="s">
        <v>9179</v>
      </c>
      <c r="C4778" t="str">
        <f t="shared" si="337"/>
        <v>706</v>
      </c>
      <c r="D4778" t="s">
        <v>28</v>
      </c>
      <c r="E4778" t="s">
        <v>23</v>
      </c>
      <c r="F4778" t="s">
        <v>24</v>
      </c>
      <c r="G4778" t="s">
        <v>9180</v>
      </c>
      <c r="H4778" t="str">
        <f>"94993"</f>
        <v>94993</v>
      </c>
      <c r="I4778" t="s">
        <v>50</v>
      </c>
    </row>
    <row r="4779" spans="1:11" x14ac:dyDescent="0.3">
      <c r="A4779" t="str">
        <f>"06328709"</f>
        <v>06328709</v>
      </c>
      <c r="B4779" t="s">
        <v>9181</v>
      </c>
      <c r="C4779" t="str">
        <f t="shared" si="337"/>
        <v>706</v>
      </c>
      <c r="D4779" t="s">
        <v>28</v>
      </c>
      <c r="E4779" t="s">
        <v>23</v>
      </c>
      <c r="F4779" t="s">
        <v>23</v>
      </c>
      <c r="G4779" t="s">
        <v>2309</v>
      </c>
      <c r="H4779" t="str">
        <f>"94995"</f>
        <v>94995</v>
      </c>
      <c r="I4779" t="s">
        <v>232</v>
      </c>
    </row>
    <row r="4780" spans="1:11" x14ac:dyDescent="0.3">
      <c r="A4780" t="str">
        <f>"10861921"</f>
        <v>10861921</v>
      </c>
      <c r="B4780" t="s">
        <v>9182</v>
      </c>
      <c r="C4780" t="str">
        <f t="shared" si="337"/>
        <v>706</v>
      </c>
      <c r="D4780" t="s">
        <v>28</v>
      </c>
      <c r="E4780" t="s">
        <v>29</v>
      </c>
      <c r="F4780" t="s">
        <v>676</v>
      </c>
      <c r="G4780" t="s">
        <v>9183</v>
      </c>
      <c r="H4780" t="str">
        <f>"9499"</f>
        <v>9499</v>
      </c>
      <c r="I4780" t="s">
        <v>31</v>
      </c>
    </row>
    <row r="4781" spans="1:11" x14ac:dyDescent="0.3">
      <c r="A4781" t="str">
        <f>"26644584"</f>
        <v>26644584</v>
      </c>
      <c r="B4781" t="s">
        <v>9184</v>
      </c>
      <c r="C4781" t="str">
        <f t="shared" si="337"/>
        <v>706</v>
      </c>
      <c r="D4781" t="s">
        <v>28</v>
      </c>
      <c r="E4781" t="s">
        <v>29</v>
      </c>
      <c r="F4781" t="s">
        <v>607</v>
      </c>
      <c r="G4781" t="s">
        <v>9185</v>
      </c>
      <c r="H4781" t="str">
        <f>"9499"</f>
        <v>9499</v>
      </c>
      <c r="I4781" t="s">
        <v>31</v>
      </c>
    </row>
    <row r="4782" spans="1:11" x14ac:dyDescent="0.3">
      <c r="A4782" t="str">
        <f>"08061343"</f>
        <v>08061343</v>
      </c>
      <c r="B4782" t="s">
        <v>9186</v>
      </c>
      <c r="C4782" t="str">
        <f t="shared" si="337"/>
        <v>706</v>
      </c>
      <c r="D4782" t="s">
        <v>28</v>
      </c>
      <c r="E4782" t="s">
        <v>52</v>
      </c>
      <c r="F4782" t="s">
        <v>1955</v>
      </c>
      <c r="G4782" t="s">
        <v>1956</v>
      </c>
      <c r="H4782" t="str">
        <f>"9499"</f>
        <v>9499</v>
      </c>
      <c r="I4782" t="s">
        <v>31</v>
      </c>
    </row>
    <row r="4783" spans="1:11" x14ac:dyDescent="0.3">
      <c r="A4783" t="str">
        <f>"05940290"</f>
        <v>05940290</v>
      </c>
      <c r="B4783" t="s">
        <v>9187</v>
      </c>
      <c r="C4783" t="str">
        <f t="shared" si="337"/>
        <v>706</v>
      </c>
      <c r="D4783" t="s">
        <v>28</v>
      </c>
      <c r="E4783" t="s">
        <v>29</v>
      </c>
      <c r="F4783" t="s">
        <v>2177</v>
      </c>
      <c r="G4783" t="s">
        <v>9188</v>
      </c>
      <c r="H4783" t="str">
        <f>"9499"</f>
        <v>9499</v>
      </c>
      <c r="I4783" t="s">
        <v>31</v>
      </c>
      <c r="J4783" t="s">
        <v>1120</v>
      </c>
    </row>
    <row r="4784" spans="1:11" x14ac:dyDescent="0.3">
      <c r="A4784" t="str">
        <f>"22877991"</f>
        <v>22877991</v>
      </c>
      <c r="B4784" t="s">
        <v>9189</v>
      </c>
      <c r="C4784" t="str">
        <f t="shared" si="337"/>
        <v>706</v>
      </c>
      <c r="D4784" t="s">
        <v>28</v>
      </c>
      <c r="E4784" t="s">
        <v>83</v>
      </c>
      <c r="F4784" t="s">
        <v>83</v>
      </c>
      <c r="G4784" t="s">
        <v>9190</v>
      </c>
      <c r="H4784" t="str">
        <f>"94995"</f>
        <v>94995</v>
      </c>
      <c r="I4784" t="s">
        <v>232</v>
      </c>
    </row>
    <row r="4785" spans="1:9" x14ac:dyDescent="0.3">
      <c r="A4785" t="str">
        <f>"03691144"</f>
        <v>03691144</v>
      </c>
      <c r="B4785" t="s">
        <v>9191</v>
      </c>
      <c r="C4785" t="str">
        <f t="shared" si="337"/>
        <v>706</v>
      </c>
      <c r="D4785" t="s">
        <v>28</v>
      </c>
      <c r="E4785" t="s">
        <v>29</v>
      </c>
      <c r="F4785" t="s">
        <v>775</v>
      </c>
      <c r="G4785" t="s">
        <v>9192</v>
      </c>
      <c r="H4785" t="str">
        <f>"9499"</f>
        <v>9499</v>
      </c>
      <c r="I4785" t="s">
        <v>31</v>
      </c>
    </row>
    <row r="4786" spans="1:9" x14ac:dyDescent="0.3">
      <c r="A4786" t="str">
        <f>"07600861"</f>
        <v>07600861</v>
      </c>
      <c r="B4786" t="s">
        <v>9193</v>
      </c>
      <c r="C4786" t="str">
        <f t="shared" si="337"/>
        <v>706</v>
      </c>
      <c r="D4786" t="s">
        <v>28</v>
      </c>
      <c r="E4786" t="s">
        <v>29</v>
      </c>
      <c r="F4786" t="s">
        <v>271</v>
      </c>
      <c r="G4786" t="s">
        <v>9194</v>
      </c>
      <c r="H4786" t="str">
        <f>"9499"</f>
        <v>9499</v>
      </c>
      <c r="I4786" t="s">
        <v>31</v>
      </c>
    </row>
    <row r="4787" spans="1:9" x14ac:dyDescent="0.3">
      <c r="A4787" t="str">
        <f>"04647394"</f>
        <v>04647394</v>
      </c>
      <c r="B4787" t="s">
        <v>9195</v>
      </c>
      <c r="C4787" t="str">
        <f t="shared" si="337"/>
        <v>706</v>
      </c>
      <c r="D4787" t="s">
        <v>28</v>
      </c>
      <c r="E4787" t="s">
        <v>52</v>
      </c>
      <c r="F4787" t="s">
        <v>514</v>
      </c>
      <c r="G4787" t="s">
        <v>1674</v>
      </c>
      <c r="H4787" t="str">
        <f>"93190"</f>
        <v>93190</v>
      </c>
      <c r="I4787" t="s">
        <v>59</v>
      </c>
    </row>
    <row r="4788" spans="1:9" x14ac:dyDescent="0.3">
      <c r="A4788" t="str">
        <f>"69211655"</f>
        <v>69211655</v>
      </c>
      <c r="B4788" t="s">
        <v>9196</v>
      </c>
      <c r="C4788" t="str">
        <f t="shared" si="337"/>
        <v>706</v>
      </c>
      <c r="D4788" t="s">
        <v>28</v>
      </c>
      <c r="E4788" t="s">
        <v>29</v>
      </c>
      <c r="F4788" t="s">
        <v>29</v>
      </c>
      <c r="G4788" t="s">
        <v>1365</v>
      </c>
      <c r="H4788" t="str">
        <f>"94991"</f>
        <v>94991</v>
      </c>
      <c r="I4788" t="s">
        <v>433</v>
      </c>
    </row>
    <row r="4789" spans="1:9" x14ac:dyDescent="0.3">
      <c r="A4789" t="str">
        <f>"11899883"</f>
        <v>11899883</v>
      </c>
      <c r="B4789" t="s">
        <v>9197</v>
      </c>
      <c r="C4789" t="str">
        <f t="shared" si="337"/>
        <v>706</v>
      </c>
      <c r="D4789" t="s">
        <v>28</v>
      </c>
      <c r="E4789" t="s">
        <v>52</v>
      </c>
      <c r="F4789" t="s">
        <v>344</v>
      </c>
      <c r="G4789" t="s">
        <v>9198</v>
      </c>
      <c r="H4789" t="str">
        <f>"93190"</f>
        <v>93190</v>
      </c>
      <c r="I4789" t="s">
        <v>59</v>
      </c>
    </row>
    <row r="4790" spans="1:9" x14ac:dyDescent="0.3">
      <c r="A4790" t="str">
        <f>"69609683"</f>
        <v>69609683</v>
      </c>
      <c r="B4790" t="s">
        <v>9199</v>
      </c>
      <c r="C4790" t="str">
        <f t="shared" si="337"/>
        <v>706</v>
      </c>
      <c r="D4790" t="s">
        <v>28</v>
      </c>
      <c r="E4790" t="s">
        <v>23</v>
      </c>
      <c r="F4790" t="s">
        <v>23</v>
      </c>
      <c r="G4790" t="s">
        <v>7700</v>
      </c>
      <c r="H4790" t="str">
        <f>"9499"</f>
        <v>9499</v>
      </c>
      <c r="I4790" t="s">
        <v>31</v>
      </c>
    </row>
    <row r="4791" spans="1:9" x14ac:dyDescent="0.3">
      <c r="A4791" t="str">
        <f>"01853228"</f>
        <v>01853228</v>
      </c>
      <c r="B4791" t="s">
        <v>9200</v>
      </c>
      <c r="C4791" t="str">
        <f t="shared" si="337"/>
        <v>706</v>
      </c>
      <c r="D4791" t="s">
        <v>28</v>
      </c>
      <c r="E4791" t="s">
        <v>29</v>
      </c>
      <c r="F4791" t="s">
        <v>38</v>
      </c>
      <c r="G4791" t="s">
        <v>9201</v>
      </c>
      <c r="H4791" t="str">
        <f>"94993"</f>
        <v>94993</v>
      </c>
      <c r="I4791" t="s">
        <v>50</v>
      </c>
    </row>
    <row r="4792" spans="1:9" x14ac:dyDescent="0.3">
      <c r="A4792" t="str">
        <f>"01917315"</f>
        <v>01917315</v>
      </c>
      <c r="B4792" t="s">
        <v>9202</v>
      </c>
      <c r="C4792" t="str">
        <f t="shared" si="337"/>
        <v>706</v>
      </c>
      <c r="D4792" t="s">
        <v>28</v>
      </c>
      <c r="E4792" t="s">
        <v>23</v>
      </c>
      <c r="F4792" t="s">
        <v>23</v>
      </c>
      <c r="G4792" t="s">
        <v>9203</v>
      </c>
      <c r="H4792" t="str">
        <f>"9499"</f>
        <v>9499</v>
      </c>
      <c r="I4792" t="s">
        <v>31</v>
      </c>
    </row>
    <row r="4793" spans="1:9" x14ac:dyDescent="0.3">
      <c r="A4793" t="str">
        <f>"02197634"</f>
        <v>02197634</v>
      </c>
      <c r="B4793" t="s">
        <v>9204</v>
      </c>
      <c r="C4793" t="str">
        <f t="shared" si="337"/>
        <v>706</v>
      </c>
      <c r="D4793" t="s">
        <v>28</v>
      </c>
      <c r="E4793" t="s">
        <v>52</v>
      </c>
      <c r="F4793" t="s">
        <v>5502</v>
      </c>
      <c r="G4793" t="s">
        <v>9205</v>
      </c>
      <c r="H4793" t="str">
        <f>"9499"</f>
        <v>9499</v>
      </c>
      <c r="I4793" t="s">
        <v>31</v>
      </c>
    </row>
    <row r="4794" spans="1:9" x14ac:dyDescent="0.3">
      <c r="A4794" t="str">
        <f>"07325967"</f>
        <v>07325967</v>
      </c>
      <c r="B4794" t="s">
        <v>9206</v>
      </c>
      <c r="C4794" t="str">
        <f t="shared" si="337"/>
        <v>706</v>
      </c>
      <c r="D4794" t="s">
        <v>28</v>
      </c>
      <c r="E4794" t="s">
        <v>52</v>
      </c>
      <c r="F4794" t="s">
        <v>52</v>
      </c>
      <c r="G4794" t="s">
        <v>9207</v>
      </c>
      <c r="H4794" t="str">
        <f>"93190"</f>
        <v>93190</v>
      </c>
      <c r="I4794" t="s">
        <v>59</v>
      </c>
    </row>
    <row r="4795" spans="1:9" x14ac:dyDescent="0.3">
      <c r="A4795" t="str">
        <f>"27008665"</f>
        <v>27008665</v>
      </c>
      <c r="B4795" t="s">
        <v>9208</v>
      </c>
      <c r="C4795" t="str">
        <f t="shared" si="337"/>
        <v>706</v>
      </c>
      <c r="D4795" t="s">
        <v>28</v>
      </c>
      <c r="E4795" t="s">
        <v>52</v>
      </c>
      <c r="F4795" t="s">
        <v>113</v>
      </c>
      <c r="G4795" t="s">
        <v>9209</v>
      </c>
      <c r="H4795" t="str">
        <f t="shared" ref="H4795:H4803" si="338">"9499"</f>
        <v>9499</v>
      </c>
      <c r="I4795" t="s">
        <v>31</v>
      </c>
    </row>
    <row r="4796" spans="1:9" x14ac:dyDescent="0.3">
      <c r="A4796" t="str">
        <f>"08312028"</f>
        <v>08312028</v>
      </c>
      <c r="B4796" t="s">
        <v>9210</v>
      </c>
      <c r="C4796" t="str">
        <f t="shared" si="337"/>
        <v>706</v>
      </c>
      <c r="D4796" t="s">
        <v>28</v>
      </c>
      <c r="E4796" t="s">
        <v>52</v>
      </c>
      <c r="F4796" t="s">
        <v>1955</v>
      </c>
      <c r="G4796" t="s">
        <v>9211</v>
      </c>
      <c r="H4796" t="str">
        <f t="shared" si="338"/>
        <v>9499</v>
      </c>
      <c r="I4796" t="s">
        <v>31</v>
      </c>
    </row>
    <row r="4797" spans="1:9" x14ac:dyDescent="0.3">
      <c r="A4797" t="str">
        <f>"70901236"</f>
        <v>70901236</v>
      </c>
      <c r="B4797" t="s">
        <v>9212</v>
      </c>
      <c r="C4797" t="str">
        <f t="shared" si="337"/>
        <v>706</v>
      </c>
      <c r="D4797" t="s">
        <v>28</v>
      </c>
      <c r="E4797" t="s">
        <v>29</v>
      </c>
      <c r="F4797" t="s">
        <v>195</v>
      </c>
      <c r="G4797" t="s">
        <v>6196</v>
      </c>
      <c r="H4797" t="str">
        <f t="shared" si="338"/>
        <v>9499</v>
      </c>
      <c r="I4797" t="s">
        <v>31</v>
      </c>
    </row>
    <row r="4798" spans="1:9" x14ac:dyDescent="0.3">
      <c r="A4798" t="str">
        <f>"46311041"</f>
        <v>46311041</v>
      </c>
      <c r="B4798" t="s">
        <v>9213</v>
      </c>
      <c r="C4798" t="str">
        <f t="shared" si="337"/>
        <v>706</v>
      </c>
      <c r="D4798" t="s">
        <v>28</v>
      </c>
      <c r="E4798" t="s">
        <v>23</v>
      </c>
      <c r="F4798" t="s">
        <v>23</v>
      </c>
      <c r="G4798" t="s">
        <v>9214</v>
      </c>
      <c r="H4798" t="str">
        <f t="shared" si="338"/>
        <v>9499</v>
      </c>
      <c r="I4798" t="s">
        <v>31</v>
      </c>
    </row>
    <row r="4799" spans="1:9" x14ac:dyDescent="0.3">
      <c r="A4799" t="str">
        <f>"22893971"</f>
        <v>22893971</v>
      </c>
      <c r="B4799" t="s">
        <v>9215</v>
      </c>
      <c r="C4799" t="str">
        <f t="shared" si="337"/>
        <v>706</v>
      </c>
      <c r="D4799" t="s">
        <v>28</v>
      </c>
      <c r="E4799" t="s">
        <v>52</v>
      </c>
      <c r="F4799" t="s">
        <v>1894</v>
      </c>
      <c r="G4799" t="s">
        <v>9216</v>
      </c>
      <c r="H4799" t="str">
        <f t="shared" si="338"/>
        <v>9499</v>
      </c>
      <c r="I4799" t="s">
        <v>31</v>
      </c>
    </row>
    <row r="4800" spans="1:9" x14ac:dyDescent="0.3">
      <c r="A4800" t="str">
        <f>"07742339"</f>
        <v>07742339</v>
      </c>
      <c r="B4800" t="s">
        <v>9217</v>
      </c>
      <c r="C4800" t="str">
        <f t="shared" si="337"/>
        <v>706</v>
      </c>
      <c r="D4800" t="s">
        <v>28</v>
      </c>
      <c r="E4800" t="s">
        <v>83</v>
      </c>
      <c r="F4800" t="s">
        <v>1958</v>
      </c>
      <c r="G4800" t="s">
        <v>9218</v>
      </c>
      <c r="H4800" t="str">
        <f t="shared" si="338"/>
        <v>9499</v>
      </c>
      <c r="I4800" t="s">
        <v>31</v>
      </c>
    </row>
    <row r="4801" spans="1:11" x14ac:dyDescent="0.3">
      <c r="A4801" t="str">
        <f>"14449552"</f>
        <v>14449552</v>
      </c>
      <c r="B4801" t="s">
        <v>9219</v>
      </c>
      <c r="C4801" t="str">
        <f t="shared" si="337"/>
        <v>706</v>
      </c>
      <c r="D4801" t="s">
        <v>28</v>
      </c>
      <c r="E4801" t="s">
        <v>83</v>
      </c>
      <c r="F4801" t="s">
        <v>3513</v>
      </c>
      <c r="G4801" t="s">
        <v>9220</v>
      </c>
      <c r="H4801" t="str">
        <f t="shared" si="338"/>
        <v>9499</v>
      </c>
      <c r="I4801" t="s">
        <v>31</v>
      </c>
    </row>
    <row r="4802" spans="1:11" x14ac:dyDescent="0.3">
      <c r="A4802" t="str">
        <f>"02279070"</f>
        <v>02279070</v>
      </c>
      <c r="B4802" t="s">
        <v>9221</v>
      </c>
      <c r="C4802" t="str">
        <f t="shared" si="337"/>
        <v>706</v>
      </c>
      <c r="D4802" t="s">
        <v>28</v>
      </c>
      <c r="E4802" t="s">
        <v>23</v>
      </c>
      <c r="F4802" t="s">
        <v>350</v>
      </c>
      <c r="G4802" t="s">
        <v>9222</v>
      </c>
      <c r="H4802" t="str">
        <f t="shared" si="338"/>
        <v>9499</v>
      </c>
      <c r="I4802" t="s">
        <v>31</v>
      </c>
    </row>
    <row r="4803" spans="1:11" x14ac:dyDescent="0.3">
      <c r="A4803" t="str">
        <f>"06668071"</f>
        <v>06668071</v>
      </c>
      <c r="B4803" t="s">
        <v>9223</v>
      </c>
      <c r="C4803" t="str">
        <f t="shared" si="337"/>
        <v>706</v>
      </c>
      <c r="D4803" t="s">
        <v>28</v>
      </c>
      <c r="E4803" t="s">
        <v>52</v>
      </c>
      <c r="F4803" t="s">
        <v>739</v>
      </c>
      <c r="G4803" t="s">
        <v>9224</v>
      </c>
      <c r="H4803" t="str">
        <f t="shared" si="338"/>
        <v>9499</v>
      </c>
      <c r="I4803" t="s">
        <v>31</v>
      </c>
    </row>
    <row r="4804" spans="1:11" x14ac:dyDescent="0.3">
      <c r="A4804" t="str">
        <f>"22605975"</f>
        <v>22605975</v>
      </c>
      <c r="B4804" t="s">
        <v>9225</v>
      </c>
      <c r="C4804" t="str">
        <f t="shared" si="337"/>
        <v>706</v>
      </c>
      <c r="D4804" t="s">
        <v>28</v>
      </c>
      <c r="E4804" t="s">
        <v>52</v>
      </c>
      <c r="F4804" t="s">
        <v>52</v>
      </c>
      <c r="G4804" t="s">
        <v>9226</v>
      </c>
      <c r="H4804" t="str">
        <f>"93120"</f>
        <v>93120</v>
      </c>
      <c r="I4804" t="s">
        <v>54</v>
      </c>
    </row>
    <row r="4805" spans="1:11" x14ac:dyDescent="0.3">
      <c r="A4805" t="str">
        <f>"04906381"</f>
        <v>04906381</v>
      </c>
      <c r="B4805" t="s">
        <v>9227</v>
      </c>
      <c r="C4805" t="str">
        <f t="shared" si="337"/>
        <v>706</v>
      </c>
      <c r="D4805" t="s">
        <v>28</v>
      </c>
      <c r="E4805" t="s">
        <v>29</v>
      </c>
      <c r="F4805" t="s">
        <v>45</v>
      </c>
      <c r="G4805" t="s">
        <v>9228</v>
      </c>
      <c r="H4805" t="str">
        <f>"90010"</f>
        <v>90010</v>
      </c>
      <c r="I4805" t="s">
        <v>2014</v>
      </c>
    </row>
    <row r="4806" spans="1:11" x14ac:dyDescent="0.3">
      <c r="A4806" t="str">
        <f>"07860951"</f>
        <v>07860951</v>
      </c>
      <c r="B4806" t="s">
        <v>9229</v>
      </c>
      <c r="C4806" t="str">
        <f t="shared" si="337"/>
        <v>706</v>
      </c>
      <c r="D4806" t="s">
        <v>28</v>
      </c>
      <c r="E4806" t="s">
        <v>29</v>
      </c>
      <c r="F4806" t="s">
        <v>1221</v>
      </c>
      <c r="G4806" t="s">
        <v>9230</v>
      </c>
      <c r="H4806" t="str">
        <f>"9499"</f>
        <v>9499</v>
      </c>
      <c r="I4806" t="s">
        <v>31</v>
      </c>
    </row>
    <row r="4807" spans="1:11" x14ac:dyDescent="0.3">
      <c r="A4807" t="str">
        <f>"05992257"</f>
        <v>05992257</v>
      </c>
      <c r="B4807" t="s">
        <v>9231</v>
      </c>
      <c r="C4807" t="str">
        <f t="shared" si="337"/>
        <v>706</v>
      </c>
      <c r="D4807" t="s">
        <v>28</v>
      </c>
      <c r="E4807" t="s">
        <v>23</v>
      </c>
      <c r="F4807" t="s">
        <v>24</v>
      </c>
      <c r="G4807" t="s">
        <v>9232</v>
      </c>
      <c r="H4807" t="str">
        <f>"94996"</f>
        <v>94996</v>
      </c>
      <c r="I4807" t="s">
        <v>47</v>
      </c>
    </row>
    <row r="4808" spans="1:11" x14ac:dyDescent="0.3">
      <c r="A4808" t="str">
        <f>"22902121"</f>
        <v>22902121</v>
      </c>
      <c r="B4808" t="s">
        <v>9233</v>
      </c>
      <c r="C4808" t="str">
        <f t="shared" si="337"/>
        <v>706</v>
      </c>
      <c r="D4808" t="s">
        <v>28</v>
      </c>
      <c r="E4808" t="s">
        <v>83</v>
      </c>
      <c r="F4808" t="s">
        <v>83</v>
      </c>
      <c r="G4808" t="s">
        <v>9234</v>
      </c>
      <c r="H4808" t="str">
        <f>"9499"</f>
        <v>9499</v>
      </c>
      <c r="I4808" t="s">
        <v>31</v>
      </c>
    </row>
    <row r="4809" spans="1:11" x14ac:dyDescent="0.3">
      <c r="A4809" t="str">
        <f>"21441570"</f>
        <v>21441570</v>
      </c>
      <c r="B4809" t="s">
        <v>9235</v>
      </c>
      <c r="C4809" t="str">
        <f t="shared" si="337"/>
        <v>706</v>
      </c>
      <c r="D4809" t="s">
        <v>28</v>
      </c>
      <c r="E4809" t="s">
        <v>52</v>
      </c>
      <c r="F4809" t="s">
        <v>52</v>
      </c>
      <c r="G4809" t="s">
        <v>9236</v>
      </c>
      <c r="H4809" t="str">
        <f>"6820"</f>
        <v>6820</v>
      </c>
      <c r="I4809" t="s">
        <v>622</v>
      </c>
    </row>
    <row r="4810" spans="1:11" x14ac:dyDescent="0.3">
      <c r="A4810" t="str">
        <f>"21763623"</f>
        <v>21763623</v>
      </c>
      <c r="B4810" t="s">
        <v>9237</v>
      </c>
      <c r="C4810" t="str">
        <f t="shared" si="337"/>
        <v>706</v>
      </c>
      <c r="D4810" t="s">
        <v>28</v>
      </c>
      <c r="E4810" t="s">
        <v>23</v>
      </c>
      <c r="F4810" t="s">
        <v>35</v>
      </c>
      <c r="G4810" t="s">
        <v>9238</v>
      </c>
      <c r="H4810" t="str">
        <f>"9499"</f>
        <v>9499</v>
      </c>
      <c r="I4810" t="s">
        <v>31</v>
      </c>
      <c r="J4810" t="s">
        <v>163</v>
      </c>
      <c r="K4810" t="s">
        <v>59</v>
      </c>
    </row>
    <row r="4811" spans="1:11" x14ac:dyDescent="0.3">
      <c r="A4811" t="str">
        <f>"44005431"</f>
        <v>44005431</v>
      </c>
      <c r="B4811" t="s">
        <v>9239</v>
      </c>
      <c r="C4811" t="str">
        <f t="shared" si="337"/>
        <v>706</v>
      </c>
      <c r="D4811" t="s">
        <v>28</v>
      </c>
      <c r="E4811" t="s">
        <v>23</v>
      </c>
      <c r="F4811" t="s">
        <v>107</v>
      </c>
      <c r="G4811" t="s">
        <v>9240</v>
      </c>
      <c r="H4811" t="str">
        <f>"9499"</f>
        <v>9499</v>
      </c>
      <c r="I4811" t="s">
        <v>31</v>
      </c>
    </row>
    <row r="4812" spans="1:11" x14ac:dyDescent="0.3">
      <c r="A4812" t="str">
        <f>"03675939"</f>
        <v>03675939</v>
      </c>
      <c r="B4812" t="s">
        <v>9241</v>
      </c>
      <c r="C4812" t="str">
        <f t="shared" si="337"/>
        <v>706</v>
      </c>
      <c r="D4812" t="s">
        <v>28</v>
      </c>
      <c r="E4812" t="s">
        <v>23</v>
      </c>
      <c r="F4812" t="s">
        <v>99</v>
      </c>
      <c r="G4812" t="s">
        <v>9242</v>
      </c>
      <c r="H4812" t="str">
        <f>"9499"</f>
        <v>9499</v>
      </c>
      <c r="I4812" t="s">
        <v>31</v>
      </c>
    </row>
    <row r="4813" spans="1:11" x14ac:dyDescent="0.3">
      <c r="A4813" t="str">
        <f>"10912088"</f>
        <v>10912088</v>
      </c>
      <c r="B4813" t="s">
        <v>9243</v>
      </c>
      <c r="C4813" t="str">
        <f t="shared" si="337"/>
        <v>706</v>
      </c>
      <c r="D4813" t="s">
        <v>28</v>
      </c>
      <c r="E4813" t="s">
        <v>83</v>
      </c>
      <c r="F4813" t="s">
        <v>4471</v>
      </c>
      <c r="G4813" t="s">
        <v>6085</v>
      </c>
      <c r="H4813" t="str">
        <f>"9499"</f>
        <v>9499</v>
      </c>
      <c r="I4813" t="s">
        <v>31</v>
      </c>
    </row>
    <row r="4814" spans="1:11" x14ac:dyDescent="0.3">
      <c r="A4814" t="str">
        <f>"09427198"</f>
        <v>09427198</v>
      </c>
      <c r="B4814" t="s">
        <v>9244</v>
      </c>
      <c r="C4814" t="str">
        <f t="shared" si="337"/>
        <v>706</v>
      </c>
      <c r="D4814" t="s">
        <v>28</v>
      </c>
      <c r="E4814" t="s">
        <v>23</v>
      </c>
      <c r="F4814" t="s">
        <v>23</v>
      </c>
      <c r="G4814" t="s">
        <v>9245</v>
      </c>
      <c r="H4814" t="str">
        <f>"94996"</f>
        <v>94996</v>
      </c>
      <c r="I4814" t="s">
        <v>47</v>
      </c>
    </row>
    <row r="4815" spans="1:11" x14ac:dyDescent="0.3">
      <c r="A4815" t="str">
        <f>"22837302"</f>
        <v>22837302</v>
      </c>
      <c r="B4815" t="s">
        <v>9246</v>
      </c>
      <c r="C4815" t="str">
        <f t="shared" si="337"/>
        <v>706</v>
      </c>
      <c r="D4815" t="s">
        <v>28</v>
      </c>
      <c r="E4815" t="s">
        <v>52</v>
      </c>
      <c r="F4815" t="s">
        <v>1773</v>
      </c>
      <c r="G4815" t="s">
        <v>8078</v>
      </c>
      <c r="H4815" t="str">
        <f>"9499"</f>
        <v>9499</v>
      </c>
      <c r="I4815" t="s">
        <v>31</v>
      </c>
    </row>
    <row r="4816" spans="1:11" x14ac:dyDescent="0.3">
      <c r="A4816" t="str">
        <f>"22711830"</f>
        <v>22711830</v>
      </c>
      <c r="B4816" t="s">
        <v>9247</v>
      </c>
      <c r="C4816" t="str">
        <f t="shared" si="337"/>
        <v>706</v>
      </c>
      <c r="D4816" t="s">
        <v>28</v>
      </c>
      <c r="E4816" t="s">
        <v>23</v>
      </c>
      <c r="F4816" t="s">
        <v>296</v>
      </c>
      <c r="G4816" t="s">
        <v>9248</v>
      </c>
      <c r="H4816" t="str">
        <f>"93190"</f>
        <v>93190</v>
      </c>
      <c r="I4816" t="s">
        <v>59</v>
      </c>
    </row>
    <row r="4817" spans="1:9" x14ac:dyDescent="0.3">
      <c r="A4817" t="str">
        <f>"22867511"</f>
        <v>22867511</v>
      </c>
      <c r="B4817" t="s">
        <v>9249</v>
      </c>
      <c r="C4817" t="str">
        <f t="shared" si="337"/>
        <v>706</v>
      </c>
      <c r="D4817" t="s">
        <v>28</v>
      </c>
      <c r="E4817" t="s">
        <v>23</v>
      </c>
      <c r="F4817" t="s">
        <v>99</v>
      </c>
      <c r="G4817" t="s">
        <v>5451</v>
      </c>
      <c r="H4817" t="str">
        <f>"94995"</f>
        <v>94995</v>
      </c>
      <c r="I4817" t="s">
        <v>232</v>
      </c>
    </row>
    <row r="4818" spans="1:9" x14ac:dyDescent="0.3">
      <c r="A4818" t="str">
        <f>"09747958"</f>
        <v>09747958</v>
      </c>
      <c r="B4818" t="s">
        <v>9250</v>
      </c>
      <c r="C4818" t="str">
        <f t="shared" si="337"/>
        <v>706</v>
      </c>
      <c r="D4818" t="s">
        <v>28</v>
      </c>
      <c r="E4818" t="s">
        <v>29</v>
      </c>
      <c r="F4818" t="s">
        <v>195</v>
      </c>
      <c r="G4818" t="s">
        <v>9251</v>
      </c>
      <c r="H4818" t="str">
        <f t="shared" ref="H4818:H4824" si="339">"9499"</f>
        <v>9499</v>
      </c>
      <c r="I4818" t="s">
        <v>31</v>
      </c>
    </row>
    <row r="4819" spans="1:9" x14ac:dyDescent="0.3">
      <c r="A4819" t="str">
        <f>"27059804"</f>
        <v>27059804</v>
      </c>
      <c r="B4819" t="s">
        <v>9252</v>
      </c>
      <c r="C4819" t="str">
        <f t="shared" si="337"/>
        <v>706</v>
      </c>
      <c r="D4819" t="s">
        <v>28</v>
      </c>
      <c r="E4819" t="s">
        <v>23</v>
      </c>
      <c r="F4819" t="s">
        <v>4156</v>
      </c>
      <c r="G4819" t="s">
        <v>9253</v>
      </c>
      <c r="H4819" t="str">
        <f t="shared" si="339"/>
        <v>9499</v>
      </c>
      <c r="I4819" t="s">
        <v>31</v>
      </c>
    </row>
    <row r="4820" spans="1:9" x14ac:dyDescent="0.3">
      <c r="A4820" t="str">
        <f>"22864857"</f>
        <v>22864857</v>
      </c>
      <c r="B4820" t="s">
        <v>9254</v>
      </c>
      <c r="C4820" t="str">
        <f t="shared" si="337"/>
        <v>706</v>
      </c>
      <c r="D4820" t="s">
        <v>28</v>
      </c>
      <c r="E4820" t="s">
        <v>52</v>
      </c>
      <c r="F4820" t="s">
        <v>80</v>
      </c>
      <c r="G4820" t="s">
        <v>1761</v>
      </c>
      <c r="H4820" t="str">
        <f t="shared" si="339"/>
        <v>9499</v>
      </c>
      <c r="I4820" t="s">
        <v>31</v>
      </c>
    </row>
    <row r="4821" spans="1:9" x14ac:dyDescent="0.3">
      <c r="A4821" t="str">
        <f>"21253790"</f>
        <v>21253790</v>
      </c>
      <c r="B4821" t="s">
        <v>9255</v>
      </c>
      <c r="C4821" t="str">
        <f t="shared" si="337"/>
        <v>706</v>
      </c>
      <c r="D4821" t="s">
        <v>28</v>
      </c>
      <c r="E4821" t="s">
        <v>52</v>
      </c>
      <c r="F4821" t="s">
        <v>1212</v>
      </c>
      <c r="G4821" t="s">
        <v>9256</v>
      </c>
      <c r="H4821" t="str">
        <f t="shared" si="339"/>
        <v>9499</v>
      </c>
      <c r="I4821" t="s">
        <v>31</v>
      </c>
    </row>
    <row r="4822" spans="1:9" x14ac:dyDescent="0.3">
      <c r="A4822" t="str">
        <f>"04802616"</f>
        <v>04802616</v>
      </c>
      <c r="B4822" t="s">
        <v>9257</v>
      </c>
      <c r="C4822" t="str">
        <f t="shared" si="337"/>
        <v>706</v>
      </c>
      <c r="D4822" t="s">
        <v>28</v>
      </c>
      <c r="E4822" t="s">
        <v>23</v>
      </c>
      <c r="F4822" t="s">
        <v>23</v>
      </c>
      <c r="G4822" t="s">
        <v>9258</v>
      </c>
      <c r="H4822" t="str">
        <f t="shared" si="339"/>
        <v>9499</v>
      </c>
      <c r="I4822" t="s">
        <v>31</v>
      </c>
    </row>
    <row r="4823" spans="1:9" x14ac:dyDescent="0.3">
      <c r="A4823" t="str">
        <f>"01307037"</f>
        <v>01307037</v>
      </c>
      <c r="B4823" t="s">
        <v>9259</v>
      </c>
      <c r="C4823" t="str">
        <f t="shared" si="337"/>
        <v>706</v>
      </c>
      <c r="D4823" t="s">
        <v>28</v>
      </c>
      <c r="E4823" t="s">
        <v>29</v>
      </c>
      <c r="F4823" t="s">
        <v>29</v>
      </c>
      <c r="G4823" t="s">
        <v>9260</v>
      </c>
      <c r="H4823" t="str">
        <f t="shared" si="339"/>
        <v>9499</v>
      </c>
      <c r="I4823" t="s">
        <v>31</v>
      </c>
    </row>
    <row r="4824" spans="1:9" x14ac:dyDescent="0.3">
      <c r="A4824" t="str">
        <f>"02058936"</f>
        <v>02058936</v>
      </c>
      <c r="B4824" t="s">
        <v>9261</v>
      </c>
      <c r="C4824" t="str">
        <f t="shared" si="337"/>
        <v>706</v>
      </c>
      <c r="D4824" t="s">
        <v>28</v>
      </c>
      <c r="E4824" t="s">
        <v>23</v>
      </c>
      <c r="F4824" t="s">
        <v>68</v>
      </c>
      <c r="G4824" t="s">
        <v>9262</v>
      </c>
      <c r="H4824" t="str">
        <f t="shared" si="339"/>
        <v>9499</v>
      </c>
      <c r="I4824" t="s">
        <v>31</v>
      </c>
    </row>
    <row r="4825" spans="1:9" x14ac:dyDescent="0.3">
      <c r="A4825" t="str">
        <f>"22872078"</f>
        <v>22872078</v>
      </c>
      <c r="B4825" t="s">
        <v>9263</v>
      </c>
      <c r="C4825" t="str">
        <f t="shared" si="337"/>
        <v>706</v>
      </c>
      <c r="D4825" t="s">
        <v>28</v>
      </c>
      <c r="E4825" t="s">
        <v>29</v>
      </c>
      <c r="F4825" t="s">
        <v>195</v>
      </c>
      <c r="G4825" t="s">
        <v>4722</v>
      </c>
      <c r="H4825" t="str">
        <f>"94991"</f>
        <v>94991</v>
      </c>
      <c r="I4825" t="s">
        <v>433</v>
      </c>
    </row>
    <row r="4826" spans="1:9" x14ac:dyDescent="0.3">
      <c r="A4826" t="str">
        <f>"03141438"</f>
        <v>03141438</v>
      </c>
      <c r="B4826" t="s">
        <v>9264</v>
      </c>
      <c r="C4826" t="str">
        <f t="shared" si="337"/>
        <v>706</v>
      </c>
      <c r="D4826" t="s">
        <v>28</v>
      </c>
      <c r="E4826" t="s">
        <v>23</v>
      </c>
      <c r="F4826" t="s">
        <v>23</v>
      </c>
      <c r="G4826" t="s">
        <v>9265</v>
      </c>
      <c r="H4826" t="str">
        <f>"9499"</f>
        <v>9499</v>
      </c>
      <c r="I4826" t="s">
        <v>31</v>
      </c>
    </row>
    <row r="4827" spans="1:9" x14ac:dyDescent="0.3">
      <c r="A4827" t="str">
        <f>"22605738"</f>
        <v>22605738</v>
      </c>
      <c r="B4827" t="s">
        <v>9266</v>
      </c>
      <c r="C4827" t="str">
        <f t="shared" si="337"/>
        <v>706</v>
      </c>
      <c r="D4827" t="s">
        <v>28</v>
      </c>
      <c r="E4827" t="s">
        <v>23</v>
      </c>
      <c r="F4827" t="s">
        <v>107</v>
      </c>
      <c r="G4827" t="s">
        <v>4091</v>
      </c>
      <c r="H4827" t="str">
        <f>"9499"</f>
        <v>9499</v>
      </c>
      <c r="I4827" t="s">
        <v>31</v>
      </c>
    </row>
    <row r="4828" spans="1:9" x14ac:dyDescent="0.3">
      <c r="A4828" t="str">
        <f>"02766973"</f>
        <v>02766973</v>
      </c>
      <c r="B4828" t="s">
        <v>9267</v>
      </c>
      <c r="C4828" t="str">
        <f t="shared" si="337"/>
        <v>706</v>
      </c>
      <c r="D4828" t="s">
        <v>28</v>
      </c>
      <c r="E4828" t="s">
        <v>52</v>
      </c>
      <c r="F4828" t="s">
        <v>1229</v>
      </c>
      <c r="G4828" t="s">
        <v>9268</v>
      </c>
      <c r="H4828" t="str">
        <f>"93190"</f>
        <v>93190</v>
      </c>
      <c r="I4828" t="s">
        <v>59</v>
      </c>
    </row>
    <row r="4829" spans="1:9" x14ac:dyDescent="0.3">
      <c r="A4829" t="str">
        <f>"60370025"</f>
        <v>60370025</v>
      </c>
      <c r="B4829" t="s">
        <v>9269</v>
      </c>
      <c r="C4829" t="str">
        <f t="shared" si="337"/>
        <v>706</v>
      </c>
      <c r="D4829" t="s">
        <v>28</v>
      </c>
      <c r="E4829" t="s">
        <v>52</v>
      </c>
      <c r="F4829" t="s">
        <v>2038</v>
      </c>
      <c r="G4829" t="s">
        <v>8234</v>
      </c>
      <c r="H4829" t="str">
        <f>"9499"</f>
        <v>9499</v>
      </c>
      <c r="I4829" t="s">
        <v>31</v>
      </c>
    </row>
    <row r="4830" spans="1:9" x14ac:dyDescent="0.3">
      <c r="A4830" t="str">
        <f>"03187501"</f>
        <v>03187501</v>
      </c>
      <c r="B4830" t="s">
        <v>9270</v>
      </c>
      <c r="C4830" t="str">
        <f t="shared" si="337"/>
        <v>706</v>
      </c>
      <c r="D4830" t="s">
        <v>28</v>
      </c>
      <c r="E4830" t="s">
        <v>23</v>
      </c>
      <c r="F4830" t="s">
        <v>23</v>
      </c>
      <c r="G4830" t="s">
        <v>8716</v>
      </c>
      <c r="H4830" t="str">
        <f>"94993"</f>
        <v>94993</v>
      </c>
      <c r="I4830" t="s">
        <v>50</v>
      </c>
    </row>
    <row r="4831" spans="1:9" x14ac:dyDescent="0.3">
      <c r="A4831" t="str">
        <f>"22610383"</f>
        <v>22610383</v>
      </c>
      <c r="B4831" t="s">
        <v>9271</v>
      </c>
      <c r="C4831" t="str">
        <f t="shared" si="337"/>
        <v>706</v>
      </c>
      <c r="D4831" t="s">
        <v>28</v>
      </c>
      <c r="E4831" t="s">
        <v>52</v>
      </c>
      <c r="F4831" t="s">
        <v>1908</v>
      </c>
      <c r="G4831" t="s">
        <v>9272</v>
      </c>
      <c r="H4831" t="str">
        <f t="shared" ref="H4831:H4836" si="340">"9499"</f>
        <v>9499</v>
      </c>
      <c r="I4831" t="s">
        <v>31</v>
      </c>
    </row>
    <row r="4832" spans="1:9" x14ac:dyDescent="0.3">
      <c r="A4832" t="str">
        <f>"06146627"</f>
        <v>06146627</v>
      </c>
      <c r="B4832" t="s">
        <v>9273</v>
      </c>
      <c r="C4832" t="str">
        <f t="shared" si="337"/>
        <v>706</v>
      </c>
      <c r="D4832" t="s">
        <v>28</v>
      </c>
      <c r="E4832" t="s">
        <v>52</v>
      </c>
      <c r="F4832" t="s">
        <v>673</v>
      </c>
      <c r="G4832" t="s">
        <v>5261</v>
      </c>
      <c r="H4832" t="str">
        <f t="shared" si="340"/>
        <v>9499</v>
      </c>
      <c r="I4832" t="s">
        <v>31</v>
      </c>
    </row>
    <row r="4833" spans="1:11" x14ac:dyDescent="0.3">
      <c r="A4833" t="str">
        <f>"45211795"</f>
        <v>45211795</v>
      </c>
      <c r="B4833" t="s">
        <v>9274</v>
      </c>
      <c r="C4833" t="str">
        <f t="shared" si="337"/>
        <v>706</v>
      </c>
      <c r="D4833" t="s">
        <v>28</v>
      </c>
      <c r="E4833" t="s">
        <v>29</v>
      </c>
      <c r="F4833" t="s">
        <v>117</v>
      </c>
      <c r="G4833" t="s">
        <v>9275</v>
      </c>
      <c r="H4833" t="str">
        <f t="shared" si="340"/>
        <v>9499</v>
      </c>
      <c r="I4833" t="s">
        <v>31</v>
      </c>
    </row>
    <row r="4834" spans="1:11" x14ac:dyDescent="0.3">
      <c r="A4834" t="str">
        <f>"22822054"</f>
        <v>22822054</v>
      </c>
      <c r="B4834" t="s">
        <v>9276</v>
      </c>
      <c r="C4834" t="str">
        <f t="shared" si="337"/>
        <v>706</v>
      </c>
      <c r="D4834" t="s">
        <v>28</v>
      </c>
      <c r="E4834" t="s">
        <v>23</v>
      </c>
      <c r="F4834" t="s">
        <v>23</v>
      </c>
      <c r="G4834" t="s">
        <v>9277</v>
      </c>
      <c r="H4834" t="str">
        <f t="shared" si="340"/>
        <v>9499</v>
      </c>
      <c r="I4834" t="s">
        <v>31</v>
      </c>
    </row>
    <row r="4835" spans="1:11" x14ac:dyDescent="0.3">
      <c r="A4835" t="str">
        <f>"08245771"</f>
        <v>08245771</v>
      </c>
      <c r="B4835" t="s">
        <v>9278</v>
      </c>
      <c r="C4835" t="str">
        <f t="shared" si="337"/>
        <v>706</v>
      </c>
      <c r="D4835" t="s">
        <v>28</v>
      </c>
      <c r="E4835" t="s">
        <v>23</v>
      </c>
      <c r="F4835" t="s">
        <v>23</v>
      </c>
      <c r="G4835" t="s">
        <v>9279</v>
      </c>
      <c r="H4835" t="str">
        <f t="shared" si="340"/>
        <v>9499</v>
      </c>
      <c r="I4835" t="s">
        <v>31</v>
      </c>
    </row>
    <row r="4836" spans="1:11" x14ac:dyDescent="0.3">
      <c r="A4836" t="str">
        <f>"22759611"</f>
        <v>22759611</v>
      </c>
      <c r="B4836" t="s">
        <v>9280</v>
      </c>
      <c r="C4836" t="str">
        <f t="shared" si="337"/>
        <v>706</v>
      </c>
      <c r="D4836" t="s">
        <v>28</v>
      </c>
      <c r="E4836" t="s">
        <v>52</v>
      </c>
      <c r="F4836" t="s">
        <v>1676</v>
      </c>
      <c r="G4836" t="s">
        <v>1677</v>
      </c>
      <c r="H4836" t="str">
        <f t="shared" si="340"/>
        <v>9499</v>
      </c>
      <c r="I4836" t="s">
        <v>31</v>
      </c>
    </row>
    <row r="4837" spans="1:11" x14ac:dyDescent="0.3">
      <c r="A4837" t="str">
        <f>"22832459"</f>
        <v>22832459</v>
      </c>
      <c r="B4837" t="s">
        <v>9281</v>
      </c>
      <c r="C4837" t="str">
        <f t="shared" si="337"/>
        <v>706</v>
      </c>
      <c r="D4837" t="s">
        <v>28</v>
      </c>
      <c r="E4837" t="s">
        <v>29</v>
      </c>
      <c r="F4837" t="s">
        <v>29</v>
      </c>
      <c r="G4837" t="s">
        <v>9282</v>
      </c>
      <c r="H4837" t="str">
        <f>"94996"</f>
        <v>94996</v>
      </c>
      <c r="I4837" t="s">
        <v>47</v>
      </c>
    </row>
    <row r="4838" spans="1:11" x14ac:dyDescent="0.3">
      <c r="A4838" t="str">
        <f>"69211809"</f>
        <v>69211809</v>
      </c>
      <c r="B4838" t="s">
        <v>9283</v>
      </c>
      <c r="C4838" t="str">
        <f t="shared" ref="C4838:C4882" si="341">"706"</f>
        <v>706</v>
      </c>
      <c r="D4838" t="s">
        <v>28</v>
      </c>
      <c r="E4838" t="s">
        <v>29</v>
      </c>
      <c r="F4838" t="s">
        <v>29</v>
      </c>
      <c r="G4838" t="s">
        <v>9284</v>
      </c>
      <c r="H4838" t="str">
        <f>"94991"</f>
        <v>94991</v>
      </c>
      <c r="I4838" t="s">
        <v>433</v>
      </c>
    </row>
    <row r="4839" spans="1:11" x14ac:dyDescent="0.3">
      <c r="A4839" t="str">
        <f>"22677411"</f>
        <v>22677411</v>
      </c>
      <c r="B4839" t="s">
        <v>9285</v>
      </c>
      <c r="C4839" t="str">
        <f t="shared" si="341"/>
        <v>706</v>
      </c>
      <c r="D4839" t="s">
        <v>28</v>
      </c>
      <c r="E4839" t="s">
        <v>83</v>
      </c>
      <c r="F4839" t="s">
        <v>480</v>
      </c>
      <c r="G4839" t="s">
        <v>9286</v>
      </c>
      <c r="H4839" t="str">
        <f>"94991"</f>
        <v>94991</v>
      </c>
      <c r="I4839" t="s">
        <v>433</v>
      </c>
    </row>
    <row r="4840" spans="1:11" x14ac:dyDescent="0.3">
      <c r="A4840" t="str">
        <f>"02976617"</f>
        <v>02976617</v>
      </c>
      <c r="B4840" t="s">
        <v>9287</v>
      </c>
      <c r="C4840" t="str">
        <f t="shared" si="341"/>
        <v>706</v>
      </c>
      <c r="D4840" t="s">
        <v>28</v>
      </c>
      <c r="E4840" t="s">
        <v>29</v>
      </c>
      <c r="F4840" t="s">
        <v>29</v>
      </c>
      <c r="G4840" t="s">
        <v>9288</v>
      </c>
      <c r="H4840" t="str">
        <f t="shared" ref="H4840:H4847" si="342">"9499"</f>
        <v>9499</v>
      </c>
      <c r="I4840" t="s">
        <v>31</v>
      </c>
    </row>
    <row r="4841" spans="1:11" x14ac:dyDescent="0.3">
      <c r="A4841" t="str">
        <f>"26596458"</f>
        <v>26596458</v>
      </c>
      <c r="B4841" t="s">
        <v>9289</v>
      </c>
      <c r="C4841" t="str">
        <f t="shared" si="341"/>
        <v>706</v>
      </c>
      <c r="D4841" t="s">
        <v>28</v>
      </c>
      <c r="E4841" t="s">
        <v>29</v>
      </c>
      <c r="F4841" t="s">
        <v>852</v>
      </c>
      <c r="G4841" t="s">
        <v>1108</v>
      </c>
      <c r="H4841" t="str">
        <f t="shared" si="342"/>
        <v>9499</v>
      </c>
      <c r="I4841" t="s">
        <v>31</v>
      </c>
    </row>
    <row r="4842" spans="1:11" x14ac:dyDescent="0.3">
      <c r="A4842" t="str">
        <f>"06042988"</f>
        <v>06042988</v>
      </c>
      <c r="B4842" t="s">
        <v>9290</v>
      </c>
      <c r="C4842" t="str">
        <f t="shared" si="341"/>
        <v>706</v>
      </c>
      <c r="D4842" t="s">
        <v>28</v>
      </c>
      <c r="E4842" t="s">
        <v>23</v>
      </c>
      <c r="F4842" t="s">
        <v>68</v>
      </c>
      <c r="G4842" t="s">
        <v>9291</v>
      </c>
      <c r="H4842" t="str">
        <f t="shared" si="342"/>
        <v>9499</v>
      </c>
      <c r="I4842" t="s">
        <v>31</v>
      </c>
    </row>
    <row r="4843" spans="1:11" x14ac:dyDescent="0.3">
      <c r="A4843" t="str">
        <f>"21438374"</f>
        <v>21438374</v>
      </c>
      <c r="B4843" t="s">
        <v>9292</v>
      </c>
      <c r="C4843" t="str">
        <f t="shared" si="341"/>
        <v>706</v>
      </c>
      <c r="D4843" t="s">
        <v>28</v>
      </c>
      <c r="E4843" t="s">
        <v>52</v>
      </c>
      <c r="F4843" t="s">
        <v>52</v>
      </c>
      <c r="G4843" t="s">
        <v>6954</v>
      </c>
      <c r="H4843" t="str">
        <f t="shared" si="342"/>
        <v>9499</v>
      </c>
      <c r="I4843" t="s">
        <v>31</v>
      </c>
      <c r="J4843" t="s">
        <v>163</v>
      </c>
      <c r="K4843" t="s">
        <v>59</v>
      </c>
    </row>
    <row r="4844" spans="1:11" x14ac:dyDescent="0.3">
      <c r="A4844" t="str">
        <f>"05680328"</f>
        <v>05680328</v>
      </c>
      <c r="B4844" t="s">
        <v>9293</v>
      </c>
      <c r="C4844" t="str">
        <f t="shared" si="341"/>
        <v>706</v>
      </c>
      <c r="D4844" t="s">
        <v>28</v>
      </c>
      <c r="E4844" t="s">
        <v>83</v>
      </c>
      <c r="F4844" t="s">
        <v>183</v>
      </c>
      <c r="G4844" t="s">
        <v>9294</v>
      </c>
      <c r="H4844" t="str">
        <f t="shared" si="342"/>
        <v>9499</v>
      </c>
      <c r="I4844" t="s">
        <v>31</v>
      </c>
    </row>
    <row r="4845" spans="1:11" x14ac:dyDescent="0.3">
      <c r="A4845" t="str">
        <f>"01479989"</f>
        <v>01479989</v>
      </c>
      <c r="B4845" t="s">
        <v>9295</v>
      </c>
      <c r="C4845" t="str">
        <f t="shared" si="341"/>
        <v>706</v>
      </c>
      <c r="D4845" t="s">
        <v>28</v>
      </c>
      <c r="E4845" t="s">
        <v>52</v>
      </c>
      <c r="F4845" t="s">
        <v>52</v>
      </c>
      <c r="G4845" t="s">
        <v>7215</v>
      </c>
      <c r="H4845" t="str">
        <f t="shared" si="342"/>
        <v>9499</v>
      </c>
      <c r="I4845" t="s">
        <v>31</v>
      </c>
    </row>
    <row r="4846" spans="1:11" x14ac:dyDescent="0.3">
      <c r="A4846" t="str">
        <f>"27022749"</f>
        <v>27022749</v>
      </c>
      <c r="B4846" t="s">
        <v>9296</v>
      </c>
      <c r="C4846" t="str">
        <f t="shared" si="341"/>
        <v>706</v>
      </c>
      <c r="D4846" t="s">
        <v>28</v>
      </c>
      <c r="E4846" t="s">
        <v>52</v>
      </c>
      <c r="F4846" t="s">
        <v>52</v>
      </c>
      <c r="G4846" t="s">
        <v>7037</v>
      </c>
      <c r="H4846" t="str">
        <f t="shared" si="342"/>
        <v>9499</v>
      </c>
      <c r="I4846" t="s">
        <v>31</v>
      </c>
    </row>
    <row r="4847" spans="1:11" x14ac:dyDescent="0.3">
      <c r="A4847" t="str">
        <f>"02386976"</f>
        <v>02386976</v>
      </c>
      <c r="B4847" t="s">
        <v>9297</v>
      </c>
      <c r="C4847" t="str">
        <f t="shared" si="341"/>
        <v>706</v>
      </c>
      <c r="D4847" t="s">
        <v>28</v>
      </c>
      <c r="E4847" t="s">
        <v>29</v>
      </c>
      <c r="F4847" t="s">
        <v>195</v>
      </c>
      <c r="G4847" t="s">
        <v>9298</v>
      </c>
      <c r="H4847" t="str">
        <f t="shared" si="342"/>
        <v>9499</v>
      </c>
      <c r="I4847" t="s">
        <v>31</v>
      </c>
    </row>
    <row r="4848" spans="1:11" x14ac:dyDescent="0.3">
      <c r="A4848" t="str">
        <f>"22688455"</f>
        <v>22688455</v>
      </c>
      <c r="B4848" t="s">
        <v>9299</v>
      </c>
      <c r="C4848" t="str">
        <f t="shared" si="341"/>
        <v>706</v>
      </c>
      <c r="D4848" t="s">
        <v>28</v>
      </c>
      <c r="E4848" t="s">
        <v>52</v>
      </c>
      <c r="F4848" t="s">
        <v>234</v>
      </c>
      <c r="G4848" t="s">
        <v>4328</v>
      </c>
      <c r="H4848" t="str">
        <f>"90010"</f>
        <v>90010</v>
      </c>
      <c r="I4848" t="s">
        <v>2014</v>
      </c>
    </row>
    <row r="4849" spans="1:9" x14ac:dyDescent="0.3">
      <c r="A4849" t="str">
        <f>"05082501"</f>
        <v>05082501</v>
      </c>
      <c r="B4849" t="s">
        <v>9300</v>
      </c>
      <c r="C4849" t="str">
        <f t="shared" si="341"/>
        <v>706</v>
      </c>
      <c r="D4849" t="s">
        <v>28</v>
      </c>
      <c r="E4849" t="s">
        <v>52</v>
      </c>
      <c r="F4849" t="s">
        <v>80</v>
      </c>
      <c r="G4849" t="s">
        <v>1761</v>
      </c>
      <c r="H4849" t="str">
        <f>"0170"</f>
        <v>0170</v>
      </c>
      <c r="I4849" t="s">
        <v>1501</v>
      </c>
    </row>
    <row r="4850" spans="1:9" x14ac:dyDescent="0.3">
      <c r="A4850" t="str">
        <f>"04837274"</f>
        <v>04837274</v>
      </c>
      <c r="B4850" t="s">
        <v>9301</v>
      </c>
      <c r="C4850" t="str">
        <f t="shared" si="341"/>
        <v>706</v>
      </c>
      <c r="D4850" t="s">
        <v>28</v>
      </c>
      <c r="E4850" t="s">
        <v>83</v>
      </c>
      <c r="F4850" t="s">
        <v>540</v>
      </c>
      <c r="G4850" t="s">
        <v>4874</v>
      </c>
      <c r="H4850" t="str">
        <f>"9499"</f>
        <v>9499</v>
      </c>
      <c r="I4850" t="s">
        <v>31</v>
      </c>
    </row>
    <row r="4851" spans="1:9" x14ac:dyDescent="0.3">
      <c r="A4851" t="str">
        <f>"22904671"</f>
        <v>22904671</v>
      </c>
      <c r="B4851" t="s">
        <v>9302</v>
      </c>
      <c r="C4851" t="str">
        <f t="shared" si="341"/>
        <v>706</v>
      </c>
      <c r="D4851" t="s">
        <v>28</v>
      </c>
      <c r="E4851" t="s">
        <v>52</v>
      </c>
      <c r="F4851" t="s">
        <v>1440</v>
      </c>
      <c r="G4851" t="s">
        <v>1441</v>
      </c>
      <c r="H4851" t="str">
        <f>"9499"</f>
        <v>9499</v>
      </c>
      <c r="I4851" t="s">
        <v>31</v>
      </c>
    </row>
    <row r="4852" spans="1:9" x14ac:dyDescent="0.3">
      <c r="A4852" t="str">
        <f>"08022089"</f>
        <v>08022089</v>
      </c>
      <c r="B4852" t="s">
        <v>9303</v>
      </c>
      <c r="C4852" t="str">
        <f t="shared" si="341"/>
        <v>706</v>
      </c>
      <c r="D4852" t="s">
        <v>28</v>
      </c>
      <c r="E4852" t="s">
        <v>52</v>
      </c>
      <c r="F4852" t="s">
        <v>52</v>
      </c>
      <c r="G4852" t="s">
        <v>9304</v>
      </c>
      <c r="H4852" t="str">
        <f>"94995"</f>
        <v>94995</v>
      </c>
      <c r="I4852" t="s">
        <v>232</v>
      </c>
    </row>
    <row r="4853" spans="1:9" x14ac:dyDescent="0.3">
      <c r="A4853" t="str">
        <f>"08280576"</f>
        <v>08280576</v>
      </c>
      <c r="B4853" t="s">
        <v>9305</v>
      </c>
      <c r="C4853" t="str">
        <f t="shared" si="341"/>
        <v>706</v>
      </c>
      <c r="D4853" t="s">
        <v>28</v>
      </c>
      <c r="E4853" t="s">
        <v>29</v>
      </c>
      <c r="F4853" t="s">
        <v>1221</v>
      </c>
      <c r="G4853" t="s">
        <v>9306</v>
      </c>
      <c r="H4853" t="str">
        <f>"94995"</f>
        <v>94995</v>
      </c>
      <c r="I4853" t="s">
        <v>232</v>
      </c>
    </row>
    <row r="4854" spans="1:9" x14ac:dyDescent="0.3">
      <c r="A4854" t="str">
        <f>"07739079"</f>
        <v>07739079</v>
      </c>
      <c r="B4854" t="s">
        <v>9307</v>
      </c>
      <c r="C4854" t="str">
        <f t="shared" si="341"/>
        <v>706</v>
      </c>
      <c r="D4854" t="s">
        <v>28</v>
      </c>
      <c r="E4854" t="s">
        <v>23</v>
      </c>
      <c r="F4854" t="s">
        <v>5392</v>
      </c>
      <c r="G4854" t="s">
        <v>9308</v>
      </c>
      <c r="H4854" t="str">
        <f>"9499"</f>
        <v>9499</v>
      </c>
      <c r="I4854" t="s">
        <v>31</v>
      </c>
    </row>
    <row r="4855" spans="1:9" x14ac:dyDescent="0.3">
      <c r="A4855" t="str">
        <f>"22772391"</f>
        <v>22772391</v>
      </c>
      <c r="B4855" t="s">
        <v>9309</v>
      </c>
      <c r="C4855" t="str">
        <f t="shared" si="341"/>
        <v>706</v>
      </c>
      <c r="D4855" t="s">
        <v>28</v>
      </c>
      <c r="E4855" t="s">
        <v>23</v>
      </c>
      <c r="F4855" t="s">
        <v>23</v>
      </c>
      <c r="G4855" t="s">
        <v>9310</v>
      </c>
      <c r="H4855" t="str">
        <f>"94995"</f>
        <v>94995</v>
      </c>
      <c r="I4855" t="s">
        <v>232</v>
      </c>
    </row>
    <row r="4856" spans="1:9" x14ac:dyDescent="0.3">
      <c r="A4856" t="str">
        <f>"04338723"</f>
        <v>04338723</v>
      </c>
      <c r="B4856" t="s">
        <v>9311</v>
      </c>
      <c r="C4856" t="str">
        <f t="shared" si="341"/>
        <v>706</v>
      </c>
      <c r="D4856" t="s">
        <v>28</v>
      </c>
      <c r="E4856" t="s">
        <v>23</v>
      </c>
      <c r="F4856" t="s">
        <v>710</v>
      </c>
      <c r="G4856" t="s">
        <v>9312</v>
      </c>
      <c r="H4856" t="str">
        <f>"9499"</f>
        <v>9499</v>
      </c>
      <c r="I4856" t="s">
        <v>31</v>
      </c>
    </row>
    <row r="4857" spans="1:9" x14ac:dyDescent="0.3">
      <c r="A4857" t="str">
        <f>"03274233"</f>
        <v>03274233</v>
      </c>
      <c r="B4857" t="s">
        <v>9313</v>
      </c>
      <c r="C4857" t="str">
        <f t="shared" si="341"/>
        <v>706</v>
      </c>
      <c r="D4857" t="s">
        <v>28</v>
      </c>
      <c r="E4857" t="s">
        <v>52</v>
      </c>
      <c r="F4857" t="s">
        <v>52</v>
      </c>
      <c r="G4857" t="s">
        <v>9314</v>
      </c>
      <c r="H4857" t="str">
        <f>"9499"</f>
        <v>9499</v>
      </c>
      <c r="I4857" t="s">
        <v>31</v>
      </c>
    </row>
    <row r="4858" spans="1:9" x14ac:dyDescent="0.3">
      <c r="A4858" t="str">
        <f>"17787971"</f>
        <v>17787971</v>
      </c>
      <c r="B4858" t="s">
        <v>9315</v>
      </c>
      <c r="C4858" t="str">
        <f t="shared" si="341"/>
        <v>706</v>
      </c>
      <c r="D4858" t="s">
        <v>28</v>
      </c>
      <c r="E4858" t="s">
        <v>29</v>
      </c>
      <c r="F4858" t="s">
        <v>29</v>
      </c>
      <c r="G4858" t="s">
        <v>9316</v>
      </c>
      <c r="H4858" t="str">
        <f>"9499"</f>
        <v>9499</v>
      </c>
      <c r="I4858" t="s">
        <v>31</v>
      </c>
    </row>
    <row r="4859" spans="1:9" x14ac:dyDescent="0.3">
      <c r="A4859" t="str">
        <f>"22871098"</f>
        <v>22871098</v>
      </c>
      <c r="B4859" t="s">
        <v>9317</v>
      </c>
      <c r="C4859" t="str">
        <f t="shared" si="341"/>
        <v>706</v>
      </c>
      <c r="D4859" t="s">
        <v>28</v>
      </c>
      <c r="E4859" t="s">
        <v>83</v>
      </c>
      <c r="F4859" t="s">
        <v>6742</v>
      </c>
      <c r="G4859" t="s">
        <v>9318</v>
      </c>
      <c r="H4859" t="str">
        <f>"94995"</f>
        <v>94995</v>
      </c>
      <c r="I4859" t="s">
        <v>232</v>
      </c>
    </row>
    <row r="4860" spans="1:9" x14ac:dyDescent="0.3">
      <c r="A4860" t="str">
        <f>"67010130"</f>
        <v>67010130</v>
      </c>
      <c r="B4860" t="s">
        <v>9319</v>
      </c>
      <c r="C4860" t="str">
        <f t="shared" si="341"/>
        <v>706</v>
      </c>
      <c r="D4860" t="s">
        <v>28</v>
      </c>
      <c r="E4860" t="s">
        <v>23</v>
      </c>
      <c r="F4860" t="s">
        <v>350</v>
      </c>
      <c r="G4860" t="s">
        <v>9320</v>
      </c>
      <c r="H4860" t="str">
        <f>"94995"</f>
        <v>94995</v>
      </c>
      <c r="I4860" t="s">
        <v>232</v>
      </c>
    </row>
    <row r="4861" spans="1:9" x14ac:dyDescent="0.3">
      <c r="A4861" t="str">
        <f>"22735321"</f>
        <v>22735321</v>
      </c>
      <c r="B4861" t="s">
        <v>9321</v>
      </c>
      <c r="C4861" t="str">
        <f t="shared" si="341"/>
        <v>706</v>
      </c>
      <c r="D4861" t="s">
        <v>28</v>
      </c>
      <c r="E4861" t="s">
        <v>29</v>
      </c>
      <c r="F4861" t="s">
        <v>45</v>
      </c>
      <c r="G4861" t="s">
        <v>9322</v>
      </c>
      <c r="H4861" t="str">
        <f>"9499"</f>
        <v>9499</v>
      </c>
      <c r="I4861" t="s">
        <v>31</v>
      </c>
    </row>
    <row r="4862" spans="1:9" x14ac:dyDescent="0.3">
      <c r="A4862" t="str">
        <f>"27052575"</f>
        <v>27052575</v>
      </c>
      <c r="B4862" t="s">
        <v>9323</v>
      </c>
      <c r="C4862" t="str">
        <f t="shared" si="341"/>
        <v>706</v>
      </c>
      <c r="D4862" t="s">
        <v>28</v>
      </c>
      <c r="E4862" t="s">
        <v>29</v>
      </c>
      <c r="F4862" t="s">
        <v>775</v>
      </c>
      <c r="G4862" t="s">
        <v>9324</v>
      </c>
      <c r="H4862" t="str">
        <f>"93110"</f>
        <v>93110</v>
      </c>
      <c r="I4862" t="s">
        <v>92</v>
      </c>
    </row>
    <row r="4863" spans="1:9" x14ac:dyDescent="0.3">
      <c r="A4863" t="str">
        <f>"26992221"</f>
        <v>26992221</v>
      </c>
      <c r="B4863" t="s">
        <v>9325</v>
      </c>
      <c r="C4863" t="str">
        <f t="shared" si="341"/>
        <v>706</v>
      </c>
      <c r="D4863" t="s">
        <v>28</v>
      </c>
      <c r="E4863" t="s">
        <v>23</v>
      </c>
      <c r="F4863" t="s">
        <v>24</v>
      </c>
      <c r="G4863" t="s">
        <v>9326</v>
      </c>
      <c r="H4863" t="str">
        <f>"9499"</f>
        <v>9499</v>
      </c>
      <c r="I4863" t="s">
        <v>31</v>
      </c>
    </row>
    <row r="4864" spans="1:9" x14ac:dyDescent="0.3">
      <c r="A4864" t="str">
        <f>"22205233"</f>
        <v>22205233</v>
      </c>
      <c r="B4864" t="s">
        <v>9327</v>
      </c>
      <c r="C4864" t="str">
        <f t="shared" si="341"/>
        <v>706</v>
      </c>
      <c r="D4864" t="s">
        <v>28</v>
      </c>
      <c r="E4864" t="s">
        <v>23</v>
      </c>
      <c r="F4864" t="s">
        <v>23</v>
      </c>
      <c r="G4864" t="s">
        <v>9328</v>
      </c>
      <c r="H4864" t="str">
        <f>"9499"</f>
        <v>9499</v>
      </c>
      <c r="I4864" t="s">
        <v>31</v>
      </c>
    </row>
    <row r="4865" spans="1:10" x14ac:dyDescent="0.3">
      <c r="A4865" t="str">
        <f>"09414932"</f>
        <v>09414932</v>
      </c>
      <c r="B4865" t="s">
        <v>9329</v>
      </c>
      <c r="C4865" t="str">
        <f t="shared" si="341"/>
        <v>706</v>
      </c>
      <c r="D4865" t="s">
        <v>28</v>
      </c>
      <c r="E4865" t="s">
        <v>23</v>
      </c>
      <c r="F4865" t="s">
        <v>23</v>
      </c>
      <c r="G4865" t="s">
        <v>9330</v>
      </c>
      <c r="H4865" t="str">
        <f>"94996"</f>
        <v>94996</v>
      </c>
      <c r="I4865" t="s">
        <v>47</v>
      </c>
    </row>
    <row r="4866" spans="1:10" x14ac:dyDescent="0.3">
      <c r="A4866" t="str">
        <f>"02254221"</f>
        <v>02254221</v>
      </c>
      <c r="B4866" t="s">
        <v>9331</v>
      </c>
      <c r="C4866" t="str">
        <f t="shared" si="341"/>
        <v>706</v>
      </c>
      <c r="D4866" t="s">
        <v>28</v>
      </c>
      <c r="E4866" t="s">
        <v>83</v>
      </c>
      <c r="F4866" t="s">
        <v>175</v>
      </c>
      <c r="G4866" t="s">
        <v>9332</v>
      </c>
      <c r="H4866" t="str">
        <f>"9499"</f>
        <v>9499</v>
      </c>
      <c r="I4866" t="s">
        <v>31</v>
      </c>
    </row>
    <row r="4867" spans="1:10" x14ac:dyDescent="0.3">
      <c r="A4867" t="str">
        <f>"04703286"</f>
        <v>04703286</v>
      </c>
      <c r="B4867" t="s">
        <v>9333</v>
      </c>
      <c r="C4867" t="str">
        <f t="shared" si="341"/>
        <v>706</v>
      </c>
      <c r="D4867" t="s">
        <v>28</v>
      </c>
      <c r="E4867" t="s">
        <v>29</v>
      </c>
      <c r="F4867" t="s">
        <v>1121</v>
      </c>
      <c r="G4867" t="s">
        <v>9334</v>
      </c>
      <c r="H4867" t="str">
        <f>"9319"</f>
        <v>9319</v>
      </c>
      <c r="I4867" t="s">
        <v>59</v>
      </c>
    </row>
    <row r="4868" spans="1:10" x14ac:dyDescent="0.3">
      <c r="A4868" t="str">
        <f>"06611362"</f>
        <v>06611362</v>
      </c>
      <c r="B4868" t="s">
        <v>9335</v>
      </c>
      <c r="C4868" t="str">
        <f t="shared" si="341"/>
        <v>706</v>
      </c>
      <c r="D4868" t="s">
        <v>28</v>
      </c>
      <c r="E4868" t="s">
        <v>52</v>
      </c>
      <c r="F4868" t="s">
        <v>1955</v>
      </c>
      <c r="G4868" t="s">
        <v>1956</v>
      </c>
      <c r="H4868" t="str">
        <f>"9499"</f>
        <v>9499</v>
      </c>
      <c r="I4868" t="s">
        <v>31</v>
      </c>
    </row>
    <row r="4869" spans="1:10" x14ac:dyDescent="0.3">
      <c r="A4869" t="str">
        <f>"22694161"</f>
        <v>22694161</v>
      </c>
      <c r="B4869" t="s">
        <v>9336</v>
      </c>
      <c r="C4869" t="str">
        <f t="shared" si="341"/>
        <v>706</v>
      </c>
      <c r="D4869" t="s">
        <v>28</v>
      </c>
      <c r="E4869" t="s">
        <v>52</v>
      </c>
      <c r="F4869" t="s">
        <v>113</v>
      </c>
      <c r="G4869" t="s">
        <v>9337</v>
      </c>
      <c r="H4869" t="str">
        <f>"9499"</f>
        <v>9499</v>
      </c>
      <c r="I4869" t="s">
        <v>31</v>
      </c>
    </row>
    <row r="4870" spans="1:10" x14ac:dyDescent="0.3">
      <c r="A4870" t="str">
        <f>"49563084"</f>
        <v>49563084</v>
      </c>
      <c r="B4870" t="s">
        <v>9338</v>
      </c>
      <c r="C4870" t="str">
        <f t="shared" si="341"/>
        <v>706</v>
      </c>
      <c r="D4870" t="s">
        <v>28</v>
      </c>
      <c r="E4870" t="s">
        <v>29</v>
      </c>
      <c r="F4870" t="s">
        <v>45</v>
      </c>
      <c r="G4870" t="s">
        <v>9339</v>
      </c>
      <c r="H4870" t="str">
        <f>"9499"</f>
        <v>9499</v>
      </c>
      <c r="I4870" t="s">
        <v>31</v>
      </c>
    </row>
    <row r="4871" spans="1:10" x14ac:dyDescent="0.3">
      <c r="A4871" t="str">
        <f>"08113459"</f>
        <v>08113459</v>
      </c>
      <c r="B4871" t="s">
        <v>9340</v>
      </c>
      <c r="C4871" t="str">
        <f t="shared" si="341"/>
        <v>706</v>
      </c>
      <c r="D4871" t="s">
        <v>28</v>
      </c>
      <c r="E4871" t="s">
        <v>23</v>
      </c>
      <c r="F4871" t="s">
        <v>4569</v>
      </c>
      <c r="G4871" t="s">
        <v>4570</v>
      </c>
      <c r="H4871" t="str">
        <f>"94991"</f>
        <v>94991</v>
      </c>
      <c r="I4871" t="s">
        <v>433</v>
      </c>
      <c r="J4871" t="s">
        <v>258</v>
      </c>
    </row>
    <row r="4872" spans="1:10" x14ac:dyDescent="0.3">
      <c r="A4872" t="str">
        <f>"70640327"</f>
        <v>70640327</v>
      </c>
      <c r="B4872" t="s">
        <v>9341</v>
      </c>
      <c r="C4872" t="str">
        <f t="shared" si="341"/>
        <v>706</v>
      </c>
      <c r="D4872" t="s">
        <v>28</v>
      </c>
      <c r="E4872" t="s">
        <v>29</v>
      </c>
      <c r="F4872" t="s">
        <v>195</v>
      </c>
      <c r="G4872" t="s">
        <v>9342</v>
      </c>
      <c r="H4872" t="str">
        <f>"8790"</f>
        <v>8790</v>
      </c>
      <c r="I4872" t="s">
        <v>1187</v>
      </c>
    </row>
    <row r="4873" spans="1:10" x14ac:dyDescent="0.3">
      <c r="A4873" t="str">
        <f>"62830431"</f>
        <v>62830431</v>
      </c>
      <c r="B4873" t="s">
        <v>9343</v>
      </c>
      <c r="C4873" t="str">
        <f t="shared" si="341"/>
        <v>706</v>
      </c>
      <c r="D4873" t="s">
        <v>28</v>
      </c>
      <c r="E4873" t="s">
        <v>52</v>
      </c>
      <c r="F4873" t="s">
        <v>344</v>
      </c>
      <c r="G4873" t="s">
        <v>531</v>
      </c>
      <c r="H4873" t="str">
        <f>"9499"</f>
        <v>9499</v>
      </c>
      <c r="I4873" t="s">
        <v>31</v>
      </c>
    </row>
    <row r="4874" spans="1:10" x14ac:dyDescent="0.3">
      <c r="A4874" t="str">
        <f>"08440247"</f>
        <v>08440247</v>
      </c>
      <c r="B4874" t="s">
        <v>9344</v>
      </c>
      <c r="C4874" t="str">
        <f t="shared" si="341"/>
        <v>706</v>
      </c>
      <c r="D4874" t="s">
        <v>28</v>
      </c>
      <c r="E4874" t="s">
        <v>29</v>
      </c>
      <c r="F4874" t="s">
        <v>271</v>
      </c>
      <c r="G4874" t="s">
        <v>9345</v>
      </c>
      <c r="H4874" t="str">
        <f>"9499"</f>
        <v>9499</v>
      </c>
      <c r="I4874" t="s">
        <v>31</v>
      </c>
    </row>
    <row r="4875" spans="1:10" x14ac:dyDescent="0.3">
      <c r="A4875" t="str">
        <f>"04959116"</f>
        <v>04959116</v>
      </c>
      <c r="B4875" t="s">
        <v>9346</v>
      </c>
      <c r="C4875" t="str">
        <f t="shared" si="341"/>
        <v>706</v>
      </c>
      <c r="D4875" t="s">
        <v>28</v>
      </c>
      <c r="E4875" t="s">
        <v>52</v>
      </c>
      <c r="F4875" t="s">
        <v>113</v>
      </c>
      <c r="G4875" t="s">
        <v>9347</v>
      </c>
      <c r="H4875" t="str">
        <f>"9499"</f>
        <v>9499</v>
      </c>
      <c r="I4875" t="s">
        <v>31</v>
      </c>
    </row>
    <row r="4876" spans="1:10" x14ac:dyDescent="0.3">
      <c r="A4876" t="str">
        <f>"43961479"</f>
        <v>43961479</v>
      </c>
      <c r="B4876" t="s">
        <v>9348</v>
      </c>
      <c r="C4876" t="str">
        <f t="shared" si="341"/>
        <v>706</v>
      </c>
      <c r="D4876" t="s">
        <v>28</v>
      </c>
      <c r="E4876" t="s">
        <v>23</v>
      </c>
      <c r="F4876" t="s">
        <v>141</v>
      </c>
      <c r="G4876" t="s">
        <v>9349</v>
      </c>
      <c r="H4876" t="str">
        <f>"94120"</f>
        <v>94120</v>
      </c>
      <c r="I4876" t="s">
        <v>43</v>
      </c>
    </row>
    <row r="4877" spans="1:10" x14ac:dyDescent="0.3">
      <c r="A4877" t="str">
        <f>"11839805"</f>
        <v>11839805</v>
      </c>
      <c r="B4877" t="s">
        <v>9350</v>
      </c>
      <c r="C4877" t="str">
        <f t="shared" si="341"/>
        <v>706</v>
      </c>
      <c r="D4877" t="s">
        <v>28</v>
      </c>
      <c r="E4877" t="s">
        <v>23</v>
      </c>
      <c r="F4877" t="s">
        <v>23</v>
      </c>
      <c r="G4877" t="s">
        <v>9351</v>
      </c>
      <c r="H4877" t="str">
        <f t="shared" ref="H4877:H4894" si="343">"9499"</f>
        <v>9499</v>
      </c>
      <c r="I4877" t="s">
        <v>31</v>
      </c>
    </row>
    <row r="4878" spans="1:10" x14ac:dyDescent="0.3">
      <c r="A4878" t="str">
        <f>"26517272"</f>
        <v>26517272</v>
      </c>
      <c r="B4878" t="s">
        <v>9352</v>
      </c>
      <c r="C4878" t="str">
        <f t="shared" si="341"/>
        <v>706</v>
      </c>
      <c r="D4878" t="s">
        <v>28</v>
      </c>
      <c r="E4878" t="s">
        <v>29</v>
      </c>
      <c r="F4878" t="s">
        <v>29</v>
      </c>
      <c r="G4878" t="s">
        <v>2271</v>
      </c>
      <c r="H4878" t="str">
        <f t="shared" si="343"/>
        <v>9499</v>
      </c>
      <c r="I4878" t="s">
        <v>31</v>
      </c>
    </row>
    <row r="4879" spans="1:10" x14ac:dyDescent="0.3">
      <c r="A4879" t="str">
        <f>"27042782"</f>
        <v>27042782</v>
      </c>
      <c r="B4879" t="s">
        <v>9353</v>
      </c>
      <c r="C4879" t="str">
        <f t="shared" si="341"/>
        <v>706</v>
      </c>
      <c r="D4879" t="s">
        <v>28</v>
      </c>
      <c r="E4879" t="s">
        <v>23</v>
      </c>
      <c r="F4879" t="s">
        <v>23</v>
      </c>
      <c r="G4879" t="s">
        <v>9354</v>
      </c>
      <c r="H4879" t="str">
        <f t="shared" si="343"/>
        <v>9499</v>
      </c>
      <c r="I4879" t="s">
        <v>31</v>
      </c>
    </row>
    <row r="4880" spans="1:10" x14ac:dyDescent="0.3">
      <c r="A4880" t="str">
        <f>"06120903"</f>
        <v>06120903</v>
      </c>
      <c r="B4880" t="s">
        <v>9355</v>
      </c>
      <c r="C4880" t="str">
        <f t="shared" si="341"/>
        <v>706</v>
      </c>
      <c r="D4880" t="s">
        <v>28</v>
      </c>
      <c r="E4880" t="s">
        <v>29</v>
      </c>
      <c r="F4880" t="s">
        <v>390</v>
      </c>
      <c r="G4880" t="s">
        <v>9356</v>
      </c>
      <c r="H4880" t="str">
        <f t="shared" si="343"/>
        <v>9499</v>
      </c>
      <c r="I4880" t="s">
        <v>31</v>
      </c>
    </row>
    <row r="4881" spans="1:9" x14ac:dyDescent="0.3">
      <c r="A4881" t="str">
        <f>"03534723"</f>
        <v>03534723</v>
      </c>
      <c r="B4881" t="s">
        <v>9357</v>
      </c>
      <c r="C4881" t="str">
        <f t="shared" si="341"/>
        <v>706</v>
      </c>
      <c r="D4881" t="s">
        <v>28</v>
      </c>
      <c r="E4881" t="s">
        <v>29</v>
      </c>
      <c r="F4881" t="s">
        <v>38</v>
      </c>
      <c r="G4881" t="s">
        <v>9358</v>
      </c>
      <c r="H4881" t="str">
        <f t="shared" si="343"/>
        <v>9499</v>
      </c>
      <c r="I4881" t="s">
        <v>31</v>
      </c>
    </row>
    <row r="4882" spans="1:9" x14ac:dyDescent="0.3">
      <c r="A4882" t="str">
        <f>"01675940"</f>
        <v>01675940</v>
      </c>
      <c r="B4882" t="s">
        <v>9359</v>
      </c>
      <c r="C4882" t="str">
        <f t="shared" si="341"/>
        <v>706</v>
      </c>
      <c r="D4882" t="s">
        <v>28</v>
      </c>
      <c r="E4882" t="s">
        <v>83</v>
      </c>
      <c r="F4882" t="s">
        <v>1958</v>
      </c>
      <c r="G4882" t="s">
        <v>9360</v>
      </c>
      <c r="H4882" t="str">
        <f t="shared" si="343"/>
        <v>9499</v>
      </c>
      <c r="I4882" t="s">
        <v>31</v>
      </c>
    </row>
    <row r="4883" spans="1:9" x14ac:dyDescent="0.3">
      <c r="A4883" t="str">
        <f>"04276701"</f>
        <v>04276701</v>
      </c>
      <c r="B4883" t="s">
        <v>9361</v>
      </c>
      <c r="C4883" t="str">
        <f>"736"</f>
        <v>736</v>
      </c>
      <c r="D4883" t="s">
        <v>22</v>
      </c>
      <c r="E4883" t="s">
        <v>29</v>
      </c>
      <c r="F4883" t="s">
        <v>702</v>
      </c>
      <c r="G4883" t="s">
        <v>1844</v>
      </c>
      <c r="H4883" t="str">
        <f t="shared" si="343"/>
        <v>9499</v>
      </c>
      <c r="I4883" t="s">
        <v>31</v>
      </c>
    </row>
    <row r="4884" spans="1:9" x14ac:dyDescent="0.3">
      <c r="A4884" t="str">
        <f>"04096738"</f>
        <v>04096738</v>
      </c>
      <c r="B4884" t="s">
        <v>9362</v>
      </c>
      <c r="C4884" t="str">
        <f t="shared" ref="C4884:C4947" si="344">"706"</f>
        <v>706</v>
      </c>
      <c r="D4884" t="s">
        <v>28</v>
      </c>
      <c r="E4884" t="s">
        <v>29</v>
      </c>
      <c r="F4884" t="s">
        <v>5168</v>
      </c>
      <c r="G4884" t="s">
        <v>9363</v>
      </c>
      <c r="H4884" t="str">
        <f t="shared" si="343"/>
        <v>9499</v>
      </c>
      <c r="I4884" t="s">
        <v>31</v>
      </c>
    </row>
    <row r="4885" spans="1:9" x14ac:dyDescent="0.3">
      <c r="A4885" t="str">
        <f>"65766521"</f>
        <v>65766521</v>
      </c>
      <c r="B4885" t="s">
        <v>9364</v>
      </c>
      <c r="C4885" t="str">
        <f t="shared" si="344"/>
        <v>706</v>
      </c>
      <c r="D4885" t="s">
        <v>28</v>
      </c>
      <c r="E4885" t="s">
        <v>83</v>
      </c>
      <c r="F4885" t="s">
        <v>4274</v>
      </c>
      <c r="G4885" t="s">
        <v>5315</v>
      </c>
      <c r="H4885" t="str">
        <f t="shared" si="343"/>
        <v>9499</v>
      </c>
      <c r="I4885" t="s">
        <v>31</v>
      </c>
    </row>
    <row r="4886" spans="1:9" x14ac:dyDescent="0.3">
      <c r="A4886" t="str">
        <f>"03884520"</f>
        <v>03884520</v>
      </c>
      <c r="B4886" t="s">
        <v>9365</v>
      </c>
      <c r="C4886" t="str">
        <f t="shared" si="344"/>
        <v>706</v>
      </c>
      <c r="D4886" t="s">
        <v>28</v>
      </c>
      <c r="E4886" t="s">
        <v>52</v>
      </c>
      <c r="F4886" t="s">
        <v>52</v>
      </c>
      <c r="G4886" t="s">
        <v>9366</v>
      </c>
      <c r="H4886" t="str">
        <f t="shared" si="343"/>
        <v>9499</v>
      </c>
      <c r="I4886" t="s">
        <v>31</v>
      </c>
    </row>
    <row r="4887" spans="1:9" x14ac:dyDescent="0.3">
      <c r="A4887" t="str">
        <f>"02932938"</f>
        <v>02932938</v>
      </c>
      <c r="B4887" t="s">
        <v>9367</v>
      </c>
      <c r="C4887" t="str">
        <f t="shared" si="344"/>
        <v>706</v>
      </c>
      <c r="D4887" t="s">
        <v>28</v>
      </c>
      <c r="E4887" t="s">
        <v>23</v>
      </c>
      <c r="F4887" t="s">
        <v>23</v>
      </c>
      <c r="G4887" t="s">
        <v>204</v>
      </c>
      <c r="H4887" t="str">
        <f t="shared" si="343"/>
        <v>9499</v>
      </c>
      <c r="I4887" t="s">
        <v>31</v>
      </c>
    </row>
    <row r="4888" spans="1:9" x14ac:dyDescent="0.3">
      <c r="A4888" t="str">
        <f>"04387163"</f>
        <v>04387163</v>
      </c>
      <c r="B4888" t="s">
        <v>9368</v>
      </c>
      <c r="C4888" t="str">
        <f t="shared" si="344"/>
        <v>706</v>
      </c>
      <c r="D4888" t="s">
        <v>28</v>
      </c>
      <c r="E4888" t="s">
        <v>52</v>
      </c>
      <c r="F4888" t="s">
        <v>344</v>
      </c>
      <c r="G4888" t="s">
        <v>9369</v>
      </c>
      <c r="H4888" t="str">
        <f t="shared" si="343"/>
        <v>9499</v>
      </c>
      <c r="I4888" t="s">
        <v>31</v>
      </c>
    </row>
    <row r="4889" spans="1:9" x14ac:dyDescent="0.3">
      <c r="A4889" t="str">
        <f>"26571170"</f>
        <v>26571170</v>
      </c>
      <c r="B4889" t="s">
        <v>9370</v>
      </c>
      <c r="C4889" t="str">
        <f t="shared" si="344"/>
        <v>706</v>
      </c>
      <c r="D4889" t="s">
        <v>28</v>
      </c>
      <c r="E4889" t="s">
        <v>52</v>
      </c>
      <c r="F4889" t="s">
        <v>344</v>
      </c>
      <c r="G4889" t="s">
        <v>9371</v>
      </c>
      <c r="H4889" t="str">
        <f t="shared" si="343"/>
        <v>9499</v>
      </c>
      <c r="I4889" t="s">
        <v>31</v>
      </c>
    </row>
    <row r="4890" spans="1:9" x14ac:dyDescent="0.3">
      <c r="A4890" t="str">
        <f>"04063040"</f>
        <v>04063040</v>
      </c>
      <c r="B4890" t="s">
        <v>9372</v>
      </c>
      <c r="C4890" t="str">
        <f t="shared" si="344"/>
        <v>706</v>
      </c>
      <c r="D4890" t="s">
        <v>28</v>
      </c>
      <c r="E4890" t="s">
        <v>23</v>
      </c>
      <c r="F4890" t="s">
        <v>141</v>
      </c>
      <c r="G4890" t="s">
        <v>9373</v>
      </c>
      <c r="H4890" t="str">
        <f t="shared" si="343"/>
        <v>9499</v>
      </c>
      <c r="I4890" t="s">
        <v>31</v>
      </c>
    </row>
    <row r="4891" spans="1:9" x14ac:dyDescent="0.3">
      <c r="A4891" t="str">
        <f>"26994640"</f>
        <v>26994640</v>
      </c>
      <c r="B4891" t="s">
        <v>9374</v>
      </c>
      <c r="C4891" t="str">
        <f t="shared" si="344"/>
        <v>706</v>
      </c>
      <c r="D4891" t="s">
        <v>28</v>
      </c>
      <c r="E4891" t="s">
        <v>23</v>
      </c>
      <c r="F4891" t="s">
        <v>721</v>
      </c>
      <c r="G4891" t="s">
        <v>9375</v>
      </c>
      <c r="H4891" t="str">
        <f t="shared" si="343"/>
        <v>9499</v>
      </c>
      <c r="I4891" t="s">
        <v>31</v>
      </c>
    </row>
    <row r="4892" spans="1:9" x14ac:dyDescent="0.3">
      <c r="A4892" t="str">
        <f>"06415610"</f>
        <v>06415610</v>
      </c>
      <c r="B4892" t="s">
        <v>9376</v>
      </c>
      <c r="C4892" t="str">
        <f t="shared" si="344"/>
        <v>706</v>
      </c>
      <c r="D4892" t="s">
        <v>28</v>
      </c>
      <c r="E4892" t="s">
        <v>29</v>
      </c>
      <c r="F4892" t="s">
        <v>29</v>
      </c>
      <c r="G4892" t="s">
        <v>2440</v>
      </c>
      <c r="H4892" t="str">
        <f t="shared" si="343"/>
        <v>9499</v>
      </c>
      <c r="I4892" t="s">
        <v>31</v>
      </c>
    </row>
    <row r="4893" spans="1:9" x14ac:dyDescent="0.3">
      <c r="A4893" t="str">
        <f>"01246861"</f>
        <v>01246861</v>
      </c>
      <c r="B4893" t="s">
        <v>9377</v>
      </c>
      <c r="C4893" t="str">
        <f t="shared" si="344"/>
        <v>706</v>
      </c>
      <c r="D4893" t="s">
        <v>28</v>
      </c>
      <c r="E4893" t="s">
        <v>83</v>
      </c>
      <c r="F4893" t="s">
        <v>83</v>
      </c>
      <c r="G4893" t="s">
        <v>9378</v>
      </c>
      <c r="H4893" t="str">
        <f t="shared" si="343"/>
        <v>9499</v>
      </c>
      <c r="I4893" t="s">
        <v>31</v>
      </c>
    </row>
    <row r="4894" spans="1:9" x14ac:dyDescent="0.3">
      <c r="A4894" t="str">
        <f>"22569766"</f>
        <v>22569766</v>
      </c>
      <c r="B4894" t="s">
        <v>9379</v>
      </c>
      <c r="C4894" t="str">
        <f t="shared" si="344"/>
        <v>706</v>
      </c>
      <c r="D4894" t="s">
        <v>28</v>
      </c>
      <c r="E4894" t="s">
        <v>23</v>
      </c>
      <c r="F4894" t="s">
        <v>23</v>
      </c>
      <c r="G4894" t="s">
        <v>9380</v>
      </c>
      <c r="H4894" t="str">
        <f t="shared" si="343"/>
        <v>9499</v>
      </c>
      <c r="I4894" t="s">
        <v>31</v>
      </c>
    </row>
    <row r="4895" spans="1:9" x14ac:dyDescent="0.3">
      <c r="A4895" t="str">
        <f>"23357029"</f>
        <v>23357029</v>
      </c>
      <c r="B4895" t="s">
        <v>9381</v>
      </c>
      <c r="C4895" t="str">
        <f t="shared" si="344"/>
        <v>706</v>
      </c>
      <c r="D4895" t="s">
        <v>28</v>
      </c>
      <c r="E4895" t="s">
        <v>83</v>
      </c>
      <c r="F4895" t="s">
        <v>537</v>
      </c>
      <c r="G4895" t="s">
        <v>9382</v>
      </c>
      <c r="H4895" t="str">
        <f>"94991"</f>
        <v>94991</v>
      </c>
      <c r="I4895" t="s">
        <v>433</v>
      </c>
    </row>
    <row r="4896" spans="1:9" x14ac:dyDescent="0.3">
      <c r="A4896" t="str">
        <f>"22842519"</f>
        <v>22842519</v>
      </c>
      <c r="B4896" t="s">
        <v>9383</v>
      </c>
      <c r="C4896" t="str">
        <f t="shared" si="344"/>
        <v>706</v>
      </c>
      <c r="D4896" t="s">
        <v>28</v>
      </c>
      <c r="E4896" t="s">
        <v>29</v>
      </c>
      <c r="F4896" t="s">
        <v>135</v>
      </c>
      <c r="G4896" t="s">
        <v>9384</v>
      </c>
      <c r="H4896" t="str">
        <f>"94991"</f>
        <v>94991</v>
      </c>
      <c r="I4896" t="s">
        <v>433</v>
      </c>
    </row>
    <row r="4897" spans="1:9" x14ac:dyDescent="0.3">
      <c r="A4897" t="str">
        <f>"27001326"</f>
        <v>27001326</v>
      </c>
      <c r="B4897" t="s">
        <v>9385</v>
      </c>
      <c r="C4897" t="str">
        <f t="shared" si="344"/>
        <v>706</v>
      </c>
      <c r="D4897" t="s">
        <v>28</v>
      </c>
      <c r="E4897" t="s">
        <v>52</v>
      </c>
      <c r="F4897" t="s">
        <v>739</v>
      </c>
      <c r="G4897" t="s">
        <v>9386</v>
      </c>
      <c r="H4897" t="str">
        <f t="shared" ref="H4897:H4908" si="345">"9499"</f>
        <v>9499</v>
      </c>
      <c r="I4897" t="s">
        <v>31</v>
      </c>
    </row>
    <row r="4898" spans="1:9" x14ac:dyDescent="0.3">
      <c r="A4898" t="str">
        <f>"22673342"</f>
        <v>22673342</v>
      </c>
      <c r="B4898" t="s">
        <v>9387</v>
      </c>
      <c r="C4898" t="str">
        <f t="shared" si="344"/>
        <v>706</v>
      </c>
      <c r="D4898" t="s">
        <v>28</v>
      </c>
      <c r="E4898" t="s">
        <v>52</v>
      </c>
      <c r="F4898" t="s">
        <v>951</v>
      </c>
      <c r="G4898" t="s">
        <v>9388</v>
      </c>
      <c r="H4898" t="str">
        <f t="shared" si="345"/>
        <v>9499</v>
      </c>
      <c r="I4898" t="s">
        <v>31</v>
      </c>
    </row>
    <row r="4899" spans="1:9" x14ac:dyDescent="0.3">
      <c r="A4899" t="str">
        <f>"22886575"</f>
        <v>22886575</v>
      </c>
      <c r="B4899" t="s">
        <v>9389</v>
      </c>
      <c r="C4899" t="str">
        <f t="shared" si="344"/>
        <v>706</v>
      </c>
      <c r="D4899" t="s">
        <v>28</v>
      </c>
      <c r="E4899" t="s">
        <v>23</v>
      </c>
      <c r="F4899" t="s">
        <v>599</v>
      </c>
      <c r="G4899" t="s">
        <v>9390</v>
      </c>
      <c r="H4899" t="str">
        <f t="shared" si="345"/>
        <v>9499</v>
      </c>
      <c r="I4899" t="s">
        <v>31</v>
      </c>
    </row>
    <row r="4900" spans="1:9" x14ac:dyDescent="0.3">
      <c r="A4900" t="str">
        <f>"19835388"</f>
        <v>19835388</v>
      </c>
      <c r="B4900" t="s">
        <v>9391</v>
      </c>
      <c r="C4900" t="str">
        <f t="shared" si="344"/>
        <v>706</v>
      </c>
      <c r="D4900" t="s">
        <v>28</v>
      </c>
      <c r="E4900" t="s">
        <v>83</v>
      </c>
      <c r="F4900" t="s">
        <v>1545</v>
      </c>
      <c r="G4900" t="s">
        <v>2410</v>
      </c>
      <c r="H4900" t="str">
        <f t="shared" si="345"/>
        <v>9499</v>
      </c>
      <c r="I4900" t="s">
        <v>31</v>
      </c>
    </row>
    <row r="4901" spans="1:9" x14ac:dyDescent="0.3">
      <c r="A4901" t="str">
        <f>"08513180"</f>
        <v>08513180</v>
      </c>
      <c r="B4901" t="s">
        <v>9392</v>
      </c>
      <c r="C4901" t="str">
        <f t="shared" si="344"/>
        <v>706</v>
      </c>
      <c r="D4901" t="s">
        <v>28</v>
      </c>
      <c r="E4901" t="s">
        <v>83</v>
      </c>
      <c r="F4901" t="s">
        <v>84</v>
      </c>
      <c r="G4901" t="s">
        <v>5193</v>
      </c>
      <c r="H4901" t="str">
        <f t="shared" si="345"/>
        <v>9499</v>
      </c>
      <c r="I4901" t="s">
        <v>31</v>
      </c>
    </row>
    <row r="4902" spans="1:9" x14ac:dyDescent="0.3">
      <c r="A4902" t="str">
        <f>"26524902"</f>
        <v>26524902</v>
      </c>
      <c r="B4902" t="s">
        <v>9393</v>
      </c>
      <c r="C4902" t="str">
        <f t="shared" si="344"/>
        <v>706</v>
      </c>
      <c r="D4902" t="s">
        <v>28</v>
      </c>
      <c r="E4902" t="s">
        <v>29</v>
      </c>
      <c r="F4902" t="s">
        <v>29</v>
      </c>
      <c r="G4902" t="s">
        <v>2606</v>
      </c>
      <c r="H4902" t="str">
        <f t="shared" si="345"/>
        <v>9499</v>
      </c>
      <c r="I4902" t="s">
        <v>31</v>
      </c>
    </row>
    <row r="4903" spans="1:9" x14ac:dyDescent="0.3">
      <c r="A4903" t="str">
        <f>"22745441"</f>
        <v>22745441</v>
      </c>
      <c r="B4903" t="s">
        <v>9394</v>
      </c>
      <c r="C4903" t="str">
        <f t="shared" si="344"/>
        <v>706</v>
      </c>
      <c r="D4903" t="s">
        <v>28</v>
      </c>
      <c r="E4903" t="s">
        <v>23</v>
      </c>
      <c r="F4903" t="s">
        <v>306</v>
      </c>
      <c r="G4903" t="s">
        <v>9395</v>
      </c>
      <c r="H4903" t="str">
        <f t="shared" si="345"/>
        <v>9499</v>
      </c>
      <c r="I4903" t="s">
        <v>31</v>
      </c>
    </row>
    <row r="4904" spans="1:9" x14ac:dyDescent="0.3">
      <c r="A4904" t="str">
        <f>"06716067"</f>
        <v>06716067</v>
      </c>
      <c r="B4904" t="s">
        <v>9396</v>
      </c>
      <c r="C4904" t="str">
        <f t="shared" si="344"/>
        <v>706</v>
      </c>
      <c r="D4904" t="s">
        <v>28</v>
      </c>
      <c r="E4904" t="s">
        <v>23</v>
      </c>
      <c r="F4904" t="s">
        <v>87</v>
      </c>
      <c r="G4904" t="s">
        <v>9397</v>
      </c>
      <c r="H4904" t="str">
        <f t="shared" si="345"/>
        <v>9499</v>
      </c>
      <c r="I4904" t="s">
        <v>31</v>
      </c>
    </row>
    <row r="4905" spans="1:9" x14ac:dyDescent="0.3">
      <c r="A4905" t="str">
        <f>"69211647"</f>
        <v>69211647</v>
      </c>
      <c r="B4905" t="s">
        <v>9398</v>
      </c>
      <c r="C4905" t="str">
        <f t="shared" si="344"/>
        <v>706</v>
      </c>
      <c r="D4905" t="s">
        <v>28</v>
      </c>
      <c r="E4905" t="s">
        <v>29</v>
      </c>
      <c r="F4905" t="s">
        <v>29</v>
      </c>
      <c r="G4905" t="s">
        <v>9399</v>
      </c>
      <c r="H4905" t="str">
        <f t="shared" si="345"/>
        <v>9499</v>
      </c>
      <c r="I4905" t="s">
        <v>31</v>
      </c>
    </row>
    <row r="4906" spans="1:9" x14ac:dyDescent="0.3">
      <c r="A4906" t="str">
        <f>"19867298"</f>
        <v>19867298</v>
      </c>
      <c r="B4906" t="s">
        <v>9400</v>
      </c>
      <c r="C4906" t="str">
        <f t="shared" si="344"/>
        <v>706</v>
      </c>
      <c r="D4906" t="s">
        <v>28</v>
      </c>
      <c r="E4906" t="s">
        <v>29</v>
      </c>
      <c r="F4906" t="s">
        <v>29</v>
      </c>
      <c r="G4906" t="s">
        <v>9401</v>
      </c>
      <c r="H4906" t="str">
        <f t="shared" si="345"/>
        <v>9499</v>
      </c>
      <c r="I4906" t="s">
        <v>31</v>
      </c>
    </row>
    <row r="4907" spans="1:9" x14ac:dyDescent="0.3">
      <c r="A4907" t="str">
        <f>"21722005"</f>
        <v>21722005</v>
      </c>
      <c r="B4907" t="s">
        <v>9402</v>
      </c>
      <c r="C4907" t="str">
        <f t="shared" si="344"/>
        <v>706</v>
      </c>
      <c r="D4907" t="s">
        <v>28</v>
      </c>
      <c r="E4907" t="s">
        <v>52</v>
      </c>
      <c r="F4907" t="s">
        <v>951</v>
      </c>
      <c r="G4907" t="s">
        <v>9403</v>
      </c>
      <c r="H4907" t="str">
        <f t="shared" si="345"/>
        <v>9499</v>
      </c>
      <c r="I4907" t="s">
        <v>31</v>
      </c>
    </row>
    <row r="4908" spans="1:9" x14ac:dyDescent="0.3">
      <c r="A4908" t="str">
        <f>"07964595"</f>
        <v>07964595</v>
      </c>
      <c r="B4908" t="s">
        <v>9404</v>
      </c>
      <c r="C4908" t="str">
        <f t="shared" si="344"/>
        <v>706</v>
      </c>
      <c r="D4908" t="s">
        <v>28</v>
      </c>
      <c r="E4908" t="s">
        <v>29</v>
      </c>
      <c r="F4908" t="s">
        <v>195</v>
      </c>
      <c r="G4908" t="s">
        <v>9405</v>
      </c>
      <c r="H4908" t="str">
        <f t="shared" si="345"/>
        <v>9499</v>
      </c>
      <c r="I4908" t="s">
        <v>31</v>
      </c>
    </row>
    <row r="4909" spans="1:9" x14ac:dyDescent="0.3">
      <c r="A4909" t="str">
        <f>"22759298"</f>
        <v>22759298</v>
      </c>
      <c r="B4909" t="s">
        <v>9406</v>
      </c>
      <c r="C4909" t="str">
        <f t="shared" si="344"/>
        <v>706</v>
      </c>
      <c r="D4909" t="s">
        <v>28</v>
      </c>
      <c r="E4909" t="s">
        <v>83</v>
      </c>
      <c r="F4909" t="s">
        <v>183</v>
      </c>
      <c r="G4909" t="s">
        <v>9407</v>
      </c>
      <c r="H4909" t="str">
        <f>"94995"</f>
        <v>94995</v>
      </c>
      <c r="I4909" t="s">
        <v>232</v>
      </c>
    </row>
    <row r="4910" spans="1:9" x14ac:dyDescent="0.3">
      <c r="A4910" t="str">
        <f>"17158052"</f>
        <v>17158052</v>
      </c>
      <c r="B4910" t="s">
        <v>9408</v>
      </c>
      <c r="C4910" t="str">
        <f t="shared" si="344"/>
        <v>706</v>
      </c>
      <c r="D4910" t="s">
        <v>28</v>
      </c>
      <c r="E4910" t="s">
        <v>29</v>
      </c>
      <c r="F4910" t="s">
        <v>681</v>
      </c>
      <c r="G4910" t="s">
        <v>9409</v>
      </c>
      <c r="H4910" t="str">
        <f t="shared" ref="H4910:H4925" si="346">"9499"</f>
        <v>9499</v>
      </c>
      <c r="I4910" t="s">
        <v>31</v>
      </c>
    </row>
    <row r="4911" spans="1:9" x14ac:dyDescent="0.3">
      <c r="A4911" t="str">
        <f>"26651432"</f>
        <v>26651432</v>
      </c>
      <c r="B4911" t="s">
        <v>9410</v>
      </c>
      <c r="C4911" t="str">
        <f t="shared" si="344"/>
        <v>706</v>
      </c>
      <c r="D4911" t="s">
        <v>28</v>
      </c>
      <c r="E4911" t="s">
        <v>23</v>
      </c>
      <c r="F4911" t="s">
        <v>23</v>
      </c>
      <c r="G4911" t="s">
        <v>9411</v>
      </c>
      <c r="H4911" t="str">
        <f t="shared" si="346"/>
        <v>9499</v>
      </c>
      <c r="I4911" t="s">
        <v>31</v>
      </c>
    </row>
    <row r="4912" spans="1:9" x14ac:dyDescent="0.3">
      <c r="A4912" t="str">
        <f>"22612475"</f>
        <v>22612475</v>
      </c>
      <c r="B4912" t="s">
        <v>9412</v>
      </c>
      <c r="C4912" t="str">
        <f t="shared" si="344"/>
        <v>706</v>
      </c>
      <c r="D4912" t="s">
        <v>28</v>
      </c>
      <c r="E4912" t="s">
        <v>52</v>
      </c>
      <c r="F4912" t="s">
        <v>1622</v>
      </c>
      <c r="G4912" t="s">
        <v>5135</v>
      </c>
      <c r="H4912" t="str">
        <f t="shared" si="346"/>
        <v>9499</v>
      </c>
      <c r="I4912" t="s">
        <v>31</v>
      </c>
    </row>
    <row r="4913" spans="1:9" x14ac:dyDescent="0.3">
      <c r="A4913" t="str">
        <f>"03076024"</f>
        <v>03076024</v>
      </c>
      <c r="B4913" t="s">
        <v>9413</v>
      </c>
      <c r="C4913" t="str">
        <f t="shared" si="344"/>
        <v>706</v>
      </c>
      <c r="D4913" t="s">
        <v>28</v>
      </c>
      <c r="E4913" t="s">
        <v>29</v>
      </c>
      <c r="F4913" t="s">
        <v>29</v>
      </c>
      <c r="G4913" t="s">
        <v>2388</v>
      </c>
      <c r="H4913" t="str">
        <f t="shared" si="346"/>
        <v>9499</v>
      </c>
      <c r="I4913" t="s">
        <v>31</v>
      </c>
    </row>
    <row r="4914" spans="1:9" x14ac:dyDescent="0.3">
      <c r="A4914" t="str">
        <f>"23278838"</f>
        <v>23278838</v>
      </c>
      <c r="B4914" t="s">
        <v>9414</v>
      </c>
      <c r="C4914" t="str">
        <f t="shared" si="344"/>
        <v>706</v>
      </c>
      <c r="D4914" t="s">
        <v>28</v>
      </c>
      <c r="E4914" t="s">
        <v>23</v>
      </c>
      <c r="F4914" t="s">
        <v>4891</v>
      </c>
      <c r="G4914" t="s">
        <v>9415</v>
      </c>
      <c r="H4914" t="str">
        <f t="shared" si="346"/>
        <v>9499</v>
      </c>
      <c r="I4914" t="s">
        <v>31</v>
      </c>
    </row>
    <row r="4915" spans="1:9" x14ac:dyDescent="0.3">
      <c r="A4915" t="str">
        <f>"27037126"</f>
        <v>27037126</v>
      </c>
      <c r="B4915" t="s">
        <v>9416</v>
      </c>
      <c r="C4915" t="str">
        <f t="shared" si="344"/>
        <v>706</v>
      </c>
      <c r="D4915" t="s">
        <v>28</v>
      </c>
      <c r="E4915" t="s">
        <v>29</v>
      </c>
      <c r="F4915" t="s">
        <v>195</v>
      </c>
      <c r="G4915" t="s">
        <v>9417</v>
      </c>
      <c r="H4915" t="str">
        <f t="shared" si="346"/>
        <v>9499</v>
      </c>
      <c r="I4915" t="s">
        <v>31</v>
      </c>
    </row>
    <row r="4916" spans="1:9" x14ac:dyDescent="0.3">
      <c r="A4916" t="str">
        <f>"22818413"</f>
        <v>22818413</v>
      </c>
      <c r="B4916" t="s">
        <v>9418</v>
      </c>
      <c r="C4916" t="str">
        <f t="shared" si="344"/>
        <v>706</v>
      </c>
      <c r="D4916" t="s">
        <v>28</v>
      </c>
      <c r="E4916" t="s">
        <v>52</v>
      </c>
      <c r="F4916" t="s">
        <v>1676</v>
      </c>
      <c r="G4916" t="s">
        <v>9419</v>
      </c>
      <c r="H4916" t="str">
        <f t="shared" si="346"/>
        <v>9499</v>
      </c>
      <c r="I4916" t="s">
        <v>31</v>
      </c>
    </row>
    <row r="4917" spans="1:9" x14ac:dyDescent="0.3">
      <c r="A4917" t="str">
        <f>"03923436"</f>
        <v>03923436</v>
      </c>
      <c r="B4917" t="s">
        <v>9420</v>
      </c>
      <c r="C4917" t="str">
        <f t="shared" si="344"/>
        <v>706</v>
      </c>
      <c r="D4917" t="s">
        <v>28</v>
      </c>
      <c r="E4917" t="s">
        <v>29</v>
      </c>
      <c r="F4917" t="s">
        <v>653</v>
      </c>
      <c r="G4917" t="s">
        <v>9421</v>
      </c>
      <c r="H4917" t="str">
        <f t="shared" si="346"/>
        <v>9499</v>
      </c>
      <c r="I4917" t="s">
        <v>31</v>
      </c>
    </row>
    <row r="4918" spans="1:9" x14ac:dyDescent="0.3">
      <c r="A4918" t="str">
        <f>"49158295"</f>
        <v>49158295</v>
      </c>
      <c r="B4918" t="s">
        <v>9422</v>
      </c>
      <c r="C4918" t="str">
        <f t="shared" si="344"/>
        <v>706</v>
      </c>
      <c r="D4918" t="s">
        <v>28</v>
      </c>
      <c r="E4918" t="s">
        <v>23</v>
      </c>
      <c r="F4918" t="s">
        <v>35</v>
      </c>
      <c r="G4918" t="s">
        <v>9423</v>
      </c>
      <c r="H4918" t="str">
        <f t="shared" si="346"/>
        <v>9499</v>
      </c>
      <c r="I4918" t="s">
        <v>31</v>
      </c>
    </row>
    <row r="4919" spans="1:9" x14ac:dyDescent="0.3">
      <c r="A4919" t="str">
        <f>"01495356"</f>
        <v>01495356</v>
      </c>
      <c r="B4919" t="s">
        <v>9424</v>
      </c>
      <c r="C4919" t="str">
        <f t="shared" si="344"/>
        <v>706</v>
      </c>
      <c r="D4919" t="s">
        <v>28</v>
      </c>
      <c r="E4919" t="s">
        <v>52</v>
      </c>
      <c r="F4919" t="s">
        <v>113</v>
      </c>
      <c r="G4919" t="s">
        <v>9425</v>
      </c>
      <c r="H4919" t="str">
        <f t="shared" si="346"/>
        <v>9499</v>
      </c>
      <c r="I4919" t="s">
        <v>31</v>
      </c>
    </row>
    <row r="4920" spans="1:9" x14ac:dyDescent="0.3">
      <c r="A4920" t="str">
        <f>"70901911"</f>
        <v>70901911</v>
      </c>
      <c r="B4920" t="s">
        <v>9426</v>
      </c>
      <c r="C4920" t="str">
        <f t="shared" si="344"/>
        <v>706</v>
      </c>
      <c r="D4920" t="s">
        <v>28</v>
      </c>
      <c r="E4920" t="s">
        <v>23</v>
      </c>
      <c r="F4920" t="s">
        <v>68</v>
      </c>
      <c r="G4920" t="s">
        <v>9427</v>
      </c>
      <c r="H4920" t="str">
        <f t="shared" si="346"/>
        <v>9499</v>
      </c>
      <c r="I4920" t="s">
        <v>31</v>
      </c>
    </row>
    <row r="4921" spans="1:9" x14ac:dyDescent="0.3">
      <c r="A4921" t="str">
        <f>"22670475"</f>
        <v>22670475</v>
      </c>
      <c r="B4921" t="s">
        <v>9428</v>
      </c>
      <c r="C4921" t="str">
        <f t="shared" si="344"/>
        <v>706</v>
      </c>
      <c r="D4921" t="s">
        <v>28</v>
      </c>
      <c r="E4921" t="s">
        <v>52</v>
      </c>
      <c r="F4921" t="s">
        <v>52</v>
      </c>
      <c r="G4921" t="s">
        <v>9429</v>
      </c>
      <c r="H4921" t="str">
        <f t="shared" si="346"/>
        <v>9499</v>
      </c>
      <c r="I4921" t="s">
        <v>31</v>
      </c>
    </row>
    <row r="4922" spans="1:9" x14ac:dyDescent="0.3">
      <c r="A4922" t="str">
        <f>"06516009"</f>
        <v>06516009</v>
      </c>
      <c r="B4922" t="s">
        <v>9430</v>
      </c>
      <c r="C4922" t="str">
        <f t="shared" si="344"/>
        <v>706</v>
      </c>
      <c r="D4922" t="s">
        <v>28</v>
      </c>
      <c r="E4922" t="s">
        <v>83</v>
      </c>
      <c r="F4922" t="s">
        <v>83</v>
      </c>
      <c r="G4922" t="s">
        <v>9431</v>
      </c>
      <c r="H4922" t="str">
        <f t="shared" si="346"/>
        <v>9499</v>
      </c>
      <c r="I4922" t="s">
        <v>31</v>
      </c>
    </row>
    <row r="4923" spans="1:9" x14ac:dyDescent="0.3">
      <c r="A4923" t="str">
        <f>"02299143"</f>
        <v>02299143</v>
      </c>
      <c r="B4923" t="s">
        <v>9432</v>
      </c>
      <c r="C4923" t="str">
        <f t="shared" si="344"/>
        <v>706</v>
      </c>
      <c r="D4923" t="s">
        <v>28</v>
      </c>
      <c r="E4923" t="s">
        <v>23</v>
      </c>
      <c r="F4923" t="s">
        <v>245</v>
      </c>
      <c r="G4923" t="s">
        <v>9433</v>
      </c>
      <c r="H4923" t="str">
        <f t="shared" si="346"/>
        <v>9499</v>
      </c>
      <c r="I4923" t="s">
        <v>31</v>
      </c>
    </row>
    <row r="4924" spans="1:9" x14ac:dyDescent="0.3">
      <c r="A4924" t="str">
        <f>"49157426"</f>
        <v>49157426</v>
      </c>
      <c r="B4924" t="s">
        <v>9434</v>
      </c>
      <c r="C4924" t="str">
        <f t="shared" si="344"/>
        <v>706</v>
      </c>
      <c r="D4924" t="s">
        <v>28</v>
      </c>
      <c r="E4924" t="s">
        <v>23</v>
      </c>
      <c r="F4924" t="s">
        <v>23</v>
      </c>
      <c r="G4924" t="s">
        <v>23</v>
      </c>
      <c r="H4924" t="str">
        <f t="shared" si="346"/>
        <v>9499</v>
      </c>
      <c r="I4924" t="s">
        <v>31</v>
      </c>
    </row>
    <row r="4925" spans="1:9" x14ac:dyDescent="0.3">
      <c r="A4925" t="str">
        <f>"65268571"</f>
        <v>65268571</v>
      </c>
      <c r="B4925" t="s">
        <v>9435</v>
      </c>
      <c r="C4925" t="str">
        <f t="shared" si="344"/>
        <v>706</v>
      </c>
      <c r="D4925" t="s">
        <v>28</v>
      </c>
      <c r="E4925" t="s">
        <v>52</v>
      </c>
      <c r="F4925" t="s">
        <v>52</v>
      </c>
      <c r="G4925" t="s">
        <v>9436</v>
      </c>
      <c r="H4925" t="str">
        <f t="shared" si="346"/>
        <v>9499</v>
      </c>
      <c r="I4925" t="s">
        <v>31</v>
      </c>
    </row>
    <row r="4926" spans="1:9" x14ac:dyDescent="0.3">
      <c r="A4926" t="str">
        <f>"26515610"</f>
        <v>26515610</v>
      </c>
      <c r="B4926" t="s">
        <v>9437</v>
      </c>
      <c r="C4926" t="str">
        <f t="shared" si="344"/>
        <v>706</v>
      </c>
      <c r="D4926" t="s">
        <v>28</v>
      </c>
      <c r="E4926" t="s">
        <v>52</v>
      </c>
      <c r="F4926" t="s">
        <v>52</v>
      </c>
      <c r="G4926" t="s">
        <v>1240</v>
      </c>
      <c r="H4926" t="str">
        <f>"94996"</f>
        <v>94996</v>
      </c>
      <c r="I4926" t="s">
        <v>47</v>
      </c>
    </row>
    <row r="4927" spans="1:9" x14ac:dyDescent="0.3">
      <c r="A4927" t="str">
        <f>"07849923"</f>
        <v>07849923</v>
      </c>
      <c r="B4927" t="s">
        <v>9438</v>
      </c>
      <c r="C4927" t="str">
        <f t="shared" si="344"/>
        <v>706</v>
      </c>
      <c r="D4927" t="s">
        <v>28</v>
      </c>
      <c r="E4927" t="s">
        <v>83</v>
      </c>
      <c r="F4927" t="s">
        <v>83</v>
      </c>
      <c r="G4927" t="s">
        <v>7846</v>
      </c>
      <c r="H4927" t="str">
        <f>"94999"</f>
        <v>94999</v>
      </c>
      <c r="I4927" t="s">
        <v>202</v>
      </c>
    </row>
    <row r="4928" spans="1:9" x14ac:dyDescent="0.3">
      <c r="A4928" t="str">
        <f>"28555571"</f>
        <v>28555571</v>
      </c>
      <c r="B4928" t="s">
        <v>9439</v>
      </c>
      <c r="C4928" t="str">
        <f t="shared" si="344"/>
        <v>706</v>
      </c>
      <c r="D4928" t="s">
        <v>28</v>
      </c>
      <c r="E4928" t="s">
        <v>83</v>
      </c>
      <c r="F4928" t="s">
        <v>537</v>
      </c>
      <c r="G4928" t="s">
        <v>9440</v>
      </c>
      <c r="H4928" t="str">
        <f>"9499"</f>
        <v>9499</v>
      </c>
      <c r="I4928" t="s">
        <v>31</v>
      </c>
    </row>
    <row r="4929" spans="1:16" x14ac:dyDescent="0.3">
      <c r="A4929" t="str">
        <f>"42865875"</f>
        <v>42865875</v>
      </c>
      <c r="B4929" t="s">
        <v>9441</v>
      </c>
      <c r="C4929" t="str">
        <f t="shared" si="344"/>
        <v>706</v>
      </c>
      <c r="D4929" t="s">
        <v>28</v>
      </c>
      <c r="E4929" t="s">
        <v>29</v>
      </c>
      <c r="F4929" t="s">
        <v>38</v>
      </c>
      <c r="G4929" t="s">
        <v>9442</v>
      </c>
      <c r="H4929" t="str">
        <f>"9499"</f>
        <v>9499</v>
      </c>
      <c r="I4929" t="s">
        <v>31</v>
      </c>
    </row>
    <row r="4930" spans="1:16" x14ac:dyDescent="0.3">
      <c r="A4930" t="str">
        <f>"26997720"</f>
        <v>26997720</v>
      </c>
      <c r="B4930" t="s">
        <v>9443</v>
      </c>
      <c r="C4930" t="str">
        <f t="shared" si="344"/>
        <v>706</v>
      </c>
      <c r="D4930" t="s">
        <v>28</v>
      </c>
      <c r="E4930" t="s">
        <v>29</v>
      </c>
      <c r="F4930" t="s">
        <v>38</v>
      </c>
      <c r="G4930" t="s">
        <v>9444</v>
      </c>
      <c r="H4930" t="str">
        <f>"9499"</f>
        <v>9499</v>
      </c>
      <c r="I4930" t="s">
        <v>31</v>
      </c>
    </row>
    <row r="4931" spans="1:16" x14ac:dyDescent="0.3">
      <c r="A4931" t="str">
        <f>"47935146"</f>
        <v>47935146</v>
      </c>
      <c r="B4931" t="s">
        <v>9445</v>
      </c>
      <c r="C4931" t="str">
        <f t="shared" si="344"/>
        <v>706</v>
      </c>
      <c r="D4931" t="s">
        <v>28</v>
      </c>
      <c r="E4931" t="s">
        <v>83</v>
      </c>
      <c r="F4931" t="s">
        <v>83</v>
      </c>
      <c r="G4931" t="s">
        <v>5920</v>
      </c>
      <c r="H4931" t="str">
        <f>"94999"</f>
        <v>94999</v>
      </c>
      <c r="I4931" t="s">
        <v>202</v>
      </c>
    </row>
    <row r="4932" spans="1:16" x14ac:dyDescent="0.3">
      <c r="A4932" t="str">
        <f>"19718446"</f>
        <v>19718446</v>
      </c>
      <c r="B4932" t="s">
        <v>9446</v>
      </c>
      <c r="C4932" t="str">
        <f t="shared" si="344"/>
        <v>706</v>
      </c>
      <c r="D4932" t="s">
        <v>28</v>
      </c>
      <c r="E4932" t="s">
        <v>83</v>
      </c>
      <c r="F4932" t="s">
        <v>83</v>
      </c>
      <c r="G4932" t="s">
        <v>9447</v>
      </c>
      <c r="H4932" t="str">
        <f>"94999"</f>
        <v>94999</v>
      </c>
      <c r="I4932" t="s">
        <v>202</v>
      </c>
    </row>
    <row r="4933" spans="1:16" x14ac:dyDescent="0.3">
      <c r="A4933" t="str">
        <f>"05161509"</f>
        <v>05161509</v>
      </c>
      <c r="B4933" t="s">
        <v>9448</v>
      </c>
      <c r="C4933" t="str">
        <f t="shared" si="344"/>
        <v>706</v>
      </c>
      <c r="D4933" t="s">
        <v>28</v>
      </c>
      <c r="E4933" t="s">
        <v>52</v>
      </c>
      <c r="F4933" t="s">
        <v>5049</v>
      </c>
      <c r="G4933" t="s">
        <v>5050</v>
      </c>
      <c r="H4933" t="str">
        <f>"9499"</f>
        <v>9499</v>
      </c>
      <c r="I4933" t="s">
        <v>31</v>
      </c>
    </row>
    <row r="4934" spans="1:16" x14ac:dyDescent="0.3">
      <c r="A4934" t="str">
        <f>"11695030"</f>
        <v>11695030</v>
      </c>
      <c r="B4934" t="s">
        <v>9449</v>
      </c>
      <c r="C4934" t="str">
        <f t="shared" si="344"/>
        <v>706</v>
      </c>
      <c r="D4934" t="s">
        <v>28</v>
      </c>
      <c r="E4934" t="s">
        <v>23</v>
      </c>
      <c r="F4934" t="s">
        <v>107</v>
      </c>
      <c r="G4934" t="s">
        <v>206</v>
      </c>
      <c r="H4934" t="str">
        <f>"94999"</f>
        <v>94999</v>
      </c>
      <c r="I4934" t="s">
        <v>202</v>
      </c>
    </row>
    <row r="4935" spans="1:16" x14ac:dyDescent="0.3">
      <c r="A4935" t="str">
        <f>"04368371"</f>
        <v>04368371</v>
      </c>
      <c r="B4935" t="s">
        <v>9450</v>
      </c>
      <c r="C4935" t="str">
        <f t="shared" si="344"/>
        <v>706</v>
      </c>
      <c r="D4935" t="s">
        <v>28</v>
      </c>
      <c r="E4935" t="s">
        <v>23</v>
      </c>
      <c r="F4935" t="s">
        <v>107</v>
      </c>
      <c r="G4935" t="s">
        <v>1297</v>
      </c>
      <c r="H4935" t="str">
        <f>"9499"</f>
        <v>9499</v>
      </c>
      <c r="I4935" t="s">
        <v>31</v>
      </c>
    </row>
    <row r="4936" spans="1:16" x14ac:dyDescent="0.3">
      <c r="A4936" t="str">
        <f>"04163923"</f>
        <v>04163923</v>
      </c>
      <c r="B4936" t="s">
        <v>9451</v>
      </c>
      <c r="C4936" t="str">
        <f t="shared" si="344"/>
        <v>706</v>
      </c>
      <c r="D4936" t="s">
        <v>28</v>
      </c>
      <c r="E4936" t="s">
        <v>83</v>
      </c>
      <c r="F4936" t="s">
        <v>6742</v>
      </c>
      <c r="G4936" t="s">
        <v>8671</v>
      </c>
      <c r="H4936" t="str">
        <f>"9499"</f>
        <v>9499</v>
      </c>
      <c r="I4936" t="s">
        <v>31</v>
      </c>
    </row>
    <row r="4937" spans="1:16" x14ac:dyDescent="0.3">
      <c r="A4937" t="str">
        <f>"06023321"</f>
        <v>06023321</v>
      </c>
      <c r="B4937" t="s">
        <v>9452</v>
      </c>
      <c r="C4937" t="str">
        <f t="shared" si="344"/>
        <v>706</v>
      </c>
      <c r="D4937" t="s">
        <v>28</v>
      </c>
      <c r="E4937" t="s">
        <v>83</v>
      </c>
      <c r="F4937" t="s">
        <v>175</v>
      </c>
      <c r="G4937" t="s">
        <v>615</v>
      </c>
      <c r="H4937" t="str">
        <f>"9499"</f>
        <v>9499</v>
      </c>
      <c r="I4937" t="s">
        <v>31</v>
      </c>
      <c r="J4937" t="s">
        <v>259</v>
      </c>
      <c r="K4937" t="s">
        <v>147</v>
      </c>
      <c r="L4937" t="s">
        <v>159</v>
      </c>
      <c r="M4937" t="s">
        <v>146</v>
      </c>
      <c r="N4937" t="s">
        <v>209</v>
      </c>
      <c r="O4937" t="s">
        <v>161</v>
      </c>
      <c r="P4937" t="s">
        <v>163</v>
      </c>
    </row>
    <row r="4938" spans="1:16" x14ac:dyDescent="0.3">
      <c r="A4938" t="str">
        <f>"13973371"</f>
        <v>13973371</v>
      </c>
      <c r="B4938" t="s">
        <v>9453</v>
      </c>
      <c r="C4938" t="str">
        <f t="shared" si="344"/>
        <v>706</v>
      </c>
      <c r="D4938" t="s">
        <v>28</v>
      </c>
      <c r="E4938" t="s">
        <v>23</v>
      </c>
      <c r="F4938" t="s">
        <v>23</v>
      </c>
      <c r="G4938" t="s">
        <v>9454</v>
      </c>
      <c r="H4938" t="str">
        <f>"9499"</f>
        <v>9499</v>
      </c>
      <c r="I4938" t="s">
        <v>31</v>
      </c>
    </row>
    <row r="4939" spans="1:16" x14ac:dyDescent="0.3">
      <c r="A4939" t="str">
        <f>"68688024"</f>
        <v>68688024</v>
      </c>
      <c r="B4939" t="s">
        <v>9455</v>
      </c>
      <c r="C4939" t="str">
        <f t="shared" si="344"/>
        <v>706</v>
      </c>
      <c r="D4939" t="s">
        <v>28</v>
      </c>
      <c r="E4939" t="s">
        <v>83</v>
      </c>
      <c r="F4939" t="s">
        <v>83</v>
      </c>
      <c r="G4939" t="s">
        <v>1745</v>
      </c>
      <c r="H4939" t="str">
        <f>"9499"</f>
        <v>9499</v>
      </c>
      <c r="I4939" t="s">
        <v>31</v>
      </c>
    </row>
    <row r="4940" spans="1:16" x14ac:dyDescent="0.3">
      <c r="A4940" t="str">
        <f>"07255071"</f>
        <v>07255071</v>
      </c>
      <c r="B4940" t="s">
        <v>9456</v>
      </c>
      <c r="C4940" t="str">
        <f t="shared" si="344"/>
        <v>706</v>
      </c>
      <c r="D4940" t="s">
        <v>28</v>
      </c>
      <c r="E4940" t="s">
        <v>83</v>
      </c>
      <c r="F4940" t="s">
        <v>175</v>
      </c>
      <c r="G4940" t="s">
        <v>6653</v>
      </c>
      <c r="H4940" t="str">
        <f>"94999"</f>
        <v>94999</v>
      </c>
      <c r="I4940" t="s">
        <v>202</v>
      </c>
    </row>
    <row r="4941" spans="1:16" x14ac:dyDescent="0.3">
      <c r="A4941" t="str">
        <f>"02111144"</f>
        <v>02111144</v>
      </c>
      <c r="B4941" t="s">
        <v>9457</v>
      </c>
      <c r="C4941" t="str">
        <f t="shared" si="344"/>
        <v>706</v>
      </c>
      <c r="D4941" t="s">
        <v>28</v>
      </c>
      <c r="E4941" t="s">
        <v>23</v>
      </c>
      <c r="F4941" t="s">
        <v>99</v>
      </c>
      <c r="G4941" t="s">
        <v>9458</v>
      </c>
      <c r="H4941" t="str">
        <f>"9499"</f>
        <v>9499</v>
      </c>
      <c r="I4941" t="s">
        <v>31</v>
      </c>
    </row>
    <row r="4942" spans="1:16" x14ac:dyDescent="0.3">
      <c r="A4942" t="str">
        <f>"06100392"</f>
        <v>06100392</v>
      </c>
      <c r="B4942" t="s">
        <v>9459</v>
      </c>
      <c r="C4942" t="str">
        <f t="shared" si="344"/>
        <v>706</v>
      </c>
      <c r="D4942" t="s">
        <v>28</v>
      </c>
      <c r="E4942" t="s">
        <v>83</v>
      </c>
      <c r="F4942" t="s">
        <v>1691</v>
      </c>
      <c r="G4942" t="s">
        <v>9460</v>
      </c>
      <c r="H4942" t="str">
        <f>"9499"</f>
        <v>9499</v>
      </c>
      <c r="I4942" t="s">
        <v>31</v>
      </c>
      <c r="J4942" t="s">
        <v>163</v>
      </c>
    </row>
    <row r="4943" spans="1:16" x14ac:dyDescent="0.3">
      <c r="A4943" t="str">
        <f>"02456923"</f>
        <v>02456923</v>
      </c>
      <c r="B4943" t="s">
        <v>9461</v>
      </c>
      <c r="C4943" t="str">
        <f t="shared" si="344"/>
        <v>706</v>
      </c>
      <c r="D4943" t="s">
        <v>28</v>
      </c>
      <c r="E4943" t="s">
        <v>29</v>
      </c>
      <c r="F4943" t="s">
        <v>5333</v>
      </c>
      <c r="G4943" t="s">
        <v>5334</v>
      </c>
      <c r="H4943" t="str">
        <f>"94999"</f>
        <v>94999</v>
      </c>
      <c r="I4943" t="s">
        <v>202</v>
      </c>
    </row>
    <row r="4944" spans="1:16" x14ac:dyDescent="0.3">
      <c r="A4944" t="str">
        <f>"02273331"</f>
        <v>02273331</v>
      </c>
      <c r="B4944" t="s">
        <v>9462</v>
      </c>
      <c r="C4944" t="str">
        <f t="shared" si="344"/>
        <v>706</v>
      </c>
      <c r="D4944" t="s">
        <v>28</v>
      </c>
      <c r="E4944" t="s">
        <v>52</v>
      </c>
      <c r="F4944" t="s">
        <v>2078</v>
      </c>
      <c r="G4944" t="s">
        <v>9463</v>
      </c>
      <c r="H4944" t="str">
        <f>"94999"</f>
        <v>94999</v>
      </c>
      <c r="I4944" t="s">
        <v>202</v>
      </c>
    </row>
    <row r="4945" spans="1:9" x14ac:dyDescent="0.3">
      <c r="A4945" t="str">
        <f>"26523370"</f>
        <v>26523370</v>
      </c>
      <c r="B4945" t="s">
        <v>9464</v>
      </c>
      <c r="C4945" t="str">
        <f t="shared" si="344"/>
        <v>706</v>
      </c>
      <c r="D4945" t="s">
        <v>28</v>
      </c>
      <c r="E4945" t="s">
        <v>23</v>
      </c>
      <c r="F4945" t="s">
        <v>2429</v>
      </c>
      <c r="G4945" t="s">
        <v>9465</v>
      </c>
      <c r="H4945" t="str">
        <f>"9499"</f>
        <v>9499</v>
      </c>
      <c r="I4945" t="s">
        <v>31</v>
      </c>
    </row>
    <row r="4946" spans="1:9" x14ac:dyDescent="0.3">
      <c r="A4946" t="str">
        <f>"23138955"</f>
        <v>23138955</v>
      </c>
      <c r="B4946" t="s">
        <v>9466</v>
      </c>
      <c r="C4946" t="str">
        <f t="shared" si="344"/>
        <v>706</v>
      </c>
      <c r="D4946" t="s">
        <v>28</v>
      </c>
      <c r="E4946" t="s">
        <v>23</v>
      </c>
      <c r="F4946" t="s">
        <v>350</v>
      </c>
      <c r="G4946" t="s">
        <v>4377</v>
      </c>
      <c r="H4946" t="str">
        <f>"94999"</f>
        <v>94999</v>
      </c>
      <c r="I4946" t="s">
        <v>202</v>
      </c>
    </row>
    <row r="4947" spans="1:9" x14ac:dyDescent="0.3">
      <c r="A4947" t="str">
        <f>"49158201"</f>
        <v>49158201</v>
      </c>
      <c r="B4947" t="s">
        <v>9467</v>
      </c>
      <c r="C4947" t="str">
        <f t="shared" si="344"/>
        <v>706</v>
      </c>
      <c r="D4947" t="s">
        <v>28</v>
      </c>
      <c r="E4947" t="s">
        <v>23</v>
      </c>
      <c r="F4947" t="s">
        <v>99</v>
      </c>
      <c r="G4947" t="s">
        <v>9468</v>
      </c>
      <c r="H4947" t="str">
        <f>"931"</f>
        <v>931</v>
      </c>
      <c r="I4947" t="s">
        <v>26</v>
      </c>
    </row>
    <row r="4948" spans="1:9" x14ac:dyDescent="0.3">
      <c r="A4948" t="str">
        <f>"22671781"</f>
        <v>22671781</v>
      </c>
      <c r="B4948" t="s">
        <v>9469</v>
      </c>
      <c r="C4948" t="str">
        <f t="shared" ref="C4948:C5011" si="347">"706"</f>
        <v>706</v>
      </c>
      <c r="D4948" t="s">
        <v>28</v>
      </c>
      <c r="E4948" t="s">
        <v>23</v>
      </c>
      <c r="F4948" t="s">
        <v>99</v>
      </c>
      <c r="G4948" t="s">
        <v>9470</v>
      </c>
      <c r="H4948" t="str">
        <f t="shared" ref="H4948:H4956" si="348">"9499"</f>
        <v>9499</v>
      </c>
      <c r="I4948" t="s">
        <v>31</v>
      </c>
    </row>
    <row r="4949" spans="1:9" x14ac:dyDescent="0.3">
      <c r="A4949" t="str">
        <f>"65888057"</f>
        <v>65888057</v>
      </c>
      <c r="B4949" t="s">
        <v>9471</v>
      </c>
      <c r="C4949" t="str">
        <f t="shared" si="347"/>
        <v>706</v>
      </c>
      <c r="D4949" t="s">
        <v>28</v>
      </c>
      <c r="E4949" t="s">
        <v>29</v>
      </c>
      <c r="F4949" t="s">
        <v>195</v>
      </c>
      <c r="G4949" t="s">
        <v>9472</v>
      </c>
      <c r="H4949" t="str">
        <f t="shared" si="348"/>
        <v>9499</v>
      </c>
      <c r="I4949" t="s">
        <v>31</v>
      </c>
    </row>
    <row r="4950" spans="1:9" x14ac:dyDescent="0.3">
      <c r="A4950" t="str">
        <f>"01385411"</f>
        <v>01385411</v>
      </c>
      <c r="B4950" t="s">
        <v>9473</v>
      </c>
      <c r="C4950" t="str">
        <f t="shared" si="347"/>
        <v>706</v>
      </c>
      <c r="D4950" t="s">
        <v>28</v>
      </c>
      <c r="E4950" t="s">
        <v>52</v>
      </c>
      <c r="F4950" t="s">
        <v>73</v>
      </c>
      <c r="G4950" t="s">
        <v>9474</v>
      </c>
      <c r="H4950" t="str">
        <f t="shared" si="348"/>
        <v>9499</v>
      </c>
      <c r="I4950" t="s">
        <v>31</v>
      </c>
    </row>
    <row r="4951" spans="1:9" x14ac:dyDescent="0.3">
      <c r="A4951" t="str">
        <f>"22715207"</f>
        <v>22715207</v>
      </c>
      <c r="B4951" t="s">
        <v>9475</v>
      </c>
      <c r="C4951" t="str">
        <f t="shared" si="347"/>
        <v>706</v>
      </c>
      <c r="D4951" t="s">
        <v>28</v>
      </c>
      <c r="E4951" t="s">
        <v>83</v>
      </c>
      <c r="F4951" t="s">
        <v>480</v>
      </c>
      <c r="G4951" t="s">
        <v>9476</v>
      </c>
      <c r="H4951" t="str">
        <f t="shared" si="348"/>
        <v>9499</v>
      </c>
      <c r="I4951" t="s">
        <v>31</v>
      </c>
    </row>
    <row r="4952" spans="1:9" x14ac:dyDescent="0.3">
      <c r="A4952" t="str">
        <f>"06357768"</f>
        <v>06357768</v>
      </c>
      <c r="B4952" t="s">
        <v>9477</v>
      </c>
      <c r="C4952" t="str">
        <f t="shared" si="347"/>
        <v>706</v>
      </c>
      <c r="D4952" t="s">
        <v>28</v>
      </c>
      <c r="E4952" t="s">
        <v>83</v>
      </c>
      <c r="F4952" t="s">
        <v>1778</v>
      </c>
      <c r="G4952" t="s">
        <v>9478</v>
      </c>
      <c r="H4952" t="str">
        <f t="shared" si="348"/>
        <v>9499</v>
      </c>
      <c r="I4952" t="s">
        <v>31</v>
      </c>
    </row>
    <row r="4953" spans="1:9" x14ac:dyDescent="0.3">
      <c r="A4953" t="str">
        <f>"21769915"</f>
        <v>21769915</v>
      </c>
      <c r="B4953" t="s">
        <v>9479</v>
      </c>
      <c r="C4953" t="str">
        <f t="shared" si="347"/>
        <v>706</v>
      </c>
      <c r="D4953" t="s">
        <v>28</v>
      </c>
      <c r="E4953" t="s">
        <v>52</v>
      </c>
      <c r="F4953" t="s">
        <v>344</v>
      </c>
      <c r="G4953" t="s">
        <v>9480</v>
      </c>
      <c r="H4953" t="str">
        <f t="shared" si="348"/>
        <v>9499</v>
      </c>
      <c r="I4953" t="s">
        <v>31</v>
      </c>
    </row>
    <row r="4954" spans="1:9" x14ac:dyDescent="0.3">
      <c r="A4954" t="str">
        <f>"22089942"</f>
        <v>22089942</v>
      </c>
      <c r="B4954" t="s">
        <v>9481</v>
      </c>
      <c r="C4954" t="str">
        <f t="shared" si="347"/>
        <v>706</v>
      </c>
      <c r="D4954" t="s">
        <v>28</v>
      </c>
      <c r="E4954" t="s">
        <v>23</v>
      </c>
      <c r="F4954" t="s">
        <v>23</v>
      </c>
      <c r="G4954" t="s">
        <v>9482</v>
      </c>
      <c r="H4954" t="str">
        <f t="shared" si="348"/>
        <v>9499</v>
      </c>
      <c r="I4954" t="s">
        <v>31</v>
      </c>
    </row>
    <row r="4955" spans="1:9" x14ac:dyDescent="0.3">
      <c r="A4955" t="str">
        <f>"22866647"</f>
        <v>22866647</v>
      </c>
      <c r="B4955" t="s">
        <v>9483</v>
      </c>
      <c r="C4955" t="str">
        <f t="shared" si="347"/>
        <v>706</v>
      </c>
      <c r="D4955" t="s">
        <v>28</v>
      </c>
      <c r="E4955" t="s">
        <v>83</v>
      </c>
      <c r="F4955" t="s">
        <v>1778</v>
      </c>
      <c r="G4955" t="s">
        <v>9484</v>
      </c>
      <c r="H4955" t="str">
        <f t="shared" si="348"/>
        <v>9499</v>
      </c>
      <c r="I4955" t="s">
        <v>31</v>
      </c>
    </row>
    <row r="4956" spans="1:9" x14ac:dyDescent="0.3">
      <c r="A4956" t="str">
        <f>"01809709"</f>
        <v>01809709</v>
      </c>
      <c r="B4956" t="s">
        <v>9485</v>
      </c>
      <c r="C4956" t="str">
        <f t="shared" si="347"/>
        <v>706</v>
      </c>
      <c r="D4956" t="s">
        <v>28</v>
      </c>
      <c r="E4956" t="s">
        <v>23</v>
      </c>
      <c r="F4956" t="s">
        <v>23</v>
      </c>
      <c r="G4956" t="s">
        <v>9486</v>
      </c>
      <c r="H4956" t="str">
        <f t="shared" si="348"/>
        <v>9499</v>
      </c>
      <c r="I4956" t="s">
        <v>31</v>
      </c>
    </row>
    <row r="4957" spans="1:9" x14ac:dyDescent="0.3">
      <c r="A4957" t="str">
        <f>"22750231"</f>
        <v>22750231</v>
      </c>
      <c r="B4957" t="s">
        <v>9487</v>
      </c>
      <c r="C4957" t="str">
        <f t="shared" si="347"/>
        <v>706</v>
      </c>
      <c r="D4957" t="s">
        <v>28</v>
      </c>
      <c r="E4957" t="s">
        <v>29</v>
      </c>
      <c r="F4957" t="s">
        <v>1445</v>
      </c>
      <c r="G4957" t="s">
        <v>9488</v>
      </c>
      <c r="H4957" t="str">
        <f>"94999"</f>
        <v>94999</v>
      </c>
      <c r="I4957" t="s">
        <v>202</v>
      </c>
    </row>
    <row r="4958" spans="1:9" x14ac:dyDescent="0.3">
      <c r="A4958" t="str">
        <f>"04890973"</f>
        <v>04890973</v>
      </c>
      <c r="B4958" t="s">
        <v>9489</v>
      </c>
      <c r="C4958" t="str">
        <f t="shared" si="347"/>
        <v>706</v>
      </c>
      <c r="D4958" t="s">
        <v>28</v>
      </c>
      <c r="E4958" t="s">
        <v>83</v>
      </c>
      <c r="F4958" t="s">
        <v>409</v>
      </c>
      <c r="G4958" t="s">
        <v>9490</v>
      </c>
      <c r="H4958" t="str">
        <f>"94999"</f>
        <v>94999</v>
      </c>
      <c r="I4958" t="s">
        <v>202</v>
      </c>
    </row>
    <row r="4959" spans="1:9" x14ac:dyDescent="0.3">
      <c r="A4959" t="str">
        <f>"05272483"</f>
        <v>05272483</v>
      </c>
      <c r="B4959" t="s">
        <v>9491</v>
      </c>
      <c r="C4959" t="str">
        <f t="shared" si="347"/>
        <v>706</v>
      </c>
      <c r="D4959" t="s">
        <v>28</v>
      </c>
      <c r="E4959" t="s">
        <v>83</v>
      </c>
      <c r="F4959" t="s">
        <v>83</v>
      </c>
      <c r="G4959" t="s">
        <v>7814</v>
      </c>
      <c r="H4959" t="str">
        <f>"94999"</f>
        <v>94999</v>
      </c>
      <c r="I4959" t="s">
        <v>202</v>
      </c>
    </row>
    <row r="4960" spans="1:9" x14ac:dyDescent="0.3">
      <c r="A4960" t="str">
        <f>"27026531"</f>
        <v>27026531</v>
      </c>
      <c r="B4960" t="s">
        <v>9492</v>
      </c>
      <c r="C4960" t="str">
        <f t="shared" si="347"/>
        <v>706</v>
      </c>
      <c r="D4960" t="s">
        <v>28</v>
      </c>
      <c r="E4960" t="s">
        <v>83</v>
      </c>
      <c r="F4960" t="s">
        <v>537</v>
      </c>
      <c r="G4960" t="s">
        <v>6649</v>
      </c>
      <c r="H4960" t="str">
        <f>"9499"</f>
        <v>9499</v>
      </c>
      <c r="I4960" t="s">
        <v>31</v>
      </c>
    </row>
    <row r="4961" spans="1:9" x14ac:dyDescent="0.3">
      <c r="A4961" t="str">
        <f>"26605431"</f>
        <v>26605431</v>
      </c>
      <c r="B4961" t="s">
        <v>9493</v>
      </c>
      <c r="C4961" t="str">
        <f t="shared" si="347"/>
        <v>706</v>
      </c>
      <c r="D4961" t="s">
        <v>28</v>
      </c>
      <c r="E4961" t="s">
        <v>52</v>
      </c>
      <c r="F4961" t="s">
        <v>52</v>
      </c>
      <c r="G4961" t="s">
        <v>9494</v>
      </c>
      <c r="H4961" t="str">
        <f>"9499"</f>
        <v>9499</v>
      </c>
      <c r="I4961" t="s">
        <v>31</v>
      </c>
    </row>
    <row r="4962" spans="1:9" x14ac:dyDescent="0.3">
      <c r="A4962" t="str">
        <f>"47933780"</f>
        <v>47933780</v>
      </c>
      <c r="B4962" t="s">
        <v>9495</v>
      </c>
      <c r="C4962" t="str">
        <f t="shared" si="347"/>
        <v>706</v>
      </c>
      <c r="D4962" t="s">
        <v>28</v>
      </c>
      <c r="E4962" t="s">
        <v>83</v>
      </c>
      <c r="F4962" t="s">
        <v>183</v>
      </c>
      <c r="G4962" t="s">
        <v>9496</v>
      </c>
      <c r="H4962" t="str">
        <f>"9499"</f>
        <v>9499</v>
      </c>
      <c r="I4962" t="s">
        <v>31</v>
      </c>
    </row>
    <row r="4963" spans="1:9" x14ac:dyDescent="0.3">
      <c r="A4963" t="str">
        <f>"07216718"</f>
        <v>07216718</v>
      </c>
      <c r="B4963" t="s">
        <v>9497</v>
      </c>
      <c r="C4963" t="str">
        <f t="shared" si="347"/>
        <v>706</v>
      </c>
      <c r="D4963" t="s">
        <v>28</v>
      </c>
      <c r="E4963" t="s">
        <v>83</v>
      </c>
      <c r="F4963" t="s">
        <v>537</v>
      </c>
      <c r="G4963" t="s">
        <v>6649</v>
      </c>
      <c r="H4963" t="str">
        <f>"94999"</f>
        <v>94999</v>
      </c>
      <c r="I4963" t="s">
        <v>202</v>
      </c>
    </row>
    <row r="4964" spans="1:9" x14ac:dyDescent="0.3">
      <c r="A4964" t="str">
        <f>"60575913"</f>
        <v>60575913</v>
      </c>
      <c r="B4964" t="s">
        <v>9498</v>
      </c>
      <c r="C4964" t="str">
        <f t="shared" si="347"/>
        <v>706</v>
      </c>
      <c r="D4964" t="s">
        <v>28</v>
      </c>
      <c r="E4964" t="s">
        <v>52</v>
      </c>
      <c r="F4964" t="s">
        <v>113</v>
      </c>
      <c r="G4964" t="s">
        <v>9499</v>
      </c>
      <c r="H4964" t="str">
        <f>"9499"</f>
        <v>9499</v>
      </c>
      <c r="I4964" t="s">
        <v>31</v>
      </c>
    </row>
    <row r="4965" spans="1:9" x14ac:dyDescent="0.3">
      <c r="A4965" t="str">
        <f>"22739891"</f>
        <v>22739891</v>
      </c>
      <c r="B4965" t="s">
        <v>9500</v>
      </c>
      <c r="C4965" t="str">
        <f t="shared" si="347"/>
        <v>706</v>
      </c>
      <c r="D4965" t="s">
        <v>28</v>
      </c>
      <c r="E4965" t="s">
        <v>52</v>
      </c>
      <c r="F4965" t="s">
        <v>113</v>
      </c>
      <c r="G4965" t="s">
        <v>1104</v>
      </c>
      <c r="H4965" t="str">
        <f>"94999"</f>
        <v>94999</v>
      </c>
      <c r="I4965" t="s">
        <v>202</v>
      </c>
    </row>
    <row r="4966" spans="1:9" x14ac:dyDescent="0.3">
      <c r="A4966" t="str">
        <f>"05582032"</f>
        <v>05582032</v>
      </c>
      <c r="B4966" t="s">
        <v>9501</v>
      </c>
      <c r="C4966" t="str">
        <f t="shared" si="347"/>
        <v>706</v>
      </c>
      <c r="D4966" t="s">
        <v>28</v>
      </c>
      <c r="E4966" t="s">
        <v>52</v>
      </c>
      <c r="F4966" t="s">
        <v>113</v>
      </c>
      <c r="G4966" t="s">
        <v>9502</v>
      </c>
      <c r="H4966" t="str">
        <f>"94999"</f>
        <v>94999</v>
      </c>
      <c r="I4966" t="s">
        <v>202</v>
      </c>
    </row>
    <row r="4967" spans="1:9" x14ac:dyDescent="0.3">
      <c r="A4967" t="str">
        <f>"17105706"</f>
        <v>17105706</v>
      </c>
      <c r="B4967" t="s">
        <v>9503</v>
      </c>
      <c r="C4967" t="str">
        <f t="shared" si="347"/>
        <v>706</v>
      </c>
      <c r="D4967" t="s">
        <v>28</v>
      </c>
      <c r="E4967" t="s">
        <v>83</v>
      </c>
      <c r="F4967" t="s">
        <v>83</v>
      </c>
      <c r="G4967" t="s">
        <v>373</v>
      </c>
      <c r="H4967" t="str">
        <f>"94999"</f>
        <v>94999</v>
      </c>
      <c r="I4967" t="s">
        <v>202</v>
      </c>
    </row>
    <row r="4968" spans="1:9" x14ac:dyDescent="0.3">
      <c r="A4968" t="str">
        <f>"28555287"</f>
        <v>28555287</v>
      </c>
      <c r="B4968" t="s">
        <v>9504</v>
      </c>
      <c r="C4968" t="str">
        <f t="shared" si="347"/>
        <v>706</v>
      </c>
      <c r="D4968" t="s">
        <v>28</v>
      </c>
      <c r="E4968" t="s">
        <v>23</v>
      </c>
      <c r="F4968" t="s">
        <v>23</v>
      </c>
      <c r="G4968" t="s">
        <v>9505</v>
      </c>
      <c r="H4968" t="str">
        <f>"94999"</f>
        <v>94999</v>
      </c>
      <c r="I4968" t="s">
        <v>202</v>
      </c>
    </row>
    <row r="4969" spans="1:9" x14ac:dyDescent="0.3">
      <c r="A4969" t="str">
        <f>"18189822"</f>
        <v>18189822</v>
      </c>
      <c r="B4969" t="s">
        <v>9506</v>
      </c>
      <c r="C4969" t="str">
        <f t="shared" si="347"/>
        <v>706</v>
      </c>
      <c r="D4969" t="s">
        <v>28</v>
      </c>
      <c r="E4969" t="s">
        <v>83</v>
      </c>
      <c r="F4969" t="s">
        <v>83</v>
      </c>
      <c r="G4969" t="s">
        <v>9507</v>
      </c>
      <c r="H4969" t="str">
        <f>"9499"</f>
        <v>9499</v>
      </c>
      <c r="I4969" t="s">
        <v>31</v>
      </c>
    </row>
    <row r="4970" spans="1:9" x14ac:dyDescent="0.3">
      <c r="A4970" t="str">
        <f>"22018808"</f>
        <v>22018808</v>
      </c>
      <c r="B4970" t="s">
        <v>9508</v>
      </c>
      <c r="C4970" t="str">
        <f t="shared" si="347"/>
        <v>706</v>
      </c>
      <c r="D4970" t="s">
        <v>28</v>
      </c>
      <c r="E4970" t="s">
        <v>52</v>
      </c>
      <c r="F4970" t="s">
        <v>52</v>
      </c>
      <c r="G4970" t="s">
        <v>9509</v>
      </c>
      <c r="H4970" t="str">
        <f>"94999"</f>
        <v>94999</v>
      </c>
      <c r="I4970" t="s">
        <v>202</v>
      </c>
    </row>
    <row r="4971" spans="1:9" x14ac:dyDescent="0.3">
      <c r="A4971" t="str">
        <f>"01729373"</f>
        <v>01729373</v>
      </c>
      <c r="B4971" t="s">
        <v>9510</v>
      </c>
      <c r="C4971" t="str">
        <f t="shared" si="347"/>
        <v>706</v>
      </c>
      <c r="D4971" t="s">
        <v>28</v>
      </c>
      <c r="E4971" t="s">
        <v>23</v>
      </c>
      <c r="F4971" t="s">
        <v>978</v>
      </c>
      <c r="G4971" t="s">
        <v>9511</v>
      </c>
      <c r="H4971" t="str">
        <f t="shared" ref="H4971:H4978" si="349">"9499"</f>
        <v>9499</v>
      </c>
      <c r="I4971" t="s">
        <v>31</v>
      </c>
    </row>
    <row r="4972" spans="1:9" x14ac:dyDescent="0.3">
      <c r="A4972" t="str">
        <f>"67025048"</f>
        <v>67025048</v>
      </c>
      <c r="B4972" t="s">
        <v>9512</v>
      </c>
      <c r="C4972" t="str">
        <f t="shared" si="347"/>
        <v>706</v>
      </c>
      <c r="D4972" t="s">
        <v>28</v>
      </c>
      <c r="E4972" t="s">
        <v>23</v>
      </c>
      <c r="F4972" t="s">
        <v>23</v>
      </c>
      <c r="G4972" t="s">
        <v>1308</v>
      </c>
      <c r="H4972" t="str">
        <f t="shared" si="349"/>
        <v>9499</v>
      </c>
      <c r="I4972" t="s">
        <v>31</v>
      </c>
    </row>
    <row r="4973" spans="1:9" x14ac:dyDescent="0.3">
      <c r="A4973" t="str">
        <f>"18190260"</f>
        <v>18190260</v>
      </c>
      <c r="B4973" t="s">
        <v>9513</v>
      </c>
      <c r="C4973" t="str">
        <f t="shared" si="347"/>
        <v>706</v>
      </c>
      <c r="D4973" t="s">
        <v>28</v>
      </c>
      <c r="E4973" t="s">
        <v>83</v>
      </c>
      <c r="F4973" t="s">
        <v>183</v>
      </c>
      <c r="G4973" t="s">
        <v>9514</v>
      </c>
      <c r="H4973" t="str">
        <f t="shared" si="349"/>
        <v>9499</v>
      </c>
      <c r="I4973" t="s">
        <v>31</v>
      </c>
    </row>
    <row r="4974" spans="1:9" x14ac:dyDescent="0.3">
      <c r="A4974" t="str">
        <f>"26634376"</f>
        <v>26634376</v>
      </c>
      <c r="B4974" t="s">
        <v>9515</v>
      </c>
      <c r="C4974" t="str">
        <f t="shared" si="347"/>
        <v>706</v>
      </c>
      <c r="D4974" t="s">
        <v>28</v>
      </c>
      <c r="E4974" t="s">
        <v>52</v>
      </c>
      <c r="F4974" t="s">
        <v>960</v>
      </c>
      <c r="G4974" t="s">
        <v>9516</v>
      </c>
      <c r="H4974" t="str">
        <f t="shared" si="349"/>
        <v>9499</v>
      </c>
      <c r="I4974" t="s">
        <v>31</v>
      </c>
    </row>
    <row r="4975" spans="1:9" x14ac:dyDescent="0.3">
      <c r="A4975" t="str">
        <f>"71161856"</f>
        <v>71161856</v>
      </c>
      <c r="B4975" t="s">
        <v>9517</v>
      </c>
      <c r="C4975" t="str">
        <f t="shared" si="347"/>
        <v>706</v>
      </c>
      <c r="D4975" t="s">
        <v>28</v>
      </c>
      <c r="E4975" t="s">
        <v>52</v>
      </c>
      <c r="F4975" t="s">
        <v>514</v>
      </c>
      <c r="G4975" t="s">
        <v>515</v>
      </c>
      <c r="H4975" t="str">
        <f t="shared" si="349"/>
        <v>9499</v>
      </c>
      <c r="I4975" t="s">
        <v>31</v>
      </c>
    </row>
    <row r="4976" spans="1:9" x14ac:dyDescent="0.3">
      <c r="A4976" t="str">
        <f>"22896279"</f>
        <v>22896279</v>
      </c>
      <c r="B4976" t="s">
        <v>9518</v>
      </c>
      <c r="C4976" t="str">
        <f t="shared" si="347"/>
        <v>706</v>
      </c>
      <c r="D4976" t="s">
        <v>28</v>
      </c>
      <c r="E4976" t="s">
        <v>52</v>
      </c>
      <c r="F4976" t="s">
        <v>951</v>
      </c>
      <c r="G4976" t="s">
        <v>9519</v>
      </c>
      <c r="H4976" t="str">
        <f t="shared" si="349"/>
        <v>9499</v>
      </c>
      <c r="I4976" t="s">
        <v>31</v>
      </c>
    </row>
    <row r="4977" spans="1:12" x14ac:dyDescent="0.3">
      <c r="A4977" t="str">
        <f>"26648130"</f>
        <v>26648130</v>
      </c>
      <c r="B4977" t="s">
        <v>9520</v>
      </c>
      <c r="C4977" t="str">
        <f t="shared" si="347"/>
        <v>706</v>
      </c>
      <c r="D4977" t="s">
        <v>28</v>
      </c>
      <c r="E4977" t="s">
        <v>23</v>
      </c>
      <c r="F4977" t="s">
        <v>190</v>
      </c>
      <c r="G4977" t="s">
        <v>9521</v>
      </c>
      <c r="H4977" t="str">
        <f t="shared" si="349"/>
        <v>9499</v>
      </c>
      <c r="I4977" t="s">
        <v>31</v>
      </c>
    </row>
    <row r="4978" spans="1:12" x14ac:dyDescent="0.3">
      <c r="A4978" t="str">
        <f>"46307800"</f>
        <v>46307800</v>
      </c>
      <c r="B4978" t="s">
        <v>9522</v>
      </c>
      <c r="C4978" t="str">
        <f t="shared" si="347"/>
        <v>706</v>
      </c>
      <c r="D4978" t="s">
        <v>28</v>
      </c>
      <c r="E4978" t="s">
        <v>23</v>
      </c>
      <c r="F4978" t="s">
        <v>23</v>
      </c>
      <c r="G4978" t="s">
        <v>9523</v>
      </c>
      <c r="H4978" t="str">
        <f t="shared" si="349"/>
        <v>9499</v>
      </c>
      <c r="I4978" t="s">
        <v>31</v>
      </c>
    </row>
    <row r="4979" spans="1:12" x14ac:dyDescent="0.3">
      <c r="A4979" t="str">
        <f>"22707573"</f>
        <v>22707573</v>
      </c>
      <c r="B4979" t="s">
        <v>9524</v>
      </c>
      <c r="C4979" t="str">
        <f t="shared" si="347"/>
        <v>706</v>
      </c>
      <c r="D4979" t="s">
        <v>28</v>
      </c>
      <c r="E4979" t="s">
        <v>23</v>
      </c>
      <c r="F4979" t="s">
        <v>4156</v>
      </c>
      <c r="G4979" t="s">
        <v>4157</v>
      </c>
      <c r="H4979" t="str">
        <f>"94999"</f>
        <v>94999</v>
      </c>
      <c r="I4979" t="s">
        <v>202</v>
      </c>
    </row>
    <row r="4980" spans="1:12" x14ac:dyDescent="0.3">
      <c r="A4980" t="str">
        <f>"75041006"</f>
        <v>75041006</v>
      </c>
      <c r="B4980" t="s">
        <v>9525</v>
      </c>
      <c r="C4980" t="str">
        <f t="shared" si="347"/>
        <v>706</v>
      </c>
      <c r="D4980" t="s">
        <v>28</v>
      </c>
      <c r="E4980" t="s">
        <v>23</v>
      </c>
      <c r="F4980" t="s">
        <v>107</v>
      </c>
      <c r="G4980" t="s">
        <v>9526</v>
      </c>
      <c r="H4980" t="str">
        <f>"9499"</f>
        <v>9499</v>
      </c>
      <c r="I4980" t="s">
        <v>31</v>
      </c>
    </row>
    <row r="4981" spans="1:12" x14ac:dyDescent="0.3">
      <c r="A4981" t="str">
        <f>"70907668"</f>
        <v>70907668</v>
      </c>
      <c r="B4981" t="s">
        <v>9527</v>
      </c>
      <c r="C4981" t="str">
        <f t="shared" si="347"/>
        <v>706</v>
      </c>
      <c r="D4981" t="s">
        <v>28</v>
      </c>
      <c r="E4981" t="s">
        <v>29</v>
      </c>
      <c r="F4981" t="s">
        <v>29</v>
      </c>
      <c r="G4981" t="s">
        <v>5894</v>
      </c>
      <c r="H4981" t="str">
        <f>"9499"</f>
        <v>9499</v>
      </c>
      <c r="I4981" t="s">
        <v>31</v>
      </c>
    </row>
    <row r="4982" spans="1:12" x14ac:dyDescent="0.3">
      <c r="A4982" t="str">
        <f>"49157370"</f>
        <v>49157370</v>
      </c>
      <c r="B4982" t="s">
        <v>9528</v>
      </c>
      <c r="C4982" t="str">
        <f t="shared" si="347"/>
        <v>706</v>
      </c>
      <c r="D4982" t="s">
        <v>28</v>
      </c>
      <c r="E4982" t="s">
        <v>23</v>
      </c>
      <c r="F4982" t="s">
        <v>4161</v>
      </c>
      <c r="G4982" t="s">
        <v>9529</v>
      </c>
      <c r="H4982" t="str">
        <f>"9499"</f>
        <v>9499</v>
      </c>
      <c r="I4982" t="s">
        <v>31</v>
      </c>
    </row>
    <row r="4983" spans="1:12" x14ac:dyDescent="0.3">
      <c r="A4983" t="str">
        <f>"71156801"</f>
        <v>71156801</v>
      </c>
      <c r="B4983" t="s">
        <v>9530</v>
      </c>
      <c r="C4983" t="str">
        <f t="shared" si="347"/>
        <v>706</v>
      </c>
      <c r="D4983" t="s">
        <v>28</v>
      </c>
      <c r="E4983" t="s">
        <v>52</v>
      </c>
      <c r="F4983" t="s">
        <v>1955</v>
      </c>
      <c r="G4983" t="s">
        <v>9531</v>
      </c>
      <c r="H4983" t="str">
        <f>"9499"</f>
        <v>9499</v>
      </c>
      <c r="I4983" t="s">
        <v>31</v>
      </c>
    </row>
    <row r="4984" spans="1:12" x14ac:dyDescent="0.3">
      <c r="A4984" t="str">
        <f>"26534011"</f>
        <v>26534011</v>
      </c>
      <c r="B4984" t="s">
        <v>9532</v>
      </c>
      <c r="C4984" t="str">
        <f t="shared" si="347"/>
        <v>706</v>
      </c>
      <c r="D4984" t="s">
        <v>28</v>
      </c>
      <c r="E4984" t="s">
        <v>52</v>
      </c>
      <c r="F4984" t="s">
        <v>52</v>
      </c>
      <c r="G4984" t="s">
        <v>9533</v>
      </c>
      <c r="H4984" t="str">
        <f>"9499"</f>
        <v>9499</v>
      </c>
      <c r="I4984" t="s">
        <v>31</v>
      </c>
    </row>
    <row r="4985" spans="1:12" x14ac:dyDescent="0.3">
      <c r="A4985" t="str">
        <f>"04769902"</f>
        <v>04769902</v>
      </c>
      <c r="B4985" t="s">
        <v>9534</v>
      </c>
      <c r="C4985" t="str">
        <f t="shared" si="347"/>
        <v>706</v>
      </c>
      <c r="D4985" t="s">
        <v>28</v>
      </c>
      <c r="E4985" t="s">
        <v>29</v>
      </c>
      <c r="F4985" t="s">
        <v>138</v>
      </c>
      <c r="G4985" t="s">
        <v>9535</v>
      </c>
      <c r="H4985" t="str">
        <f>"94999"</f>
        <v>94999</v>
      </c>
      <c r="I4985" t="s">
        <v>202</v>
      </c>
    </row>
    <row r="4986" spans="1:12" x14ac:dyDescent="0.3">
      <c r="A4986" t="str">
        <f>"26542200"</f>
        <v>26542200</v>
      </c>
      <c r="B4986" t="s">
        <v>9536</v>
      </c>
      <c r="C4986" t="str">
        <f t="shared" si="347"/>
        <v>706</v>
      </c>
      <c r="D4986" t="s">
        <v>28</v>
      </c>
      <c r="E4986" t="s">
        <v>52</v>
      </c>
      <c r="F4986" t="s">
        <v>52</v>
      </c>
      <c r="G4986" t="s">
        <v>9537</v>
      </c>
      <c r="H4986" t="str">
        <f>"9499"</f>
        <v>9499</v>
      </c>
      <c r="I4986" t="s">
        <v>31</v>
      </c>
    </row>
    <row r="4987" spans="1:12" x14ac:dyDescent="0.3">
      <c r="A4987" t="str">
        <f>"01536346"</f>
        <v>01536346</v>
      </c>
      <c r="B4987" t="s">
        <v>9538</v>
      </c>
      <c r="C4987" t="str">
        <f t="shared" si="347"/>
        <v>706</v>
      </c>
      <c r="D4987" t="s">
        <v>28</v>
      </c>
      <c r="E4987" t="s">
        <v>52</v>
      </c>
      <c r="F4987" t="s">
        <v>645</v>
      </c>
      <c r="G4987" t="s">
        <v>9539</v>
      </c>
      <c r="H4987" t="str">
        <f>"94999"</f>
        <v>94999</v>
      </c>
      <c r="I4987" t="s">
        <v>202</v>
      </c>
    </row>
    <row r="4988" spans="1:12" x14ac:dyDescent="0.3">
      <c r="A4988" t="str">
        <f>"44005318"</f>
        <v>44005318</v>
      </c>
      <c r="B4988" t="s">
        <v>9540</v>
      </c>
      <c r="C4988" t="str">
        <f t="shared" si="347"/>
        <v>706</v>
      </c>
      <c r="D4988" t="s">
        <v>28</v>
      </c>
      <c r="E4988" t="s">
        <v>23</v>
      </c>
      <c r="F4988" t="s">
        <v>1418</v>
      </c>
      <c r="G4988" t="s">
        <v>9541</v>
      </c>
      <c r="H4988" t="str">
        <f>"9499"</f>
        <v>9499</v>
      </c>
      <c r="I4988" t="s">
        <v>31</v>
      </c>
      <c r="J4988" t="s">
        <v>258</v>
      </c>
      <c r="K4988" t="s">
        <v>161</v>
      </c>
      <c r="L4988" t="s">
        <v>209</v>
      </c>
    </row>
    <row r="4989" spans="1:12" x14ac:dyDescent="0.3">
      <c r="A4989" t="str">
        <f>"71158332"</f>
        <v>71158332</v>
      </c>
      <c r="B4989" t="s">
        <v>9542</v>
      </c>
      <c r="C4989" t="str">
        <f t="shared" si="347"/>
        <v>706</v>
      </c>
      <c r="D4989" t="s">
        <v>28</v>
      </c>
      <c r="E4989" t="s">
        <v>52</v>
      </c>
      <c r="F4989" t="s">
        <v>334</v>
      </c>
      <c r="G4989" t="s">
        <v>9543</v>
      </c>
      <c r="H4989" t="str">
        <f>"9499"</f>
        <v>9499</v>
      </c>
      <c r="I4989" t="s">
        <v>31</v>
      </c>
    </row>
    <row r="4990" spans="1:12" x14ac:dyDescent="0.3">
      <c r="A4990" t="str">
        <f>"04657748"</f>
        <v>04657748</v>
      </c>
      <c r="B4990" t="s">
        <v>9544</v>
      </c>
      <c r="C4990" t="str">
        <f t="shared" si="347"/>
        <v>706</v>
      </c>
      <c r="D4990" t="s">
        <v>28</v>
      </c>
      <c r="E4990" t="s">
        <v>83</v>
      </c>
      <c r="F4990" t="s">
        <v>83</v>
      </c>
      <c r="G4990" t="s">
        <v>9545</v>
      </c>
      <c r="H4990" t="str">
        <f>"94999"</f>
        <v>94999</v>
      </c>
      <c r="I4990" t="s">
        <v>202</v>
      </c>
    </row>
    <row r="4991" spans="1:12" x14ac:dyDescent="0.3">
      <c r="A4991" t="str">
        <f>"45211256"</f>
        <v>45211256</v>
      </c>
      <c r="B4991" t="s">
        <v>9546</v>
      </c>
      <c r="C4991" t="str">
        <f t="shared" si="347"/>
        <v>706</v>
      </c>
      <c r="D4991" t="s">
        <v>28</v>
      </c>
      <c r="E4991" t="s">
        <v>29</v>
      </c>
      <c r="F4991" t="s">
        <v>676</v>
      </c>
      <c r="G4991" t="s">
        <v>9547</v>
      </c>
      <c r="H4991" t="str">
        <f>"9499"</f>
        <v>9499</v>
      </c>
      <c r="I4991" t="s">
        <v>31</v>
      </c>
    </row>
    <row r="4992" spans="1:12" x14ac:dyDescent="0.3">
      <c r="A4992" t="str">
        <f>"27004724"</f>
        <v>27004724</v>
      </c>
      <c r="B4992" t="s">
        <v>9548</v>
      </c>
      <c r="C4992" t="str">
        <f t="shared" si="347"/>
        <v>706</v>
      </c>
      <c r="D4992" t="s">
        <v>28</v>
      </c>
      <c r="E4992" t="s">
        <v>52</v>
      </c>
      <c r="F4992" t="s">
        <v>488</v>
      </c>
      <c r="G4992" t="s">
        <v>9549</v>
      </c>
      <c r="H4992" t="str">
        <f>"9499"</f>
        <v>9499</v>
      </c>
      <c r="I4992" t="s">
        <v>31</v>
      </c>
    </row>
    <row r="4993" spans="1:11" x14ac:dyDescent="0.3">
      <c r="A4993" t="str">
        <f>"05511691"</f>
        <v>05511691</v>
      </c>
      <c r="B4993" t="s">
        <v>9550</v>
      </c>
      <c r="C4993" t="str">
        <f t="shared" si="347"/>
        <v>706</v>
      </c>
      <c r="D4993" t="s">
        <v>28</v>
      </c>
      <c r="E4993" t="s">
        <v>83</v>
      </c>
      <c r="F4993" t="s">
        <v>944</v>
      </c>
      <c r="G4993" t="s">
        <v>9551</v>
      </c>
      <c r="H4993" t="str">
        <f>"94999"</f>
        <v>94999</v>
      </c>
      <c r="I4993" t="s">
        <v>202</v>
      </c>
    </row>
    <row r="4994" spans="1:11" x14ac:dyDescent="0.3">
      <c r="A4994" t="str">
        <f>"26559749"</f>
        <v>26559749</v>
      </c>
      <c r="B4994" t="s">
        <v>9552</v>
      </c>
      <c r="C4994" t="str">
        <f t="shared" si="347"/>
        <v>706</v>
      </c>
      <c r="D4994" t="s">
        <v>28</v>
      </c>
      <c r="E4994" t="s">
        <v>52</v>
      </c>
      <c r="F4994" t="s">
        <v>94</v>
      </c>
      <c r="G4994" t="s">
        <v>9553</v>
      </c>
      <c r="H4994" t="str">
        <f>"94999"</f>
        <v>94999</v>
      </c>
      <c r="I4994" t="s">
        <v>202</v>
      </c>
    </row>
    <row r="4995" spans="1:11" x14ac:dyDescent="0.3">
      <c r="A4995" t="str">
        <f>"01553984"</f>
        <v>01553984</v>
      </c>
      <c r="B4995" t="s">
        <v>9554</v>
      </c>
      <c r="C4995" t="str">
        <f t="shared" si="347"/>
        <v>706</v>
      </c>
      <c r="D4995" t="s">
        <v>28</v>
      </c>
      <c r="E4995" t="s">
        <v>29</v>
      </c>
      <c r="F4995" t="s">
        <v>271</v>
      </c>
      <c r="G4995" t="s">
        <v>9555</v>
      </c>
      <c r="H4995" t="str">
        <f>"9499"</f>
        <v>9499</v>
      </c>
      <c r="I4995" t="s">
        <v>31</v>
      </c>
    </row>
    <row r="4996" spans="1:11" x14ac:dyDescent="0.3">
      <c r="A4996" t="str">
        <f>"01796151"</f>
        <v>01796151</v>
      </c>
      <c r="B4996" t="s">
        <v>9556</v>
      </c>
      <c r="C4996" t="str">
        <f t="shared" si="347"/>
        <v>706</v>
      </c>
      <c r="D4996" t="s">
        <v>28</v>
      </c>
      <c r="E4996" t="s">
        <v>52</v>
      </c>
      <c r="F4996" t="s">
        <v>52</v>
      </c>
      <c r="G4996" t="s">
        <v>9557</v>
      </c>
      <c r="H4996" t="str">
        <f>"94999"</f>
        <v>94999</v>
      </c>
      <c r="I4996" t="s">
        <v>202</v>
      </c>
    </row>
    <row r="4997" spans="1:11" x14ac:dyDescent="0.3">
      <c r="A4997" t="str">
        <f>"62180673"</f>
        <v>62180673</v>
      </c>
      <c r="B4997" t="s">
        <v>9558</v>
      </c>
      <c r="C4997" t="str">
        <f t="shared" si="347"/>
        <v>706</v>
      </c>
      <c r="D4997" t="s">
        <v>28</v>
      </c>
      <c r="E4997" t="s">
        <v>23</v>
      </c>
      <c r="F4997" t="s">
        <v>23</v>
      </c>
      <c r="G4997" t="s">
        <v>9559</v>
      </c>
      <c r="H4997" t="str">
        <f>"94999"</f>
        <v>94999</v>
      </c>
      <c r="I4997" t="s">
        <v>202</v>
      </c>
    </row>
    <row r="4998" spans="1:11" x14ac:dyDescent="0.3">
      <c r="A4998" t="str">
        <f>"61703770"</f>
        <v>61703770</v>
      </c>
      <c r="B4998" t="s">
        <v>9560</v>
      </c>
      <c r="C4998" t="str">
        <f t="shared" si="347"/>
        <v>706</v>
      </c>
      <c r="D4998" t="s">
        <v>28</v>
      </c>
      <c r="E4998" t="s">
        <v>52</v>
      </c>
      <c r="F4998" t="s">
        <v>234</v>
      </c>
      <c r="G4998" t="s">
        <v>9561</v>
      </c>
      <c r="H4998" t="str">
        <f>"9499"</f>
        <v>9499</v>
      </c>
      <c r="I4998" t="s">
        <v>31</v>
      </c>
    </row>
    <row r="4999" spans="1:11" x14ac:dyDescent="0.3">
      <c r="A4999" t="str">
        <f>"68688202"</f>
        <v>68688202</v>
      </c>
      <c r="B4999" t="s">
        <v>9562</v>
      </c>
      <c r="C4999" t="str">
        <f t="shared" si="347"/>
        <v>706</v>
      </c>
      <c r="D4999" t="s">
        <v>28</v>
      </c>
      <c r="E4999" t="s">
        <v>52</v>
      </c>
      <c r="F4999" t="s">
        <v>52</v>
      </c>
      <c r="G4999" t="s">
        <v>9563</v>
      </c>
      <c r="H4999" t="str">
        <f>"9499"</f>
        <v>9499</v>
      </c>
      <c r="I4999" t="s">
        <v>31</v>
      </c>
    </row>
    <row r="5000" spans="1:11" x14ac:dyDescent="0.3">
      <c r="A5000" t="str">
        <f>"22823531"</f>
        <v>22823531</v>
      </c>
      <c r="B5000" t="s">
        <v>9564</v>
      </c>
      <c r="C5000" t="str">
        <f t="shared" si="347"/>
        <v>706</v>
      </c>
      <c r="D5000" t="s">
        <v>28</v>
      </c>
      <c r="E5000" t="s">
        <v>52</v>
      </c>
      <c r="F5000" t="s">
        <v>113</v>
      </c>
      <c r="G5000" t="s">
        <v>9565</v>
      </c>
      <c r="H5000" t="str">
        <f>"94999"</f>
        <v>94999</v>
      </c>
      <c r="I5000" t="s">
        <v>202</v>
      </c>
    </row>
    <row r="5001" spans="1:11" x14ac:dyDescent="0.3">
      <c r="A5001" t="str">
        <f>"47933887"</f>
        <v>47933887</v>
      </c>
      <c r="B5001" t="s">
        <v>9566</v>
      </c>
      <c r="C5001" t="str">
        <f t="shared" si="347"/>
        <v>706</v>
      </c>
      <c r="D5001" t="s">
        <v>28</v>
      </c>
      <c r="E5001" t="s">
        <v>83</v>
      </c>
      <c r="F5001" t="s">
        <v>183</v>
      </c>
      <c r="G5001" t="s">
        <v>9567</v>
      </c>
      <c r="H5001" t="str">
        <f>"9499"</f>
        <v>9499</v>
      </c>
      <c r="I5001" t="s">
        <v>31</v>
      </c>
    </row>
    <row r="5002" spans="1:11" x14ac:dyDescent="0.3">
      <c r="A5002" t="str">
        <f>"22713182"</f>
        <v>22713182</v>
      </c>
      <c r="B5002" t="s">
        <v>9568</v>
      </c>
      <c r="C5002" t="str">
        <f t="shared" si="347"/>
        <v>706</v>
      </c>
      <c r="D5002" t="s">
        <v>28</v>
      </c>
      <c r="E5002" t="s">
        <v>52</v>
      </c>
      <c r="F5002" t="s">
        <v>94</v>
      </c>
      <c r="G5002" t="s">
        <v>9569</v>
      </c>
      <c r="H5002" t="str">
        <f>"94999"</f>
        <v>94999</v>
      </c>
      <c r="I5002" t="s">
        <v>202</v>
      </c>
    </row>
    <row r="5003" spans="1:11" x14ac:dyDescent="0.3">
      <c r="A5003" t="str">
        <f>"02073129"</f>
        <v>02073129</v>
      </c>
      <c r="B5003" t="s">
        <v>9570</v>
      </c>
      <c r="C5003" t="str">
        <f t="shared" si="347"/>
        <v>706</v>
      </c>
      <c r="D5003" t="s">
        <v>28</v>
      </c>
      <c r="E5003" t="s">
        <v>29</v>
      </c>
      <c r="F5003" t="s">
        <v>195</v>
      </c>
      <c r="G5003" t="s">
        <v>9571</v>
      </c>
      <c r="H5003" t="str">
        <f>"94999"</f>
        <v>94999</v>
      </c>
      <c r="I5003" t="s">
        <v>202</v>
      </c>
    </row>
    <row r="5004" spans="1:11" x14ac:dyDescent="0.3">
      <c r="A5004" t="str">
        <f>"26530163"</f>
        <v>26530163</v>
      </c>
      <c r="B5004" t="s">
        <v>9572</v>
      </c>
      <c r="C5004" t="str">
        <f t="shared" si="347"/>
        <v>706</v>
      </c>
      <c r="D5004" t="s">
        <v>28</v>
      </c>
      <c r="E5004" t="s">
        <v>52</v>
      </c>
      <c r="F5004" t="s">
        <v>1027</v>
      </c>
      <c r="G5004" t="s">
        <v>9573</v>
      </c>
      <c r="H5004" t="str">
        <f>"9499"</f>
        <v>9499</v>
      </c>
      <c r="I5004" t="s">
        <v>31</v>
      </c>
      <c r="J5004" t="s">
        <v>209</v>
      </c>
      <c r="K5004" t="s">
        <v>161</v>
      </c>
    </row>
    <row r="5005" spans="1:11" x14ac:dyDescent="0.3">
      <c r="A5005" t="str">
        <f>"05640113"</f>
        <v>05640113</v>
      </c>
      <c r="B5005" t="s">
        <v>9574</v>
      </c>
      <c r="C5005" t="str">
        <f t="shared" si="347"/>
        <v>706</v>
      </c>
      <c r="D5005" t="s">
        <v>28</v>
      </c>
      <c r="E5005" t="s">
        <v>52</v>
      </c>
      <c r="F5005" t="s">
        <v>781</v>
      </c>
      <c r="G5005" t="s">
        <v>925</v>
      </c>
      <c r="H5005" t="str">
        <f>"94999"</f>
        <v>94999</v>
      </c>
      <c r="I5005" t="s">
        <v>202</v>
      </c>
    </row>
    <row r="5006" spans="1:11" x14ac:dyDescent="0.3">
      <c r="A5006" t="str">
        <f>"44740492"</f>
        <v>44740492</v>
      </c>
      <c r="B5006" t="s">
        <v>9575</v>
      </c>
      <c r="C5006" t="str">
        <f t="shared" si="347"/>
        <v>706</v>
      </c>
      <c r="D5006" t="s">
        <v>28</v>
      </c>
      <c r="E5006" t="s">
        <v>29</v>
      </c>
      <c r="F5006" t="s">
        <v>29</v>
      </c>
      <c r="G5006" t="s">
        <v>9576</v>
      </c>
      <c r="H5006" t="str">
        <f>"94999"</f>
        <v>94999</v>
      </c>
      <c r="I5006" t="s">
        <v>202</v>
      </c>
    </row>
    <row r="5007" spans="1:11" x14ac:dyDescent="0.3">
      <c r="A5007" t="str">
        <f>"26527928"</f>
        <v>26527928</v>
      </c>
      <c r="B5007" t="s">
        <v>9577</v>
      </c>
      <c r="C5007" t="str">
        <f t="shared" si="347"/>
        <v>706</v>
      </c>
      <c r="D5007" t="s">
        <v>28</v>
      </c>
      <c r="E5007" t="s">
        <v>52</v>
      </c>
      <c r="F5007" t="s">
        <v>344</v>
      </c>
      <c r="G5007" t="s">
        <v>9578</v>
      </c>
      <c r="H5007" t="str">
        <f>"9499"</f>
        <v>9499</v>
      </c>
      <c r="I5007" t="s">
        <v>31</v>
      </c>
    </row>
    <row r="5008" spans="1:11" x14ac:dyDescent="0.3">
      <c r="A5008" t="str">
        <f>"26534509"</f>
        <v>26534509</v>
      </c>
      <c r="B5008" t="s">
        <v>9579</v>
      </c>
      <c r="C5008" t="str">
        <f t="shared" si="347"/>
        <v>706</v>
      </c>
      <c r="D5008" t="s">
        <v>28</v>
      </c>
      <c r="E5008" t="s">
        <v>29</v>
      </c>
      <c r="F5008" t="s">
        <v>1569</v>
      </c>
      <c r="G5008" t="s">
        <v>9580</v>
      </c>
      <c r="H5008" t="str">
        <f>"9499"</f>
        <v>9499</v>
      </c>
      <c r="I5008" t="s">
        <v>31</v>
      </c>
    </row>
    <row r="5009" spans="1:14" x14ac:dyDescent="0.3">
      <c r="A5009" t="str">
        <f>"68726201"</f>
        <v>68726201</v>
      </c>
      <c r="B5009" t="s">
        <v>9581</v>
      </c>
      <c r="C5009" t="str">
        <f t="shared" si="347"/>
        <v>706</v>
      </c>
      <c r="D5009" t="s">
        <v>28</v>
      </c>
      <c r="E5009" t="s">
        <v>52</v>
      </c>
      <c r="F5009" t="s">
        <v>631</v>
      </c>
      <c r="G5009" t="s">
        <v>9582</v>
      </c>
      <c r="H5009" t="str">
        <f>"9499"</f>
        <v>9499</v>
      </c>
      <c r="I5009" t="s">
        <v>31</v>
      </c>
    </row>
    <row r="5010" spans="1:14" x14ac:dyDescent="0.3">
      <c r="A5010" t="str">
        <f>"05054354"</f>
        <v>05054354</v>
      </c>
      <c r="B5010" t="s">
        <v>9583</v>
      </c>
      <c r="C5010" t="str">
        <f t="shared" si="347"/>
        <v>706</v>
      </c>
      <c r="D5010" t="s">
        <v>28</v>
      </c>
      <c r="E5010" t="s">
        <v>29</v>
      </c>
      <c r="F5010" t="s">
        <v>250</v>
      </c>
      <c r="G5010" t="s">
        <v>9584</v>
      </c>
      <c r="H5010" t="str">
        <f>"94999"</f>
        <v>94999</v>
      </c>
      <c r="I5010" t="s">
        <v>202</v>
      </c>
    </row>
    <row r="5011" spans="1:14" x14ac:dyDescent="0.3">
      <c r="A5011" t="str">
        <f>"26549654"</f>
        <v>26549654</v>
      </c>
      <c r="B5011" t="s">
        <v>9585</v>
      </c>
      <c r="C5011" t="str">
        <f t="shared" si="347"/>
        <v>706</v>
      </c>
      <c r="D5011" t="s">
        <v>28</v>
      </c>
      <c r="E5011" t="s">
        <v>23</v>
      </c>
      <c r="F5011" t="s">
        <v>23</v>
      </c>
      <c r="G5011" t="s">
        <v>9586</v>
      </c>
      <c r="H5011" t="str">
        <f>"9499"</f>
        <v>9499</v>
      </c>
      <c r="I5011" t="s">
        <v>31</v>
      </c>
    </row>
    <row r="5012" spans="1:14" x14ac:dyDescent="0.3">
      <c r="A5012" t="str">
        <f>"62829793"</f>
        <v>62829793</v>
      </c>
      <c r="B5012" t="s">
        <v>9587</v>
      </c>
      <c r="C5012" t="str">
        <f t="shared" ref="C5012:C5072" si="350">"706"</f>
        <v>706</v>
      </c>
      <c r="D5012" t="s">
        <v>28</v>
      </c>
      <c r="E5012" t="s">
        <v>52</v>
      </c>
      <c r="F5012" t="s">
        <v>234</v>
      </c>
      <c r="G5012" t="s">
        <v>9588</v>
      </c>
      <c r="H5012" t="str">
        <f>"9499"</f>
        <v>9499</v>
      </c>
      <c r="I5012" t="s">
        <v>31</v>
      </c>
    </row>
    <row r="5013" spans="1:14" x14ac:dyDescent="0.3">
      <c r="A5013" t="str">
        <f>"49157710"</f>
        <v>49157710</v>
      </c>
      <c r="B5013" t="s">
        <v>9589</v>
      </c>
      <c r="C5013" t="str">
        <f t="shared" si="350"/>
        <v>706</v>
      </c>
      <c r="D5013" t="s">
        <v>28</v>
      </c>
      <c r="E5013" t="s">
        <v>23</v>
      </c>
      <c r="F5013" t="s">
        <v>24</v>
      </c>
      <c r="G5013" t="s">
        <v>9590</v>
      </c>
      <c r="H5013" t="str">
        <f>"94999"</f>
        <v>94999</v>
      </c>
      <c r="I5013" t="s">
        <v>202</v>
      </c>
    </row>
    <row r="5014" spans="1:14" x14ac:dyDescent="0.3">
      <c r="A5014" t="str">
        <f>"26992752"</f>
        <v>26992752</v>
      </c>
      <c r="B5014" t="s">
        <v>9591</v>
      </c>
      <c r="C5014" t="str">
        <f t="shared" si="350"/>
        <v>706</v>
      </c>
      <c r="D5014" t="s">
        <v>28</v>
      </c>
      <c r="E5014" t="s">
        <v>83</v>
      </c>
      <c r="F5014" t="s">
        <v>175</v>
      </c>
      <c r="G5014" t="s">
        <v>9592</v>
      </c>
      <c r="H5014" t="str">
        <f>"9499"</f>
        <v>9499</v>
      </c>
      <c r="I5014" t="s">
        <v>31</v>
      </c>
    </row>
    <row r="5015" spans="1:14" x14ac:dyDescent="0.3">
      <c r="A5015" t="str">
        <f>"68687958"</f>
        <v>68687958</v>
      </c>
      <c r="B5015" t="s">
        <v>9593</v>
      </c>
      <c r="C5015" t="str">
        <f t="shared" si="350"/>
        <v>706</v>
      </c>
      <c r="D5015" t="s">
        <v>28</v>
      </c>
      <c r="E5015" t="s">
        <v>52</v>
      </c>
      <c r="F5015" t="s">
        <v>52</v>
      </c>
      <c r="G5015" t="s">
        <v>9594</v>
      </c>
      <c r="H5015" t="str">
        <f>"9499"</f>
        <v>9499</v>
      </c>
      <c r="I5015" t="s">
        <v>31</v>
      </c>
    </row>
    <row r="5016" spans="1:14" x14ac:dyDescent="0.3">
      <c r="A5016" t="str">
        <f>"26660539"</f>
        <v>26660539</v>
      </c>
      <c r="B5016" t="s">
        <v>9595</v>
      </c>
      <c r="C5016" t="str">
        <f t="shared" si="350"/>
        <v>706</v>
      </c>
      <c r="D5016" t="s">
        <v>28</v>
      </c>
      <c r="E5016" t="s">
        <v>23</v>
      </c>
      <c r="F5016" t="s">
        <v>107</v>
      </c>
      <c r="G5016" t="s">
        <v>9596</v>
      </c>
      <c r="H5016" t="str">
        <f>"9499"</f>
        <v>9499</v>
      </c>
      <c r="I5016" t="s">
        <v>31</v>
      </c>
    </row>
    <row r="5017" spans="1:14" x14ac:dyDescent="0.3">
      <c r="A5017" t="str">
        <f>"72558938"</f>
        <v>72558938</v>
      </c>
      <c r="B5017" t="s">
        <v>9597</v>
      </c>
      <c r="C5017" t="str">
        <f t="shared" si="350"/>
        <v>706</v>
      </c>
      <c r="D5017" t="s">
        <v>28</v>
      </c>
      <c r="E5017" t="s">
        <v>23</v>
      </c>
      <c r="F5017" t="s">
        <v>23</v>
      </c>
      <c r="G5017" t="s">
        <v>9598</v>
      </c>
      <c r="H5017" t="str">
        <f>"9499"</f>
        <v>9499</v>
      </c>
      <c r="I5017" t="s">
        <v>31</v>
      </c>
    </row>
    <row r="5018" spans="1:14" x14ac:dyDescent="0.3">
      <c r="A5018" t="str">
        <f>"22730141"</f>
        <v>22730141</v>
      </c>
      <c r="B5018" t="s">
        <v>9599</v>
      </c>
      <c r="C5018" t="str">
        <f t="shared" si="350"/>
        <v>706</v>
      </c>
      <c r="D5018" t="s">
        <v>28</v>
      </c>
      <c r="E5018" t="s">
        <v>52</v>
      </c>
      <c r="F5018" t="s">
        <v>4762</v>
      </c>
      <c r="G5018" t="s">
        <v>4763</v>
      </c>
      <c r="H5018" t="str">
        <f>"94991"</f>
        <v>94991</v>
      </c>
      <c r="I5018" t="s">
        <v>433</v>
      </c>
    </row>
    <row r="5019" spans="1:14" x14ac:dyDescent="0.3">
      <c r="A5019" t="str">
        <f>"42866251"</f>
        <v>42866251</v>
      </c>
      <c r="B5019" t="s">
        <v>9600</v>
      </c>
      <c r="C5019" t="str">
        <f t="shared" si="350"/>
        <v>706</v>
      </c>
      <c r="D5019" t="s">
        <v>28</v>
      </c>
      <c r="E5019" t="s">
        <v>29</v>
      </c>
      <c r="F5019" t="s">
        <v>38</v>
      </c>
      <c r="G5019" t="s">
        <v>5934</v>
      </c>
      <c r="H5019" t="str">
        <f>"9499"</f>
        <v>9499</v>
      </c>
      <c r="I5019" t="s">
        <v>31</v>
      </c>
    </row>
    <row r="5020" spans="1:14" x14ac:dyDescent="0.3">
      <c r="A5020" t="str">
        <f>"14249065"</f>
        <v>14249065</v>
      </c>
      <c r="B5020" t="s">
        <v>9601</v>
      </c>
      <c r="C5020" t="str">
        <f t="shared" si="350"/>
        <v>706</v>
      </c>
      <c r="D5020" t="s">
        <v>28</v>
      </c>
      <c r="E5020" t="s">
        <v>23</v>
      </c>
      <c r="F5020" t="s">
        <v>24</v>
      </c>
      <c r="G5020" t="s">
        <v>9602</v>
      </c>
      <c r="H5020" t="str">
        <f>"94996"</f>
        <v>94996</v>
      </c>
      <c r="I5020" t="s">
        <v>47</v>
      </c>
    </row>
    <row r="5021" spans="1:14" x14ac:dyDescent="0.3">
      <c r="A5021" t="str">
        <f>"04742036"</f>
        <v>04742036</v>
      </c>
      <c r="B5021" t="s">
        <v>9603</v>
      </c>
      <c r="C5021" t="str">
        <f t="shared" si="350"/>
        <v>706</v>
      </c>
      <c r="D5021" t="s">
        <v>28</v>
      </c>
      <c r="E5021" t="s">
        <v>83</v>
      </c>
      <c r="F5021" t="s">
        <v>3513</v>
      </c>
      <c r="G5021" t="s">
        <v>9604</v>
      </c>
      <c r="H5021" t="str">
        <f>"94993"</f>
        <v>94993</v>
      </c>
      <c r="I5021" t="s">
        <v>50</v>
      </c>
      <c r="J5021" t="s">
        <v>31</v>
      </c>
    </row>
    <row r="5022" spans="1:14" x14ac:dyDescent="0.3">
      <c r="A5022" t="str">
        <f>"48471313"</f>
        <v>48471313</v>
      </c>
      <c r="B5022" t="s">
        <v>9605</v>
      </c>
      <c r="C5022" t="str">
        <f t="shared" si="350"/>
        <v>706</v>
      </c>
      <c r="D5022" t="s">
        <v>28</v>
      </c>
      <c r="E5022" t="s">
        <v>52</v>
      </c>
      <c r="F5022" t="s">
        <v>52</v>
      </c>
      <c r="G5022" t="s">
        <v>9606</v>
      </c>
      <c r="H5022" t="str">
        <f t="shared" ref="H5022:H5031" si="351">"9499"</f>
        <v>9499</v>
      </c>
      <c r="I5022" t="s">
        <v>31</v>
      </c>
    </row>
    <row r="5023" spans="1:14" x14ac:dyDescent="0.3">
      <c r="A5023" t="str">
        <f>"22860487"</f>
        <v>22860487</v>
      </c>
      <c r="B5023" t="s">
        <v>9607</v>
      </c>
      <c r="C5023" t="str">
        <f t="shared" si="350"/>
        <v>706</v>
      </c>
      <c r="D5023" t="s">
        <v>28</v>
      </c>
      <c r="E5023" t="s">
        <v>52</v>
      </c>
      <c r="F5023" t="s">
        <v>4762</v>
      </c>
      <c r="G5023" t="s">
        <v>4763</v>
      </c>
      <c r="H5023" t="str">
        <f t="shared" si="351"/>
        <v>9499</v>
      </c>
      <c r="I5023" t="s">
        <v>31</v>
      </c>
    </row>
    <row r="5024" spans="1:14" x14ac:dyDescent="0.3">
      <c r="A5024" t="str">
        <f>"70436541"</f>
        <v>70436541</v>
      </c>
      <c r="B5024" t="s">
        <v>9608</v>
      </c>
      <c r="C5024" t="str">
        <f t="shared" si="350"/>
        <v>706</v>
      </c>
      <c r="D5024" t="s">
        <v>28</v>
      </c>
      <c r="E5024" t="s">
        <v>83</v>
      </c>
      <c r="F5024" t="s">
        <v>217</v>
      </c>
      <c r="G5024" t="s">
        <v>9609</v>
      </c>
      <c r="H5024" t="str">
        <f t="shared" si="351"/>
        <v>9499</v>
      </c>
      <c r="I5024" t="s">
        <v>31</v>
      </c>
      <c r="J5024" t="s">
        <v>2350</v>
      </c>
      <c r="K5024" t="s">
        <v>209</v>
      </c>
      <c r="L5024" t="s">
        <v>161</v>
      </c>
      <c r="M5024" t="s">
        <v>163</v>
      </c>
      <c r="N5024" t="s">
        <v>59</v>
      </c>
    </row>
    <row r="5025" spans="1:11" x14ac:dyDescent="0.3">
      <c r="A5025" t="str">
        <f>"22867074"</f>
        <v>22867074</v>
      </c>
      <c r="B5025" t="s">
        <v>9610</v>
      </c>
      <c r="C5025" t="str">
        <f t="shared" si="350"/>
        <v>706</v>
      </c>
      <c r="D5025" t="s">
        <v>28</v>
      </c>
      <c r="E5025" t="s">
        <v>52</v>
      </c>
      <c r="F5025" t="s">
        <v>1679</v>
      </c>
      <c r="G5025" t="s">
        <v>9611</v>
      </c>
      <c r="H5025" t="str">
        <f t="shared" si="351"/>
        <v>9499</v>
      </c>
      <c r="I5025" t="s">
        <v>31</v>
      </c>
    </row>
    <row r="5026" spans="1:11" x14ac:dyDescent="0.3">
      <c r="A5026" t="str">
        <f>"22741801"</f>
        <v>22741801</v>
      </c>
      <c r="B5026" t="s">
        <v>9612</v>
      </c>
      <c r="C5026" t="str">
        <f t="shared" si="350"/>
        <v>706</v>
      </c>
      <c r="D5026" t="s">
        <v>28</v>
      </c>
      <c r="E5026" t="s">
        <v>52</v>
      </c>
      <c r="F5026" t="s">
        <v>1955</v>
      </c>
      <c r="G5026" t="s">
        <v>9613</v>
      </c>
      <c r="H5026" t="str">
        <f t="shared" si="351"/>
        <v>9499</v>
      </c>
      <c r="I5026" t="s">
        <v>31</v>
      </c>
    </row>
    <row r="5027" spans="1:11" x14ac:dyDescent="0.3">
      <c r="A5027" t="str">
        <f>"63414287"</f>
        <v>63414287</v>
      </c>
      <c r="B5027" t="s">
        <v>9614</v>
      </c>
      <c r="C5027" t="str">
        <f t="shared" si="350"/>
        <v>706</v>
      </c>
      <c r="D5027" t="s">
        <v>28</v>
      </c>
      <c r="E5027" t="s">
        <v>83</v>
      </c>
      <c r="F5027" t="s">
        <v>991</v>
      </c>
      <c r="G5027" t="s">
        <v>9615</v>
      </c>
      <c r="H5027" t="str">
        <f t="shared" si="351"/>
        <v>9499</v>
      </c>
      <c r="I5027" t="s">
        <v>31</v>
      </c>
      <c r="J5027" t="s">
        <v>9616</v>
      </c>
      <c r="K5027" t="s">
        <v>1604</v>
      </c>
    </row>
    <row r="5028" spans="1:11" x14ac:dyDescent="0.3">
      <c r="A5028" t="str">
        <f>"70896950"</f>
        <v>70896950</v>
      </c>
      <c r="B5028" t="s">
        <v>9617</v>
      </c>
      <c r="C5028" t="str">
        <f t="shared" si="350"/>
        <v>706</v>
      </c>
      <c r="D5028" t="s">
        <v>28</v>
      </c>
      <c r="E5028" t="s">
        <v>83</v>
      </c>
      <c r="F5028" t="s">
        <v>183</v>
      </c>
      <c r="G5028" t="s">
        <v>9618</v>
      </c>
      <c r="H5028" t="str">
        <f t="shared" si="351"/>
        <v>9499</v>
      </c>
      <c r="I5028" t="s">
        <v>31</v>
      </c>
    </row>
    <row r="5029" spans="1:11" x14ac:dyDescent="0.3">
      <c r="A5029" t="str">
        <f>"03008291"</f>
        <v>03008291</v>
      </c>
      <c r="B5029" t="s">
        <v>9619</v>
      </c>
      <c r="C5029" t="str">
        <f t="shared" si="350"/>
        <v>706</v>
      </c>
      <c r="D5029" t="s">
        <v>28</v>
      </c>
      <c r="E5029" t="s">
        <v>52</v>
      </c>
      <c r="F5029" t="s">
        <v>796</v>
      </c>
      <c r="G5029" t="s">
        <v>797</v>
      </c>
      <c r="H5029" t="str">
        <f t="shared" si="351"/>
        <v>9499</v>
      </c>
      <c r="I5029" t="s">
        <v>31</v>
      </c>
    </row>
    <row r="5030" spans="1:11" x14ac:dyDescent="0.3">
      <c r="A5030" t="str">
        <f>"62832140"</f>
        <v>62832140</v>
      </c>
      <c r="B5030" t="s">
        <v>9620</v>
      </c>
      <c r="C5030" t="str">
        <f t="shared" si="350"/>
        <v>706</v>
      </c>
      <c r="D5030" t="s">
        <v>28</v>
      </c>
      <c r="E5030" t="s">
        <v>52</v>
      </c>
      <c r="F5030" t="s">
        <v>379</v>
      </c>
      <c r="G5030" t="s">
        <v>9621</v>
      </c>
      <c r="H5030" t="str">
        <f t="shared" si="351"/>
        <v>9499</v>
      </c>
      <c r="I5030" t="s">
        <v>31</v>
      </c>
    </row>
    <row r="5031" spans="1:11" x14ac:dyDescent="0.3">
      <c r="A5031" t="str">
        <f>"05951313"</f>
        <v>05951313</v>
      </c>
      <c r="B5031" t="s">
        <v>9622</v>
      </c>
      <c r="C5031" t="str">
        <f t="shared" si="350"/>
        <v>706</v>
      </c>
      <c r="D5031" t="s">
        <v>28</v>
      </c>
      <c r="E5031" t="s">
        <v>23</v>
      </c>
      <c r="F5031" t="s">
        <v>99</v>
      </c>
      <c r="G5031" t="s">
        <v>8758</v>
      </c>
      <c r="H5031" t="str">
        <f t="shared" si="351"/>
        <v>9499</v>
      </c>
      <c r="I5031" t="s">
        <v>31</v>
      </c>
    </row>
    <row r="5032" spans="1:11" x14ac:dyDescent="0.3">
      <c r="A5032" t="str">
        <f>"44740590"</f>
        <v>44740590</v>
      </c>
      <c r="B5032" t="s">
        <v>9623</v>
      </c>
      <c r="C5032" t="str">
        <f t="shared" si="350"/>
        <v>706</v>
      </c>
      <c r="D5032" t="s">
        <v>28</v>
      </c>
      <c r="E5032" t="s">
        <v>29</v>
      </c>
      <c r="F5032" t="s">
        <v>29</v>
      </c>
      <c r="G5032" t="s">
        <v>9624</v>
      </c>
      <c r="H5032" t="str">
        <f>"93120"</f>
        <v>93120</v>
      </c>
      <c r="I5032" t="s">
        <v>54</v>
      </c>
    </row>
    <row r="5033" spans="1:11" x14ac:dyDescent="0.3">
      <c r="A5033" t="str">
        <f>"65270002"</f>
        <v>65270002</v>
      </c>
      <c r="B5033" t="s">
        <v>9625</v>
      </c>
      <c r="C5033" t="str">
        <f t="shared" si="350"/>
        <v>706</v>
      </c>
      <c r="D5033" t="s">
        <v>28</v>
      </c>
      <c r="E5033" t="s">
        <v>83</v>
      </c>
      <c r="F5033" t="s">
        <v>1425</v>
      </c>
      <c r="G5033" t="s">
        <v>9626</v>
      </c>
      <c r="H5033" t="str">
        <f t="shared" ref="H5033:H5043" si="352">"9499"</f>
        <v>9499</v>
      </c>
      <c r="I5033" t="s">
        <v>31</v>
      </c>
    </row>
    <row r="5034" spans="1:11" x14ac:dyDescent="0.3">
      <c r="A5034" t="str">
        <f>"21126569"</f>
        <v>21126569</v>
      </c>
      <c r="B5034" t="s">
        <v>9627</v>
      </c>
      <c r="C5034" t="str">
        <f t="shared" si="350"/>
        <v>706</v>
      </c>
      <c r="D5034" t="s">
        <v>28</v>
      </c>
      <c r="E5034" t="s">
        <v>83</v>
      </c>
      <c r="F5034" t="s">
        <v>881</v>
      </c>
      <c r="G5034" t="s">
        <v>2161</v>
      </c>
      <c r="H5034" t="str">
        <f t="shared" si="352"/>
        <v>9499</v>
      </c>
      <c r="I5034" t="s">
        <v>31</v>
      </c>
    </row>
    <row r="5035" spans="1:11" x14ac:dyDescent="0.3">
      <c r="A5035" t="str">
        <f>"05987610"</f>
        <v>05987610</v>
      </c>
      <c r="B5035" t="s">
        <v>9628</v>
      </c>
      <c r="C5035" t="str">
        <f t="shared" si="350"/>
        <v>706</v>
      </c>
      <c r="D5035" t="s">
        <v>28</v>
      </c>
      <c r="E5035" t="s">
        <v>23</v>
      </c>
      <c r="F5035" t="s">
        <v>1885</v>
      </c>
      <c r="G5035" t="s">
        <v>1886</v>
      </c>
      <c r="H5035" t="str">
        <f t="shared" si="352"/>
        <v>9499</v>
      </c>
      <c r="I5035" t="s">
        <v>31</v>
      </c>
    </row>
    <row r="5036" spans="1:11" x14ac:dyDescent="0.3">
      <c r="A5036" t="str">
        <f>"07163835"</f>
        <v>07163835</v>
      </c>
      <c r="B5036" t="s">
        <v>9629</v>
      </c>
      <c r="C5036" t="str">
        <f t="shared" si="350"/>
        <v>706</v>
      </c>
      <c r="D5036" t="s">
        <v>28</v>
      </c>
      <c r="E5036" t="s">
        <v>23</v>
      </c>
      <c r="F5036" t="s">
        <v>245</v>
      </c>
      <c r="G5036" t="s">
        <v>8129</v>
      </c>
      <c r="H5036" t="str">
        <f t="shared" si="352"/>
        <v>9499</v>
      </c>
      <c r="I5036" t="s">
        <v>31</v>
      </c>
    </row>
    <row r="5037" spans="1:11" x14ac:dyDescent="0.3">
      <c r="A5037" t="str">
        <f>"08043434"</f>
        <v>08043434</v>
      </c>
      <c r="B5037" t="s">
        <v>9630</v>
      </c>
      <c r="C5037" t="str">
        <f t="shared" si="350"/>
        <v>706</v>
      </c>
      <c r="D5037" t="s">
        <v>28</v>
      </c>
      <c r="E5037" t="s">
        <v>29</v>
      </c>
      <c r="F5037" t="s">
        <v>1266</v>
      </c>
      <c r="G5037" t="s">
        <v>1929</v>
      </c>
      <c r="H5037" t="str">
        <f t="shared" si="352"/>
        <v>9499</v>
      </c>
      <c r="I5037" t="s">
        <v>31</v>
      </c>
    </row>
    <row r="5038" spans="1:11" x14ac:dyDescent="0.3">
      <c r="A5038" t="str">
        <f>"65822790"</f>
        <v>65822790</v>
      </c>
      <c r="B5038" t="s">
        <v>9631</v>
      </c>
      <c r="C5038" t="str">
        <f t="shared" si="350"/>
        <v>706</v>
      </c>
      <c r="D5038" t="s">
        <v>28</v>
      </c>
      <c r="E5038" t="s">
        <v>23</v>
      </c>
      <c r="F5038" t="s">
        <v>35</v>
      </c>
      <c r="G5038" t="s">
        <v>5516</v>
      </c>
      <c r="H5038" t="str">
        <f t="shared" si="352"/>
        <v>9499</v>
      </c>
      <c r="I5038" t="s">
        <v>31</v>
      </c>
    </row>
    <row r="5039" spans="1:11" x14ac:dyDescent="0.3">
      <c r="A5039" t="str">
        <f>"03884988"</f>
        <v>03884988</v>
      </c>
      <c r="B5039" t="s">
        <v>9632</v>
      </c>
      <c r="C5039" t="str">
        <f t="shared" si="350"/>
        <v>706</v>
      </c>
      <c r="D5039" t="s">
        <v>28</v>
      </c>
      <c r="E5039" t="s">
        <v>23</v>
      </c>
      <c r="F5039" t="s">
        <v>245</v>
      </c>
      <c r="G5039" t="s">
        <v>9633</v>
      </c>
      <c r="H5039" t="str">
        <f t="shared" si="352"/>
        <v>9499</v>
      </c>
      <c r="I5039" t="s">
        <v>31</v>
      </c>
    </row>
    <row r="5040" spans="1:11" x14ac:dyDescent="0.3">
      <c r="A5040" t="str">
        <f>"63414538"</f>
        <v>63414538</v>
      </c>
      <c r="B5040" t="s">
        <v>9634</v>
      </c>
      <c r="C5040" t="str">
        <f t="shared" si="350"/>
        <v>706</v>
      </c>
      <c r="D5040" t="s">
        <v>28</v>
      </c>
      <c r="E5040" t="s">
        <v>83</v>
      </c>
      <c r="F5040" t="s">
        <v>6742</v>
      </c>
      <c r="G5040" t="s">
        <v>9318</v>
      </c>
      <c r="H5040" t="str">
        <f t="shared" si="352"/>
        <v>9499</v>
      </c>
      <c r="I5040" t="s">
        <v>31</v>
      </c>
    </row>
    <row r="5041" spans="1:17" x14ac:dyDescent="0.3">
      <c r="A5041" t="str">
        <f>"27000460"</f>
        <v>27000460</v>
      </c>
      <c r="B5041" t="s">
        <v>9635</v>
      </c>
      <c r="C5041" t="str">
        <f t="shared" si="350"/>
        <v>706</v>
      </c>
      <c r="D5041" t="s">
        <v>28</v>
      </c>
      <c r="E5041" t="s">
        <v>23</v>
      </c>
      <c r="F5041" t="s">
        <v>1492</v>
      </c>
      <c r="G5041" t="s">
        <v>9636</v>
      </c>
      <c r="H5041" t="str">
        <f t="shared" si="352"/>
        <v>9499</v>
      </c>
      <c r="I5041" t="s">
        <v>31</v>
      </c>
    </row>
    <row r="5042" spans="1:17" x14ac:dyDescent="0.3">
      <c r="A5042" t="str">
        <f>"46956573"</f>
        <v>46956573</v>
      </c>
      <c r="B5042" t="s">
        <v>9637</v>
      </c>
      <c r="C5042" t="str">
        <f t="shared" si="350"/>
        <v>706</v>
      </c>
      <c r="D5042" t="s">
        <v>28</v>
      </c>
      <c r="E5042" t="s">
        <v>52</v>
      </c>
      <c r="F5042" t="s">
        <v>612</v>
      </c>
      <c r="G5042" t="s">
        <v>1643</v>
      </c>
      <c r="H5042" t="str">
        <f t="shared" si="352"/>
        <v>9499</v>
      </c>
      <c r="I5042" t="s">
        <v>31</v>
      </c>
    </row>
    <row r="5043" spans="1:17" x14ac:dyDescent="0.3">
      <c r="A5043" t="str">
        <f>"00395625"</f>
        <v>00395625</v>
      </c>
      <c r="B5043" t="s">
        <v>9638</v>
      </c>
      <c r="C5043" t="str">
        <f t="shared" si="350"/>
        <v>706</v>
      </c>
      <c r="D5043" t="s">
        <v>28</v>
      </c>
      <c r="E5043" t="s">
        <v>52</v>
      </c>
      <c r="F5043" t="s">
        <v>612</v>
      </c>
      <c r="G5043" t="s">
        <v>9639</v>
      </c>
      <c r="H5043" t="str">
        <f t="shared" si="352"/>
        <v>9499</v>
      </c>
      <c r="I5043" t="s">
        <v>31</v>
      </c>
      <c r="J5043" t="s">
        <v>498</v>
      </c>
    </row>
    <row r="5044" spans="1:17" x14ac:dyDescent="0.3">
      <c r="A5044" t="str">
        <f>"48489182"</f>
        <v>48489182</v>
      </c>
      <c r="B5044" t="s">
        <v>9640</v>
      </c>
      <c r="C5044" t="str">
        <f t="shared" si="350"/>
        <v>706</v>
      </c>
      <c r="D5044" t="s">
        <v>28</v>
      </c>
      <c r="E5044" t="s">
        <v>52</v>
      </c>
      <c r="F5044" t="s">
        <v>2038</v>
      </c>
      <c r="G5044" t="s">
        <v>9641</v>
      </c>
      <c r="H5044" t="str">
        <f>"02400"</f>
        <v>02400</v>
      </c>
      <c r="I5044" t="s">
        <v>4428</v>
      </c>
    </row>
    <row r="5045" spans="1:17" x14ac:dyDescent="0.3">
      <c r="A5045" t="str">
        <f>"46254919"</f>
        <v>46254919</v>
      </c>
      <c r="B5045" t="s">
        <v>9642</v>
      </c>
      <c r="C5045" t="str">
        <f t="shared" si="350"/>
        <v>706</v>
      </c>
      <c r="D5045" t="s">
        <v>28</v>
      </c>
      <c r="E5045" t="s">
        <v>52</v>
      </c>
      <c r="F5045" t="s">
        <v>612</v>
      </c>
      <c r="G5045" t="s">
        <v>4231</v>
      </c>
      <c r="H5045" t="str">
        <f>"02"</f>
        <v>02</v>
      </c>
      <c r="I5045" t="s">
        <v>2267</v>
      </c>
    </row>
    <row r="5046" spans="1:17" x14ac:dyDescent="0.3">
      <c r="A5046" t="str">
        <f>"07270160"</f>
        <v>07270160</v>
      </c>
      <c r="B5046" t="s">
        <v>9643</v>
      </c>
      <c r="C5046" t="str">
        <f t="shared" si="350"/>
        <v>706</v>
      </c>
      <c r="D5046" t="s">
        <v>28</v>
      </c>
      <c r="E5046" t="s">
        <v>52</v>
      </c>
      <c r="F5046" t="s">
        <v>2700</v>
      </c>
      <c r="G5046" t="s">
        <v>2701</v>
      </c>
      <c r="H5046" t="str">
        <f>"9499"</f>
        <v>9499</v>
      </c>
      <c r="I5046" t="s">
        <v>31</v>
      </c>
    </row>
    <row r="5047" spans="1:17" x14ac:dyDescent="0.3">
      <c r="A5047" t="str">
        <f>"67025153"</f>
        <v>67025153</v>
      </c>
      <c r="B5047" t="s">
        <v>9644</v>
      </c>
      <c r="C5047" t="str">
        <f t="shared" si="350"/>
        <v>706</v>
      </c>
      <c r="D5047" t="s">
        <v>28</v>
      </c>
      <c r="E5047" t="s">
        <v>52</v>
      </c>
      <c r="F5047" t="s">
        <v>1902</v>
      </c>
      <c r="G5047" t="s">
        <v>2412</v>
      </c>
      <c r="H5047" t="str">
        <f>"9499"</f>
        <v>9499</v>
      </c>
      <c r="I5047" t="s">
        <v>31</v>
      </c>
    </row>
    <row r="5048" spans="1:17" x14ac:dyDescent="0.3">
      <c r="A5048" t="str">
        <f>"06961916"</f>
        <v>06961916</v>
      </c>
      <c r="B5048" t="s">
        <v>9645</v>
      </c>
      <c r="C5048" t="str">
        <f t="shared" si="350"/>
        <v>706</v>
      </c>
      <c r="D5048" t="s">
        <v>28</v>
      </c>
      <c r="E5048" t="s">
        <v>83</v>
      </c>
      <c r="F5048" t="s">
        <v>4562</v>
      </c>
      <c r="G5048" t="s">
        <v>9646</v>
      </c>
      <c r="H5048" t="str">
        <f>"9499"</f>
        <v>9499</v>
      </c>
      <c r="I5048" t="s">
        <v>31</v>
      </c>
    </row>
    <row r="5049" spans="1:17" x14ac:dyDescent="0.3">
      <c r="A5049" t="str">
        <f>"08186804"</f>
        <v>08186804</v>
      </c>
      <c r="B5049" t="s">
        <v>9647</v>
      </c>
      <c r="C5049" t="str">
        <f t="shared" si="350"/>
        <v>706</v>
      </c>
      <c r="D5049" t="s">
        <v>28</v>
      </c>
      <c r="E5049" t="s">
        <v>23</v>
      </c>
      <c r="F5049" t="s">
        <v>245</v>
      </c>
      <c r="G5049" t="s">
        <v>9648</v>
      </c>
      <c r="H5049" t="str">
        <f>"9499"</f>
        <v>9499</v>
      </c>
      <c r="I5049" t="s">
        <v>31</v>
      </c>
    </row>
    <row r="5050" spans="1:17" x14ac:dyDescent="0.3">
      <c r="A5050" t="str">
        <f>"07080565"</f>
        <v>07080565</v>
      </c>
      <c r="B5050" t="s">
        <v>9649</v>
      </c>
      <c r="C5050" t="str">
        <f t="shared" si="350"/>
        <v>706</v>
      </c>
      <c r="D5050" t="s">
        <v>28</v>
      </c>
      <c r="E5050" t="s">
        <v>23</v>
      </c>
      <c r="F5050" t="s">
        <v>141</v>
      </c>
      <c r="G5050" t="s">
        <v>9650</v>
      </c>
      <c r="H5050" t="str">
        <f>"94993"</f>
        <v>94993</v>
      </c>
      <c r="I5050" t="s">
        <v>50</v>
      </c>
      <c r="J5050" t="s">
        <v>147</v>
      </c>
      <c r="K5050" t="s">
        <v>238</v>
      </c>
      <c r="L5050" t="s">
        <v>159</v>
      </c>
      <c r="M5050" t="s">
        <v>146</v>
      </c>
      <c r="N5050" t="s">
        <v>160</v>
      </c>
      <c r="O5050" t="s">
        <v>262</v>
      </c>
      <c r="P5050" t="s">
        <v>163</v>
      </c>
      <c r="Q5050" t="s">
        <v>59</v>
      </c>
    </row>
    <row r="5051" spans="1:17" x14ac:dyDescent="0.3">
      <c r="A5051" t="str">
        <f>"46308911"</f>
        <v>46308911</v>
      </c>
      <c r="B5051" t="s">
        <v>9651</v>
      </c>
      <c r="C5051" t="str">
        <f t="shared" si="350"/>
        <v>706</v>
      </c>
      <c r="D5051" t="s">
        <v>28</v>
      </c>
      <c r="E5051" t="s">
        <v>23</v>
      </c>
      <c r="F5051" t="s">
        <v>23</v>
      </c>
      <c r="G5051" t="s">
        <v>9652</v>
      </c>
      <c r="H5051" t="str">
        <f>"9499"</f>
        <v>9499</v>
      </c>
      <c r="I5051" t="s">
        <v>31</v>
      </c>
    </row>
    <row r="5052" spans="1:17" x14ac:dyDescent="0.3">
      <c r="A5052" t="str">
        <f>"06139426"</f>
        <v>06139426</v>
      </c>
      <c r="B5052" t="s">
        <v>9653</v>
      </c>
      <c r="C5052" t="str">
        <f t="shared" si="350"/>
        <v>706</v>
      </c>
      <c r="D5052" t="s">
        <v>28</v>
      </c>
      <c r="E5052" t="s">
        <v>23</v>
      </c>
      <c r="F5052" t="s">
        <v>350</v>
      </c>
      <c r="G5052" t="s">
        <v>9654</v>
      </c>
      <c r="H5052" t="str">
        <f>"9499"</f>
        <v>9499</v>
      </c>
      <c r="I5052" t="s">
        <v>31</v>
      </c>
    </row>
    <row r="5053" spans="1:17" x14ac:dyDescent="0.3">
      <c r="A5053" t="str">
        <f>"28556917"</f>
        <v>28556917</v>
      </c>
      <c r="B5053" t="s">
        <v>9655</v>
      </c>
      <c r="C5053" t="str">
        <f t="shared" si="350"/>
        <v>706</v>
      </c>
      <c r="D5053" t="s">
        <v>28</v>
      </c>
      <c r="E5053" t="s">
        <v>83</v>
      </c>
      <c r="F5053" t="s">
        <v>1451</v>
      </c>
      <c r="G5053" t="s">
        <v>5303</v>
      </c>
      <c r="H5053" t="str">
        <f>"9499"</f>
        <v>9499</v>
      </c>
      <c r="I5053" t="s">
        <v>31</v>
      </c>
    </row>
    <row r="5054" spans="1:17" x14ac:dyDescent="0.3">
      <c r="A5054" t="str">
        <f>"18190189"</f>
        <v>18190189</v>
      </c>
      <c r="B5054" t="s">
        <v>9656</v>
      </c>
      <c r="C5054" t="str">
        <f t="shared" si="350"/>
        <v>706</v>
      </c>
      <c r="D5054" t="s">
        <v>28</v>
      </c>
      <c r="E5054" t="s">
        <v>83</v>
      </c>
      <c r="F5054" t="s">
        <v>3361</v>
      </c>
      <c r="G5054" t="s">
        <v>9657</v>
      </c>
      <c r="H5054" t="str">
        <f>"9499"</f>
        <v>9499</v>
      </c>
      <c r="I5054" t="s">
        <v>31</v>
      </c>
    </row>
    <row r="5055" spans="1:17" x14ac:dyDescent="0.3">
      <c r="A5055" t="str">
        <f>"05081238"</f>
        <v>05081238</v>
      </c>
      <c r="B5055" t="s">
        <v>9658</v>
      </c>
      <c r="C5055" t="str">
        <f t="shared" si="350"/>
        <v>706</v>
      </c>
      <c r="D5055" t="s">
        <v>28</v>
      </c>
      <c r="E5055" t="s">
        <v>52</v>
      </c>
      <c r="F5055" t="s">
        <v>113</v>
      </c>
      <c r="G5055" t="s">
        <v>9659</v>
      </c>
      <c r="H5055" t="str">
        <f>"94993"</f>
        <v>94993</v>
      </c>
      <c r="I5055" t="s">
        <v>50</v>
      </c>
    </row>
    <row r="5056" spans="1:17" x14ac:dyDescent="0.3">
      <c r="A5056" t="str">
        <f>"17724520"</f>
        <v>17724520</v>
      </c>
      <c r="B5056" t="s">
        <v>9660</v>
      </c>
      <c r="C5056" t="str">
        <f t="shared" si="350"/>
        <v>706</v>
      </c>
      <c r="D5056" t="s">
        <v>28</v>
      </c>
      <c r="E5056" t="s">
        <v>83</v>
      </c>
      <c r="F5056" t="s">
        <v>175</v>
      </c>
      <c r="G5056" t="s">
        <v>9661</v>
      </c>
      <c r="H5056" t="str">
        <f>"6820"</f>
        <v>6820</v>
      </c>
      <c r="I5056" t="s">
        <v>622</v>
      </c>
    </row>
    <row r="5057" spans="1:9" x14ac:dyDescent="0.3">
      <c r="A5057" t="str">
        <f>"22725288"</f>
        <v>22725288</v>
      </c>
      <c r="B5057" t="s">
        <v>9662</v>
      </c>
      <c r="C5057" t="str">
        <f t="shared" si="350"/>
        <v>706</v>
      </c>
      <c r="D5057" t="s">
        <v>28</v>
      </c>
      <c r="E5057" t="s">
        <v>23</v>
      </c>
      <c r="F5057" t="s">
        <v>23</v>
      </c>
      <c r="G5057" t="s">
        <v>9663</v>
      </c>
      <c r="H5057" t="str">
        <f>"9499"</f>
        <v>9499</v>
      </c>
      <c r="I5057" t="s">
        <v>31</v>
      </c>
    </row>
    <row r="5058" spans="1:9" x14ac:dyDescent="0.3">
      <c r="A5058" t="str">
        <f>"22725296"</f>
        <v>22725296</v>
      </c>
      <c r="B5058" t="s">
        <v>9664</v>
      </c>
      <c r="C5058" t="str">
        <f t="shared" si="350"/>
        <v>706</v>
      </c>
      <c r="D5058" t="s">
        <v>28</v>
      </c>
      <c r="E5058" t="s">
        <v>23</v>
      </c>
      <c r="F5058" t="s">
        <v>23</v>
      </c>
      <c r="G5058" t="s">
        <v>9663</v>
      </c>
      <c r="H5058" t="str">
        <f>"9499"</f>
        <v>9499</v>
      </c>
      <c r="I5058" t="s">
        <v>31</v>
      </c>
    </row>
    <row r="5059" spans="1:9" x14ac:dyDescent="0.3">
      <c r="A5059" t="str">
        <f>"04689992"</f>
        <v>04689992</v>
      </c>
      <c r="B5059" t="s">
        <v>9665</v>
      </c>
      <c r="C5059" t="str">
        <f t="shared" si="350"/>
        <v>706</v>
      </c>
      <c r="D5059" t="s">
        <v>28</v>
      </c>
      <c r="E5059" t="s">
        <v>83</v>
      </c>
      <c r="F5059" t="s">
        <v>3388</v>
      </c>
      <c r="G5059" t="s">
        <v>5409</v>
      </c>
      <c r="H5059" t="str">
        <f>"93190"</f>
        <v>93190</v>
      </c>
      <c r="I5059" t="s">
        <v>59</v>
      </c>
    </row>
    <row r="5060" spans="1:9" x14ac:dyDescent="0.3">
      <c r="A5060" t="str">
        <f>"09305882"</f>
        <v>09305882</v>
      </c>
      <c r="B5060" t="s">
        <v>9666</v>
      </c>
      <c r="C5060" t="str">
        <f t="shared" si="350"/>
        <v>706</v>
      </c>
      <c r="D5060" t="s">
        <v>28</v>
      </c>
      <c r="E5060" t="s">
        <v>52</v>
      </c>
      <c r="F5060" t="s">
        <v>379</v>
      </c>
      <c r="G5060" t="s">
        <v>9667</v>
      </c>
      <c r="H5060" t="str">
        <f>"9499"</f>
        <v>9499</v>
      </c>
      <c r="I5060" t="s">
        <v>31</v>
      </c>
    </row>
    <row r="5061" spans="1:9" x14ac:dyDescent="0.3">
      <c r="A5061" t="str">
        <f>"09649425"</f>
        <v>09649425</v>
      </c>
      <c r="B5061" t="s">
        <v>9668</v>
      </c>
      <c r="C5061" t="str">
        <f t="shared" si="350"/>
        <v>706</v>
      </c>
      <c r="D5061" t="s">
        <v>28</v>
      </c>
      <c r="E5061" t="s">
        <v>23</v>
      </c>
      <c r="F5061" t="s">
        <v>1917</v>
      </c>
      <c r="G5061" t="s">
        <v>9669</v>
      </c>
      <c r="H5061" t="str">
        <f>"93190"</f>
        <v>93190</v>
      </c>
      <c r="I5061" t="s">
        <v>59</v>
      </c>
    </row>
    <row r="5062" spans="1:9" x14ac:dyDescent="0.3">
      <c r="A5062" t="str">
        <f>"02425076"</f>
        <v>02425076</v>
      </c>
      <c r="B5062" t="s">
        <v>9670</v>
      </c>
      <c r="C5062" t="str">
        <f t="shared" si="350"/>
        <v>706</v>
      </c>
      <c r="D5062" t="s">
        <v>28</v>
      </c>
      <c r="E5062" t="s">
        <v>23</v>
      </c>
      <c r="F5062" t="s">
        <v>24</v>
      </c>
      <c r="G5062" t="s">
        <v>9671</v>
      </c>
      <c r="H5062" t="str">
        <f>"9499"</f>
        <v>9499</v>
      </c>
      <c r="I5062" t="s">
        <v>31</v>
      </c>
    </row>
    <row r="5063" spans="1:9" x14ac:dyDescent="0.3">
      <c r="A5063" t="str">
        <f>"60042567"</f>
        <v>60042567</v>
      </c>
      <c r="B5063" t="s">
        <v>9672</v>
      </c>
      <c r="C5063" t="str">
        <f t="shared" si="350"/>
        <v>706</v>
      </c>
      <c r="D5063" t="s">
        <v>28</v>
      </c>
      <c r="E5063" t="s">
        <v>29</v>
      </c>
      <c r="F5063" t="s">
        <v>29</v>
      </c>
      <c r="G5063" t="s">
        <v>9673</v>
      </c>
      <c r="H5063" t="str">
        <f>"94"</f>
        <v>94</v>
      </c>
      <c r="I5063" t="s">
        <v>1016</v>
      </c>
    </row>
    <row r="5064" spans="1:9" x14ac:dyDescent="0.3">
      <c r="A5064" t="str">
        <f>"06832636"</f>
        <v>06832636</v>
      </c>
      <c r="B5064" t="s">
        <v>9674</v>
      </c>
      <c r="C5064" t="str">
        <f t="shared" si="350"/>
        <v>706</v>
      </c>
      <c r="D5064" t="s">
        <v>28</v>
      </c>
      <c r="E5064" t="s">
        <v>23</v>
      </c>
      <c r="F5064" t="s">
        <v>23</v>
      </c>
      <c r="G5064" t="s">
        <v>9675</v>
      </c>
      <c r="H5064" t="str">
        <f>"93120"</f>
        <v>93120</v>
      </c>
      <c r="I5064" t="s">
        <v>54</v>
      </c>
    </row>
    <row r="5065" spans="1:9" x14ac:dyDescent="0.3">
      <c r="A5065" t="str">
        <f>"06882617"</f>
        <v>06882617</v>
      </c>
      <c r="B5065" t="s">
        <v>9676</v>
      </c>
      <c r="C5065" t="str">
        <f t="shared" si="350"/>
        <v>706</v>
      </c>
      <c r="D5065" t="s">
        <v>28</v>
      </c>
      <c r="E5065" t="s">
        <v>23</v>
      </c>
      <c r="F5065" t="s">
        <v>23</v>
      </c>
      <c r="G5065" t="s">
        <v>9677</v>
      </c>
      <c r="H5065" t="str">
        <f>"93120"</f>
        <v>93120</v>
      </c>
      <c r="I5065" t="s">
        <v>54</v>
      </c>
    </row>
    <row r="5066" spans="1:9" x14ac:dyDescent="0.3">
      <c r="A5066" t="str">
        <f>"06400612"</f>
        <v>06400612</v>
      </c>
      <c r="B5066" t="s">
        <v>9678</v>
      </c>
      <c r="C5066" t="str">
        <f t="shared" si="350"/>
        <v>706</v>
      </c>
      <c r="D5066" t="s">
        <v>28</v>
      </c>
      <c r="E5066" t="s">
        <v>52</v>
      </c>
      <c r="F5066" t="s">
        <v>920</v>
      </c>
      <c r="G5066" t="s">
        <v>7079</v>
      </c>
      <c r="H5066" t="str">
        <f>"9499"</f>
        <v>9499</v>
      </c>
      <c r="I5066" t="s">
        <v>31</v>
      </c>
    </row>
    <row r="5067" spans="1:9" x14ac:dyDescent="0.3">
      <c r="A5067" t="str">
        <f>"19423292"</f>
        <v>19423292</v>
      </c>
      <c r="B5067" t="s">
        <v>9679</v>
      </c>
      <c r="C5067" t="str">
        <f t="shared" si="350"/>
        <v>706</v>
      </c>
      <c r="D5067" t="s">
        <v>28</v>
      </c>
      <c r="E5067" t="s">
        <v>29</v>
      </c>
      <c r="F5067" t="s">
        <v>38</v>
      </c>
      <c r="G5067" t="s">
        <v>9680</v>
      </c>
      <c r="H5067" t="str">
        <f>"90030"</f>
        <v>90030</v>
      </c>
      <c r="I5067" t="s">
        <v>1252</v>
      </c>
    </row>
    <row r="5068" spans="1:9" x14ac:dyDescent="0.3">
      <c r="A5068" t="str">
        <f>"10754148"</f>
        <v>10754148</v>
      </c>
      <c r="B5068" t="s">
        <v>9681</v>
      </c>
      <c r="C5068" t="str">
        <f t="shared" si="350"/>
        <v>706</v>
      </c>
      <c r="D5068" t="s">
        <v>28</v>
      </c>
      <c r="E5068" t="s">
        <v>29</v>
      </c>
      <c r="F5068" t="s">
        <v>117</v>
      </c>
      <c r="G5068" t="s">
        <v>2116</v>
      </c>
      <c r="H5068" t="str">
        <f>"94993"</f>
        <v>94993</v>
      </c>
      <c r="I5068" t="s">
        <v>50</v>
      </c>
    </row>
    <row r="5069" spans="1:9" x14ac:dyDescent="0.3">
      <c r="A5069" t="str">
        <f>"22373918"</f>
        <v>22373918</v>
      </c>
      <c r="B5069" t="s">
        <v>9682</v>
      </c>
      <c r="C5069" t="str">
        <f t="shared" si="350"/>
        <v>706</v>
      </c>
      <c r="D5069" t="s">
        <v>28</v>
      </c>
      <c r="E5069" t="s">
        <v>52</v>
      </c>
      <c r="F5069" t="s">
        <v>951</v>
      </c>
      <c r="G5069" t="s">
        <v>9683</v>
      </c>
      <c r="H5069" t="str">
        <f>"9499"</f>
        <v>9499</v>
      </c>
      <c r="I5069" t="s">
        <v>31</v>
      </c>
    </row>
    <row r="5070" spans="1:9" x14ac:dyDescent="0.3">
      <c r="A5070" t="str">
        <f>"22893351"</f>
        <v>22893351</v>
      </c>
      <c r="B5070" t="s">
        <v>9684</v>
      </c>
      <c r="C5070" t="str">
        <f t="shared" si="350"/>
        <v>706</v>
      </c>
      <c r="D5070" t="s">
        <v>28</v>
      </c>
      <c r="E5070" t="s">
        <v>52</v>
      </c>
      <c r="F5070" t="s">
        <v>52</v>
      </c>
      <c r="G5070" t="s">
        <v>9685</v>
      </c>
      <c r="H5070" t="str">
        <f>"9499"</f>
        <v>9499</v>
      </c>
      <c r="I5070" t="s">
        <v>31</v>
      </c>
    </row>
    <row r="5071" spans="1:9" x14ac:dyDescent="0.3">
      <c r="A5071" t="str">
        <f>"70835721"</f>
        <v>70835721</v>
      </c>
      <c r="B5071" t="s">
        <v>9686</v>
      </c>
      <c r="C5071" t="str">
        <f t="shared" si="350"/>
        <v>706</v>
      </c>
      <c r="D5071" t="s">
        <v>28</v>
      </c>
      <c r="E5071" t="s">
        <v>23</v>
      </c>
      <c r="F5071" t="s">
        <v>3332</v>
      </c>
      <c r="G5071" t="s">
        <v>9687</v>
      </c>
      <c r="H5071" t="str">
        <f>"94991"</f>
        <v>94991</v>
      </c>
      <c r="I5071" t="s">
        <v>433</v>
      </c>
    </row>
    <row r="5072" spans="1:9" x14ac:dyDescent="0.3">
      <c r="A5072" t="str">
        <f>"05484936"</f>
        <v>05484936</v>
      </c>
      <c r="B5072" t="s">
        <v>9688</v>
      </c>
      <c r="C5072" t="str">
        <f t="shared" si="350"/>
        <v>706</v>
      </c>
      <c r="D5072" t="s">
        <v>28</v>
      </c>
      <c r="E5072" t="s">
        <v>23</v>
      </c>
      <c r="F5072" t="s">
        <v>306</v>
      </c>
      <c r="G5072" t="s">
        <v>9689</v>
      </c>
      <c r="H5072" t="str">
        <f>"9499"</f>
        <v>9499</v>
      </c>
      <c r="I5072" t="s">
        <v>31</v>
      </c>
    </row>
    <row r="5073" spans="1:9" x14ac:dyDescent="0.3">
      <c r="A5073" t="str">
        <f>"05667003"</f>
        <v>05667003</v>
      </c>
      <c r="B5073" t="s">
        <v>9690</v>
      </c>
      <c r="C5073" t="str">
        <f t="shared" ref="C5073:C5124" si="353">"706"</f>
        <v>706</v>
      </c>
      <c r="D5073" t="s">
        <v>28</v>
      </c>
      <c r="E5073" t="s">
        <v>23</v>
      </c>
      <c r="F5073" t="s">
        <v>1917</v>
      </c>
      <c r="G5073" t="s">
        <v>9691</v>
      </c>
      <c r="H5073" t="str">
        <f>"9499"</f>
        <v>9499</v>
      </c>
      <c r="I5073" t="s">
        <v>31</v>
      </c>
    </row>
    <row r="5074" spans="1:9" x14ac:dyDescent="0.3">
      <c r="A5074" t="str">
        <f>"03397696"</f>
        <v>03397696</v>
      </c>
      <c r="B5074" t="s">
        <v>9692</v>
      </c>
      <c r="C5074" t="str">
        <f t="shared" si="353"/>
        <v>706</v>
      </c>
      <c r="D5074" t="s">
        <v>28</v>
      </c>
      <c r="E5074" t="s">
        <v>23</v>
      </c>
      <c r="F5074" t="s">
        <v>350</v>
      </c>
      <c r="G5074" t="s">
        <v>9693</v>
      </c>
      <c r="H5074" t="str">
        <f>"9499"</f>
        <v>9499</v>
      </c>
      <c r="I5074" t="s">
        <v>31</v>
      </c>
    </row>
    <row r="5075" spans="1:9" x14ac:dyDescent="0.3">
      <c r="A5075" t="str">
        <f>"05106354"</f>
        <v>05106354</v>
      </c>
      <c r="B5075" t="s">
        <v>9694</v>
      </c>
      <c r="C5075" t="str">
        <f t="shared" si="353"/>
        <v>706</v>
      </c>
      <c r="D5075" t="s">
        <v>28</v>
      </c>
      <c r="E5075" t="s">
        <v>52</v>
      </c>
      <c r="F5075" t="s">
        <v>113</v>
      </c>
      <c r="G5075" t="s">
        <v>9695</v>
      </c>
      <c r="H5075" t="str">
        <f>"9499"</f>
        <v>9499</v>
      </c>
      <c r="I5075" t="s">
        <v>31</v>
      </c>
    </row>
    <row r="5076" spans="1:9" x14ac:dyDescent="0.3">
      <c r="A5076" t="str">
        <f>"22899316"</f>
        <v>22899316</v>
      </c>
      <c r="B5076" t="s">
        <v>9696</v>
      </c>
      <c r="C5076" t="str">
        <f t="shared" si="353"/>
        <v>706</v>
      </c>
      <c r="D5076" t="s">
        <v>28</v>
      </c>
      <c r="E5076" t="s">
        <v>23</v>
      </c>
      <c r="F5076" t="s">
        <v>24</v>
      </c>
      <c r="G5076" t="s">
        <v>9697</v>
      </c>
      <c r="H5076" t="str">
        <f>"93120"</f>
        <v>93120</v>
      </c>
      <c r="I5076" t="s">
        <v>54</v>
      </c>
    </row>
    <row r="5077" spans="1:9" x14ac:dyDescent="0.3">
      <c r="A5077" t="str">
        <f>"10914064"</f>
        <v>10914064</v>
      </c>
      <c r="B5077" t="s">
        <v>9698</v>
      </c>
      <c r="C5077" t="str">
        <f t="shared" si="353"/>
        <v>706</v>
      </c>
      <c r="D5077" t="s">
        <v>28</v>
      </c>
      <c r="E5077" t="s">
        <v>23</v>
      </c>
      <c r="F5077" t="s">
        <v>245</v>
      </c>
      <c r="G5077" t="s">
        <v>9699</v>
      </c>
      <c r="H5077" t="str">
        <f t="shared" ref="H5077:H5082" si="354">"9499"</f>
        <v>9499</v>
      </c>
      <c r="I5077" t="s">
        <v>31</v>
      </c>
    </row>
    <row r="5078" spans="1:9" x14ac:dyDescent="0.3">
      <c r="A5078" t="str">
        <f>"04762363"</f>
        <v>04762363</v>
      </c>
      <c r="B5078" t="s">
        <v>9700</v>
      </c>
      <c r="C5078" t="str">
        <f t="shared" si="353"/>
        <v>706</v>
      </c>
      <c r="D5078" t="s">
        <v>28</v>
      </c>
      <c r="E5078" t="s">
        <v>23</v>
      </c>
      <c r="F5078" t="s">
        <v>3332</v>
      </c>
      <c r="G5078" t="s">
        <v>9701</v>
      </c>
      <c r="H5078" t="str">
        <f t="shared" si="354"/>
        <v>9499</v>
      </c>
      <c r="I5078" t="s">
        <v>31</v>
      </c>
    </row>
    <row r="5079" spans="1:9" x14ac:dyDescent="0.3">
      <c r="A5079" t="str">
        <f>"04917537"</f>
        <v>04917537</v>
      </c>
      <c r="B5079" t="s">
        <v>9702</v>
      </c>
      <c r="C5079" t="str">
        <f t="shared" si="353"/>
        <v>706</v>
      </c>
      <c r="D5079" t="s">
        <v>28</v>
      </c>
      <c r="E5079" t="s">
        <v>23</v>
      </c>
      <c r="F5079" t="s">
        <v>23</v>
      </c>
      <c r="G5079" t="s">
        <v>9703</v>
      </c>
      <c r="H5079" t="str">
        <f t="shared" si="354"/>
        <v>9499</v>
      </c>
      <c r="I5079" t="s">
        <v>31</v>
      </c>
    </row>
    <row r="5080" spans="1:9" x14ac:dyDescent="0.3">
      <c r="A5080" t="str">
        <f>"09695648"</f>
        <v>09695648</v>
      </c>
      <c r="B5080" t="s">
        <v>9704</v>
      </c>
      <c r="C5080" t="str">
        <f t="shared" si="353"/>
        <v>706</v>
      </c>
      <c r="D5080" t="s">
        <v>28</v>
      </c>
      <c r="E5080" t="s">
        <v>23</v>
      </c>
      <c r="F5080" t="s">
        <v>23</v>
      </c>
      <c r="G5080" t="s">
        <v>9705</v>
      </c>
      <c r="H5080" t="str">
        <f t="shared" si="354"/>
        <v>9499</v>
      </c>
      <c r="I5080" t="s">
        <v>31</v>
      </c>
    </row>
    <row r="5081" spans="1:9" x14ac:dyDescent="0.3">
      <c r="A5081" t="str">
        <f>"26611295"</f>
        <v>26611295</v>
      </c>
      <c r="B5081" t="s">
        <v>9706</v>
      </c>
      <c r="C5081" t="str">
        <f t="shared" si="353"/>
        <v>706</v>
      </c>
      <c r="D5081" t="s">
        <v>28</v>
      </c>
      <c r="E5081" t="s">
        <v>23</v>
      </c>
      <c r="F5081" t="s">
        <v>710</v>
      </c>
      <c r="G5081" t="s">
        <v>9312</v>
      </c>
      <c r="H5081" t="str">
        <f t="shared" si="354"/>
        <v>9499</v>
      </c>
      <c r="I5081" t="s">
        <v>31</v>
      </c>
    </row>
    <row r="5082" spans="1:9" x14ac:dyDescent="0.3">
      <c r="A5082" t="str">
        <f>"11995734"</f>
        <v>11995734</v>
      </c>
      <c r="B5082" t="s">
        <v>9707</v>
      </c>
      <c r="C5082" t="str">
        <f t="shared" si="353"/>
        <v>706</v>
      </c>
      <c r="D5082" t="s">
        <v>28</v>
      </c>
      <c r="E5082" t="s">
        <v>52</v>
      </c>
      <c r="F5082" t="s">
        <v>94</v>
      </c>
      <c r="G5082" t="s">
        <v>5941</v>
      </c>
      <c r="H5082" t="str">
        <f t="shared" si="354"/>
        <v>9499</v>
      </c>
      <c r="I5082" t="s">
        <v>31</v>
      </c>
    </row>
    <row r="5083" spans="1:9" x14ac:dyDescent="0.3">
      <c r="A5083" t="str">
        <f>"22869263"</f>
        <v>22869263</v>
      </c>
      <c r="B5083" t="s">
        <v>9708</v>
      </c>
      <c r="C5083" t="str">
        <f t="shared" si="353"/>
        <v>706</v>
      </c>
      <c r="D5083" t="s">
        <v>28</v>
      </c>
      <c r="E5083" t="s">
        <v>29</v>
      </c>
      <c r="F5083" t="s">
        <v>852</v>
      </c>
      <c r="G5083" t="s">
        <v>9709</v>
      </c>
      <c r="H5083" t="str">
        <f>"94995"</f>
        <v>94995</v>
      </c>
      <c r="I5083" t="s">
        <v>232</v>
      </c>
    </row>
    <row r="5084" spans="1:9" x14ac:dyDescent="0.3">
      <c r="A5084" t="str">
        <f>"06590080"</f>
        <v>06590080</v>
      </c>
      <c r="B5084" t="s">
        <v>9710</v>
      </c>
      <c r="C5084" t="str">
        <f t="shared" si="353"/>
        <v>706</v>
      </c>
      <c r="D5084" t="s">
        <v>28</v>
      </c>
      <c r="E5084" t="s">
        <v>29</v>
      </c>
      <c r="F5084" t="s">
        <v>135</v>
      </c>
      <c r="G5084" t="s">
        <v>9711</v>
      </c>
      <c r="H5084" t="str">
        <f>"9499"</f>
        <v>9499</v>
      </c>
      <c r="I5084" t="s">
        <v>31</v>
      </c>
    </row>
    <row r="5085" spans="1:9" x14ac:dyDescent="0.3">
      <c r="A5085" t="str">
        <f>"22821503"</f>
        <v>22821503</v>
      </c>
      <c r="B5085" t="s">
        <v>9712</v>
      </c>
      <c r="C5085" t="str">
        <f t="shared" si="353"/>
        <v>706</v>
      </c>
      <c r="D5085" t="s">
        <v>28</v>
      </c>
      <c r="E5085" t="s">
        <v>23</v>
      </c>
      <c r="F5085" t="s">
        <v>1935</v>
      </c>
      <c r="G5085" t="s">
        <v>9713</v>
      </c>
      <c r="H5085" t="str">
        <f>"94995"</f>
        <v>94995</v>
      </c>
      <c r="I5085" t="s">
        <v>232</v>
      </c>
    </row>
    <row r="5086" spans="1:9" x14ac:dyDescent="0.3">
      <c r="A5086" t="str">
        <f>"26615096"</f>
        <v>26615096</v>
      </c>
      <c r="B5086" t="s">
        <v>9714</v>
      </c>
      <c r="C5086" t="str">
        <f t="shared" si="353"/>
        <v>706</v>
      </c>
      <c r="D5086" t="s">
        <v>28</v>
      </c>
      <c r="E5086" t="s">
        <v>23</v>
      </c>
      <c r="F5086" t="s">
        <v>23</v>
      </c>
      <c r="G5086" t="s">
        <v>9715</v>
      </c>
      <c r="H5086" t="str">
        <f>"9499"</f>
        <v>9499</v>
      </c>
      <c r="I5086" t="s">
        <v>31</v>
      </c>
    </row>
    <row r="5087" spans="1:9" x14ac:dyDescent="0.3">
      <c r="A5087" t="str">
        <f>"69211884"</f>
        <v>69211884</v>
      </c>
      <c r="B5087" t="s">
        <v>9716</v>
      </c>
      <c r="C5087" t="str">
        <f t="shared" si="353"/>
        <v>706</v>
      </c>
      <c r="D5087" t="s">
        <v>28</v>
      </c>
      <c r="E5087" t="s">
        <v>29</v>
      </c>
      <c r="F5087" t="s">
        <v>38</v>
      </c>
      <c r="G5087" t="s">
        <v>9717</v>
      </c>
      <c r="H5087" t="str">
        <f>"9499"</f>
        <v>9499</v>
      </c>
      <c r="I5087" t="s">
        <v>31</v>
      </c>
    </row>
    <row r="5088" spans="1:9" x14ac:dyDescent="0.3">
      <c r="A5088" t="str">
        <f>"22890670"</f>
        <v>22890670</v>
      </c>
      <c r="B5088" t="s">
        <v>9718</v>
      </c>
      <c r="C5088" t="str">
        <f t="shared" si="353"/>
        <v>706</v>
      </c>
      <c r="D5088" t="s">
        <v>28</v>
      </c>
      <c r="E5088" t="s">
        <v>29</v>
      </c>
      <c r="F5088" t="s">
        <v>1654</v>
      </c>
      <c r="G5088" t="s">
        <v>1820</v>
      </c>
      <c r="H5088" t="str">
        <f>"9499"</f>
        <v>9499</v>
      </c>
      <c r="I5088" t="s">
        <v>31</v>
      </c>
    </row>
    <row r="5089" spans="1:10" x14ac:dyDescent="0.3">
      <c r="A5089" t="str">
        <f>"22611291"</f>
        <v>22611291</v>
      </c>
      <c r="B5089" t="s">
        <v>9719</v>
      </c>
      <c r="C5089" t="str">
        <f t="shared" si="353"/>
        <v>706</v>
      </c>
      <c r="D5089" t="s">
        <v>28</v>
      </c>
      <c r="E5089" t="s">
        <v>23</v>
      </c>
      <c r="F5089" t="s">
        <v>141</v>
      </c>
      <c r="G5089" t="s">
        <v>9720</v>
      </c>
      <c r="H5089" t="str">
        <f>"94995"</f>
        <v>94995</v>
      </c>
      <c r="I5089" t="s">
        <v>232</v>
      </c>
    </row>
    <row r="5090" spans="1:10" x14ac:dyDescent="0.3">
      <c r="A5090" t="str">
        <f>"26599180"</f>
        <v>26599180</v>
      </c>
      <c r="B5090" t="s">
        <v>9721</v>
      </c>
      <c r="C5090" t="str">
        <f t="shared" si="353"/>
        <v>706</v>
      </c>
      <c r="D5090" t="s">
        <v>28</v>
      </c>
      <c r="E5090" t="s">
        <v>83</v>
      </c>
      <c r="F5090" t="s">
        <v>537</v>
      </c>
      <c r="G5090" t="s">
        <v>9722</v>
      </c>
      <c r="H5090" t="str">
        <f>"9499"</f>
        <v>9499</v>
      </c>
      <c r="I5090" t="s">
        <v>31</v>
      </c>
    </row>
    <row r="5091" spans="1:10" x14ac:dyDescent="0.3">
      <c r="A5091" t="str">
        <f>"22890980"</f>
        <v>22890980</v>
      </c>
      <c r="B5091" t="s">
        <v>9723</v>
      </c>
      <c r="C5091" t="str">
        <f t="shared" si="353"/>
        <v>706</v>
      </c>
      <c r="D5091" t="s">
        <v>28</v>
      </c>
      <c r="E5091" t="s">
        <v>52</v>
      </c>
      <c r="F5091" t="s">
        <v>94</v>
      </c>
      <c r="G5091" t="s">
        <v>9724</v>
      </c>
      <c r="H5091" t="str">
        <f>"9499"</f>
        <v>9499</v>
      </c>
      <c r="I5091" t="s">
        <v>31</v>
      </c>
    </row>
    <row r="5092" spans="1:10" x14ac:dyDescent="0.3">
      <c r="A5092" t="str">
        <f>"07099541"</f>
        <v>07099541</v>
      </c>
      <c r="B5092" t="s">
        <v>9725</v>
      </c>
      <c r="C5092" t="str">
        <f t="shared" si="353"/>
        <v>706</v>
      </c>
      <c r="D5092" t="s">
        <v>28</v>
      </c>
      <c r="E5092" t="s">
        <v>23</v>
      </c>
      <c r="F5092" t="s">
        <v>35</v>
      </c>
      <c r="G5092" t="s">
        <v>9726</v>
      </c>
      <c r="H5092" t="str">
        <f>"9499"</f>
        <v>9499</v>
      </c>
      <c r="I5092" t="s">
        <v>31</v>
      </c>
    </row>
    <row r="5093" spans="1:10" x14ac:dyDescent="0.3">
      <c r="A5093" t="str">
        <f>"04239482"</f>
        <v>04239482</v>
      </c>
      <c r="B5093" t="s">
        <v>9727</v>
      </c>
      <c r="C5093" t="str">
        <f t="shared" si="353"/>
        <v>706</v>
      </c>
      <c r="D5093" t="s">
        <v>28</v>
      </c>
      <c r="E5093" t="s">
        <v>52</v>
      </c>
      <c r="F5093" t="s">
        <v>52</v>
      </c>
      <c r="G5093" t="s">
        <v>9728</v>
      </c>
      <c r="H5093" t="str">
        <f>"9499"</f>
        <v>9499</v>
      </c>
      <c r="I5093" t="s">
        <v>31</v>
      </c>
    </row>
    <row r="5094" spans="1:10" x14ac:dyDescent="0.3">
      <c r="A5094" t="str">
        <f>"04944429"</f>
        <v>04944429</v>
      </c>
      <c r="B5094" t="s">
        <v>9729</v>
      </c>
      <c r="C5094" t="str">
        <f t="shared" si="353"/>
        <v>706</v>
      </c>
      <c r="D5094" t="s">
        <v>28</v>
      </c>
      <c r="E5094" t="s">
        <v>23</v>
      </c>
      <c r="F5094" t="s">
        <v>23</v>
      </c>
      <c r="G5094" t="s">
        <v>2636</v>
      </c>
      <c r="H5094" t="str">
        <f>"94999"</f>
        <v>94999</v>
      </c>
      <c r="I5094" t="s">
        <v>202</v>
      </c>
    </row>
    <row r="5095" spans="1:10" x14ac:dyDescent="0.3">
      <c r="A5095" t="str">
        <f>"06058990"</f>
        <v>06058990</v>
      </c>
      <c r="B5095" t="s">
        <v>9730</v>
      </c>
      <c r="C5095" t="str">
        <f t="shared" si="353"/>
        <v>706</v>
      </c>
      <c r="D5095" t="s">
        <v>28</v>
      </c>
      <c r="E5095" t="s">
        <v>23</v>
      </c>
      <c r="F5095" t="s">
        <v>350</v>
      </c>
      <c r="G5095" t="s">
        <v>9731</v>
      </c>
      <c r="H5095" t="str">
        <f>"9499"</f>
        <v>9499</v>
      </c>
      <c r="I5095" t="s">
        <v>31</v>
      </c>
    </row>
    <row r="5096" spans="1:10" x14ac:dyDescent="0.3">
      <c r="A5096" t="str">
        <f>"22644491"</f>
        <v>22644491</v>
      </c>
      <c r="B5096" t="s">
        <v>9732</v>
      </c>
      <c r="C5096" t="str">
        <f t="shared" si="353"/>
        <v>706</v>
      </c>
      <c r="D5096" t="s">
        <v>28</v>
      </c>
      <c r="E5096" t="s">
        <v>83</v>
      </c>
      <c r="F5096" t="s">
        <v>1532</v>
      </c>
      <c r="G5096" t="s">
        <v>3348</v>
      </c>
      <c r="H5096" t="str">
        <f>"9499"</f>
        <v>9499</v>
      </c>
      <c r="I5096" t="s">
        <v>31</v>
      </c>
    </row>
    <row r="5097" spans="1:10" x14ac:dyDescent="0.3">
      <c r="A5097" t="str">
        <f>"04153448"</f>
        <v>04153448</v>
      </c>
      <c r="B5097" t="s">
        <v>9733</v>
      </c>
      <c r="C5097" t="str">
        <f t="shared" si="353"/>
        <v>706</v>
      </c>
      <c r="D5097" t="s">
        <v>28</v>
      </c>
      <c r="E5097" t="s">
        <v>83</v>
      </c>
      <c r="F5097" t="s">
        <v>991</v>
      </c>
      <c r="G5097" t="s">
        <v>9734</v>
      </c>
      <c r="H5097" t="str">
        <f>"9499"</f>
        <v>9499</v>
      </c>
      <c r="I5097" t="s">
        <v>31</v>
      </c>
    </row>
    <row r="5098" spans="1:10" x14ac:dyDescent="0.3">
      <c r="A5098" t="str">
        <f>"27046311"</f>
        <v>27046311</v>
      </c>
      <c r="B5098" t="s">
        <v>9735</v>
      </c>
      <c r="C5098" t="str">
        <f t="shared" si="353"/>
        <v>706</v>
      </c>
      <c r="D5098" t="s">
        <v>28</v>
      </c>
      <c r="E5098" t="s">
        <v>52</v>
      </c>
      <c r="F5098" t="s">
        <v>2626</v>
      </c>
      <c r="G5098" t="s">
        <v>9736</v>
      </c>
      <c r="H5098" t="str">
        <f>"9499"</f>
        <v>9499</v>
      </c>
      <c r="I5098" t="s">
        <v>31</v>
      </c>
      <c r="J5098" t="s">
        <v>147</v>
      </c>
    </row>
    <row r="5099" spans="1:10" x14ac:dyDescent="0.3">
      <c r="A5099" t="str">
        <f>"22716211"</f>
        <v>22716211</v>
      </c>
      <c r="B5099" t="s">
        <v>9737</v>
      </c>
      <c r="C5099" t="str">
        <f t="shared" si="353"/>
        <v>706</v>
      </c>
      <c r="D5099" t="s">
        <v>28</v>
      </c>
      <c r="E5099" t="s">
        <v>52</v>
      </c>
      <c r="F5099" t="s">
        <v>612</v>
      </c>
      <c r="G5099" t="s">
        <v>9738</v>
      </c>
      <c r="H5099" t="str">
        <f>"9499"</f>
        <v>9499</v>
      </c>
      <c r="I5099" t="s">
        <v>31</v>
      </c>
    </row>
    <row r="5100" spans="1:10" x14ac:dyDescent="0.3">
      <c r="A5100" t="str">
        <f>"22711911"</f>
        <v>22711911</v>
      </c>
      <c r="B5100" t="s">
        <v>9739</v>
      </c>
      <c r="C5100" t="str">
        <f t="shared" si="353"/>
        <v>706</v>
      </c>
      <c r="D5100" t="s">
        <v>28</v>
      </c>
      <c r="E5100" t="s">
        <v>23</v>
      </c>
      <c r="F5100" t="s">
        <v>23</v>
      </c>
      <c r="G5100" t="s">
        <v>9740</v>
      </c>
      <c r="H5100" t="str">
        <f>"93120"</f>
        <v>93120</v>
      </c>
      <c r="I5100" t="s">
        <v>54</v>
      </c>
    </row>
    <row r="5101" spans="1:10" x14ac:dyDescent="0.3">
      <c r="A5101" t="str">
        <f>"04236343"</f>
        <v>04236343</v>
      </c>
      <c r="B5101" t="s">
        <v>9741</v>
      </c>
      <c r="C5101" t="str">
        <f t="shared" si="353"/>
        <v>706</v>
      </c>
      <c r="D5101" t="s">
        <v>28</v>
      </c>
      <c r="E5101" t="s">
        <v>23</v>
      </c>
      <c r="F5101" t="s">
        <v>5347</v>
      </c>
      <c r="G5101" t="s">
        <v>9742</v>
      </c>
      <c r="H5101" t="str">
        <f>"90010"</f>
        <v>90010</v>
      </c>
      <c r="I5101" t="s">
        <v>2014</v>
      </c>
    </row>
    <row r="5102" spans="1:10" x14ac:dyDescent="0.3">
      <c r="A5102" t="str">
        <f>"05645841"</f>
        <v>05645841</v>
      </c>
      <c r="B5102" t="s">
        <v>9743</v>
      </c>
      <c r="C5102" t="str">
        <f t="shared" si="353"/>
        <v>706</v>
      </c>
      <c r="D5102" t="s">
        <v>28</v>
      </c>
      <c r="E5102" t="s">
        <v>52</v>
      </c>
      <c r="F5102" t="s">
        <v>334</v>
      </c>
      <c r="G5102" t="s">
        <v>9744</v>
      </c>
      <c r="H5102" t="str">
        <f>"93190"</f>
        <v>93190</v>
      </c>
      <c r="I5102" t="s">
        <v>59</v>
      </c>
    </row>
    <row r="5103" spans="1:10" x14ac:dyDescent="0.3">
      <c r="A5103" t="str">
        <f>"22755306"</f>
        <v>22755306</v>
      </c>
      <c r="B5103" t="s">
        <v>9745</v>
      </c>
      <c r="C5103" t="str">
        <f t="shared" si="353"/>
        <v>706</v>
      </c>
      <c r="D5103" t="s">
        <v>28</v>
      </c>
      <c r="E5103" t="s">
        <v>23</v>
      </c>
      <c r="F5103" t="s">
        <v>975</v>
      </c>
      <c r="G5103" t="s">
        <v>9746</v>
      </c>
      <c r="H5103" t="str">
        <f>"93110"</f>
        <v>93110</v>
      </c>
      <c r="I5103" t="s">
        <v>92</v>
      </c>
    </row>
    <row r="5104" spans="1:10" x14ac:dyDescent="0.3">
      <c r="A5104" t="str">
        <f>"67010148"</f>
        <v>67010148</v>
      </c>
      <c r="B5104" t="s">
        <v>9747</v>
      </c>
      <c r="C5104" t="str">
        <f t="shared" si="353"/>
        <v>706</v>
      </c>
      <c r="D5104" t="s">
        <v>28</v>
      </c>
      <c r="E5104" t="s">
        <v>29</v>
      </c>
      <c r="F5104" t="s">
        <v>117</v>
      </c>
      <c r="G5104" t="s">
        <v>9748</v>
      </c>
      <c r="H5104" t="str">
        <f>"931"</f>
        <v>931</v>
      </c>
      <c r="I5104" t="s">
        <v>26</v>
      </c>
    </row>
    <row r="5105" spans="1:13" x14ac:dyDescent="0.3">
      <c r="A5105" t="str">
        <f>"22686070"</f>
        <v>22686070</v>
      </c>
      <c r="B5105" t="s">
        <v>9749</v>
      </c>
      <c r="C5105" t="str">
        <f t="shared" si="353"/>
        <v>706</v>
      </c>
      <c r="D5105" t="s">
        <v>28</v>
      </c>
      <c r="E5105" t="s">
        <v>23</v>
      </c>
      <c r="F5105" t="s">
        <v>459</v>
      </c>
      <c r="G5105" t="s">
        <v>9750</v>
      </c>
      <c r="H5105" t="str">
        <f>"93110"</f>
        <v>93110</v>
      </c>
      <c r="I5105" t="s">
        <v>92</v>
      </c>
    </row>
    <row r="5106" spans="1:13" x14ac:dyDescent="0.3">
      <c r="A5106" t="str">
        <f>"67006451"</f>
        <v>67006451</v>
      </c>
      <c r="B5106" t="s">
        <v>9751</v>
      </c>
      <c r="C5106" t="str">
        <f t="shared" si="353"/>
        <v>706</v>
      </c>
      <c r="D5106" t="s">
        <v>28</v>
      </c>
      <c r="E5106" t="s">
        <v>23</v>
      </c>
      <c r="F5106" t="s">
        <v>23</v>
      </c>
      <c r="G5106" t="s">
        <v>9752</v>
      </c>
      <c r="H5106" t="str">
        <f>"93120"</f>
        <v>93120</v>
      </c>
      <c r="I5106" t="s">
        <v>54</v>
      </c>
    </row>
    <row r="5107" spans="1:13" x14ac:dyDescent="0.3">
      <c r="A5107" t="str">
        <f>"65274512"</f>
        <v>65274512</v>
      </c>
      <c r="B5107" t="s">
        <v>9753</v>
      </c>
      <c r="C5107" t="str">
        <f t="shared" si="353"/>
        <v>706</v>
      </c>
      <c r="D5107" t="s">
        <v>28</v>
      </c>
      <c r="E5107" t="s">
        <v>83</v>
      </c>
      <c r="F5107" t="s">
        <v>83</v>
      </c>
      <c r="G5107" t="s">
        <v>9754</v>
      </c>
      <c r="H5107" t="str">
        <f>"93120"</f>
        <v>93120</v>
      </c>
      <c r="I5107" t="s">
        <v>54</v>
      </c>
    </row>
    <row r="5108" spans="1:13" x14ac:dyDescent="0.3">
      <c r="A5108" t="str">
        <f>"17722365"</f>
        <v>17722365</v>
      </c>
      <c r="B5108" t="s">
        <v>9755</v>
      </c>
      <c r="C5108" t="str">
        <f t="shared" si="353"/>
        <v>706</v>
      </c>
      <c r="D5108" t="s">
        <v>28</v>
      </c>
      <c r="E5108" t="s">
        <v>83</v>
      </c>
      <c r="F5108" t="s">
        <v>1718</v>
      </c>
      <c r="G5108" t="s">
        <v>9756</v>
      </c>
      <c r="H5108" t="str">
        <f>"93190"</f>
        <v>93190</v>
      </c>
      <c r="I5108" t="s">
        <v>59</v>
      </c>
    </row>
    <row r="5109" spans="1:13" x14ac:dyDescent="0.3">
      <c r="A5109" t="str">
        <f>"26586835"</f>
        <v>26586835</v>
      </c>
      <c r="B5109" t="s">
        <v>9757</v>
      </c>
      <c r="C5109" t="str">
        <f t="shared" si="353"/>
        <v>706</v>
      </c>
      <c r="D5109" t="s">
        <v>28</v>
      </c>
      <c r="E5109" t="s">
        <v>83</v>
      </c>
      <c r="F5109" t="s">
        <v>1545</v>
      </c>
      <c r="G5109" t="s">
        <v>9758</v>
      </c>
      <c r="H5109" t="str">
        <f>"93110"</f>
        <v>93110</v>
      </c>
      <c r="I5109" t="s">
        <v>92</v>
      </c>
    </row>
    <row r="5110" spans="1:13" x14ac:dyDescent="0.3">
      <c r="A5110" t="str">
        <f>"22665552"</f>
        <v>22665552</v>
      </c>
      <c r="B5110" t="s">
        <v>9759</v>
      </c>
      <c r="C5110" t="str">
        <f t="shared" si="353"/>
        <v>706</v>
      </c>
      <c r="D5110" t="s">
        <v>28</v>
      </c>
      <c r="E5110" t="s">
        <v>52</v>
      </c>
      <c r="F5110" t="s">
        <v>2377</v>
      </c>
      <c r="G5110" t="s">
        <v>9760</v>
      </c>
      <c r="H5110" t="str">
        <f>"93120"</f>
        <v>93120</v>
      </c>
      <c r="I5110" t="s">
        <v>54</v>
      </c>
    </row>
    <row r="5111" spans="1:13" x14ac:dyDescent="0.3">
      <c r="A5111" t="str">
        <f>"05584795"</f>
        <v>05584795</v>
      </c>
      <c r="B5111" t="s">
        <v>9761</v>
      </c>
      <c r="C5111" t="str">
        <f t="shared" si="353"/>
        <v>706</v>
      </c>
      <c r="D5111" t="s">
        <v>28</v>
      </c>
      <c r="E5111" t="s">
        <v>29</v>
      </c>
      <c r="F5111" t="s">
        <v>1221</v>
      </c>
      <c r="G5111" t="s">
        <v>5077</v>
      </c>
      <c r="H5111" t="str">
        <f>"93190"</f>
        <v>93190</v>
      </c>
      <c r="I5111" t="s">
        <v>59</v>
      </c>
    </row>
    <row r="5112" spans="1:13" x14ac:dyDescent="0.3">
      <c r="A5112" t="str">
        <f>"18055061"</f>
        <v>18055061</v>
      </c>
      <c r="B5112" t="s">
        <v>9762</v>
      </c>
      <c r="C5112" t="str">
        <f t="shared" si="353"/>
        <v>706</v>
      </c>
      <c r="D5112" t="s">
        <v>28</v>
      </c>
      <c r="E5112" t="s">
        <v>29</v>
      </c>
      <c r="F5112" t="s">
        <v>653</v>
      </c>
      <c r="G5112" t="s">
        <v>9763</v>
      </c>
      <c r="H5112" t="str">
        <f>"93120"</f>
        <v>93120</v>
      </c>
      <c r="I5112" t="s">
        <v>54</v>
      </c>
    </row>
    <row r="5113" spans="1:13" x14ac:dyDescent="0.3">
      <c r="A5113" t="str">
        <f>"26590891"</f>
        <v>26590891</v>
      </c>
      <c r="B5113" t="s">
        <v>9764</v>
      </c>
      <c r="C5113" t="str">
        <f t="shared" si="353"/>
        <v>706</v>
      </c>
      <c r="D5113" t="s">
        <v>28</v>
      </c>
      <c r="E5113" t="s">
        <v>23</v>
      </c>
      <c r="F5113" t="s">
        <v>23</v>
      </c>
      <c r="G5113" t="s">
        <v>9765</v>
      </c>
      <c r="H5113" t="str">
        <f>"9311"</f>
        <v>9311</v>
      </c>
      <c r="I5113" t="s">
        <v>92</v>
      </c>
      <c r="J5113" t="s">
        <v>161</v>
      </c>
      <c r="K5113" t="s">
        <v>622</v>
      </c>
      <c r="L5113" t="s">
        <v>262</v>
      </c>
      <c r="M5113" t="s">
        <v>54</v>
      </c>
    </row>
    <row r="5114" spans="1:13" x14ac:dyDescent="0.3">
      <c r="A5114" t="str">
        <f>"22707964"</f>
        <v>22707964</v>
      </c>
      <c r="B5114" t="s">
        <v>9766</v>
      </c>
      <c r="C5114" t="str">
        <f t="shared" si="353"/>
        <v>706</v>
      </c>
      <c r="D5114" t="s">
        <v>28</v>
      </c>
      <c r="E5114" t="s">
        <v>23</v>
      </c>
      <c r="F5114" t="s">
        <v>99</v>
      </c>
      <c r="G5114" t="s">
        <v>9767</v>
      </c>
      <c r="H5114" t="str">
        <f>"93190"</f>
        <v>93190</v>
      </c>
      <c r="I5114" t="s">
        <v>59</v>
      </c>
    </row>
    <row r="5115" spans="1:13" x14ac:dyDescent="0.3">
      <c r="A5115" t="str">
        <f>"22820507"</f>
        <v>22820507</v>
      </c>
      <c r="B5115" t="s">
        <v>9768</v>
      </c>
      <c r="C5115" t="str">
        <f t="shared" si="353"/>
        <v>706</v>
      </c>
      <c r="D5115" t="s">
        <v>28</v>
      </c>
      <c r="E5115" t="s">
        <v>23</v>
      </c>
      <c r="F5115" t="s">
        <v>23</v>
      </c>
      <c r="G5115" t="s">
        <v>2996</v>
      </c>
      <c r="H5115" t="str">
        <f>"9499"</f>
        <v>9499</v>
      </c>
      <c r="I5115" t="s">
        <v>31</v>
      </c>
    </row>
    <row r="5116" spans="1:13" x14ac:dyDescent="0.3">
      <c r="A5116" t="str">
        <f>"04644638"</f>
        <v>04644638</v>
      </c>
      <c r="B5116" t="s">
        <v>9769</v>
      </c>
      <c r="C5116" t="str">
        <f t="shared" si="353"/>
        <v>706</v>
      </c>
      <c r="D5116" t="s">
        <v>28</v>
      </c>
      <c r="E5116" t="s">
        <v>29</v>
      </c>
      <c r="F5116" t="s">
        <v>676</v>
      </c>
      <c r="G5116" t="s">
        <v>9770</v>
      </c>
      <c r="H5116" t="str">
        <f>"93190"</f>
        <v>93190</v>
      </c>
      <c r="I5116" t="s">
        <v>59</v>
      </c>
    </row>
    <row r="5117" spans="1:13" x14ac:dyDescent="0.3">
      <c r="A5117" t="str">
        <f>"09476989"</f>
        <v>09476989</v>
      </c>
      <c r="B5117" t="s">
        <v>9771</v>
      </c>
      <c r="C5117" t="str">
        <f t="shared" si="353"/>
        <v>706</v>
      </c>
      <c r="D5117" t="s">
        <v>28</v>
      </c>
      <c r="E5117" t="s">
        <v>29</v>
      </c>
      <c r="F5117" t="s">
        <v>29</v>
      </c>
      <c r="G5117" t="s">
        <v>9772</v>
      </c>
      <c r="H5117" t="str">
        <f>"93190"</f>
        <v>93190</v>
      </c>
      <c r="I5117" t="s">
        <v>59</v>
      </c>
    </row>
    <row r="5118" spans="1:13" x14ac:dyDescent="0.3">
      <c r="A5118" t="str">
        <f>"07461941"</f>
        <v>07461941</v>
      </c>
      <c r="B5118" t="s">
        <v>9773</v>
      </c>
      <c r="C5118" t="str">
        <f t="shared" si="353"/>
        <v>706</v>
      </c>
      <c r="D5118" t="s">
        <v>28</v>
      </c>
      <c r="E5118" t="s">
        <v>29</v>
      </c>
      <c r="F5118" t="s">
        <v>29</v>
      </c>
      <c r="G5118" t="s">
        <v>8931</v>
      </c>
      <c r="H5118" t="str">
        <f>"93110"</f>
        <v>93110</v>
      </c>
      <c r="I5118" t="s">
        <v>92</v>
      </c>
    </row>
    <row r="5119" spans="1:13" x14ac:dyDescent="0.3">
      <c r="A5119" t="str">
        <f>"22725407"</f>
        <v>22725407</v>
      </c>
      <c r="B5119" t="s">
        <v>9774</v>
      </c>
      <c r="C5119" t="str">
        <f t="shared" si="353"/>
        <v>706</v>
      </c>
      <c r="D5119" t="s">
        <v>28</v>
      </c>
      <c r="E5119" t="s">
        <v>23</v>
      </c>
      <c r="F5119" t="s">
        <v>23</v>
      </c>
      <c r="G5119" t="s">
        <v>9775</v>
      </c>
      <c r="H5119" t="str">
        <f>"93110"</f>
        <v>93110</v>
      </c>
      <c r="I5119" t="s">
        <v>92</v>
      </c>
      <c r="J5119" t="s">
        <v>59</v>
      </c>
    </row>
    <row r="5120" spans="1:13" x14ac:dyDescent="0.3">
      <c r="A5120" t="str">
        <f>"19322658"</f>
        <v>19322658</v>
      </c>
      <c r="B5120" t="s">
        <v>9776</v>
      </c>
      <c r="C5120" t="str">
        <f t="shared" si="353"/>
        <v>706</v>
      </c>
      <c r="D5120" t="s">
        <v>28</v>
      </c>
      <c r="E5120" t="s">
        <v>52</v>
      </c>
      <c r="F5120" t="s">
        <v>927</v>
      </c>
      <c r="G5120" t="s">
        <v>9777</v>
      </c>
      <c r="H5120" t="str">
        <f>"93190"</f>
        <v>93190</v>
      </c>
      <c r="I5120" t="s">
        <v>59</v>
      </c>
    </row>
    <row r="5121" spans="1:11" x14ac:dyDescent="0.3">
      <c r="A5121" t="str">
        <f>"26680769"</f>
        <v>26680769</v>
      </c>
      <c r="B5121" t="s">
        <v>9778</v>
      </c>
      <c r="C5121" t="str">
        <f t="shared" si="353"/>
        <v>706</v>
      </c>
      <c r="D5121" t="s">
        <v>28</v>
      </c>
      <c r="E5121" t="s">
        <v>23</v>
      </c>
      <c r="F5121" t="s">
        <v>23</v>
      </c>
      <c r="G5121" t="s">
        <v>9779</v>
      </c>
      <c r="H5121" t="str">
        <f>"93110"</f>
        <v>93110</v>
      </c>
      <c r="I5121" t="s">
        <v>92</v>
      </c>
    </row>
    <row r="5122" spans="1:11" x14ac:dyDescent="0.3">
      <c r="A5122" t="str">
        <f>"69653445"</f>
        <v>69653445</v>
      </c>
      <c r="B5122" t="s">
        <v>9780</v>
      </c>
      <c r="C5122" t="str">
        <f t="shared" si="353"/>
        <v>706</v>
      </c>
      <c r="D5122" t="s">
        <v>28</v>
      </c>
      <c r="E5122" t="s">
        <v>23</v>
      </c>
      <c r="F5122" t="s">
        <v>975</v>
      </c>
      <c r="G5122" t="s">
        <v>8795</v>
      </c>
      <c r="H5122" t="str">
        <f>"931"</f>
        <v>931</v>
      </c>
      <c r="I5122" t="s">
        <v>26</v>
      </c>
    </row>
    <row r="5123" spans="1:11" x14ac:dyDescent="0.3">
      <c r="A5123" t="str">
        <f>"68689632"</f>
        <v>68689632</v>
      </c>
      <c r="B5123" t="s">
        <v>9781</v>
      </c>
      <c r="C5123" t="str">
        <f t="shared" si="353"/>
        <v>706</v>
      </c>
      <c r="D5123" t="s">
        <v>28</v>
      </c>
      <c r="E5123" t="s">
        <v>83</v>
      </c>
      <c r="F5123" t="s">
        <v>83</v>
      </c>
      <c r="G5123" t="s">
        <v>9782</v>
      </c>
      <c r="H5123" t="str">
        <f>"94991"</f>
        <v>94991</v>
      </c>
      <c r="I5123" t="s">
        <v>433</v>
      </c>
    </row>
    <row r="5124" spans="1:11" x14ac:dyDescent="0.3">
      <c r="A5124" t="str">
        <f>"05499623"</f>
        <v>05499623</v>
      </c>
      <c r="B5124" t="s">
        <v>9783</v>
      </c>
      <c r="C5124" t="str">
        <f t="shared" si="353"/>
        <v>706</v>
      </c>
      <c r="D5124" t="s">
        <v>28</v>
      </c>
      <c r="E5124" t="s">
        <v>52</v>
      </c>
      <c r="F5124" t="s">
        <v>52</v>
      </c>
      <c r="G5124" t="s">
        <v>9784</v>
      </c>
      <c r="H5124" t="str">
        <f>"9499"</f>
        <v>9499</v>
      </c>
      <c r="I5124" t="s">
        <v>31</v>
      </c>
    </row>
    <row r="5125" spans="1:11" x14ac:dyDescent="0.3">
      <c r="A5125" t="str">
        <f>"49156161"</f>
        <v>49156161</v>
      </c>
      <c r="B5125" t="s">
        <v>9785</v>
      </c>
      <c r="C5125" t="str">
        <f>"736"</f>
        <v>736</v>
      </c>
      <c r="D5125" t="s">
        <v>22</v>
      </c>
      <c r="E5125" t="s">
        <v>23</v>
      </c>
      <c r="F5125" t="s">
        <v>24</v>
      </c>
      <c r="G5125" t="s">
        <v>9786</v>
      </c>
      <c r="H5125" t="str">
        <f>"9499"</f>
        <v>9499</v>
      </c>
      <c r="I5125" t="s">
        <v>31</v>
      </c>
    </row>
    <row r="5126" spans="1:11" x14ac:dyDescent="0.3">
      <c r="A5126" t="str">
        <f>"21054738"</f>
        <v>21054738</v>
      </c>
      <c r="B5126" t="s">
        <v>9787</v>
      </c>
      <c r="C5126" t="str">
        <f>"706"</f>
        <v>706</v>
      </c>
      <c r="D5126" t="s">
        <v>28</v>
      </c>
      <c r="E5126" t="s">
        <v>23</v>
      </c>
      <c r="F5126" t="s">
        <v>23</v>
      </c>
      <c r="G5126" t="s">
        <v>9788</v>
      </c>
      <c r="H5126" t="str">
        <f>"9499"</f>
        <v>9499</v>
      </c>
      <c r="I5126" t="s">
        <v>31</v>
      </c>
      <c r="J5126" t="s">
        <v>146</v>
      </c>
      <c r="K5126" t="s">
        <v>59</v>
      </c>
    </row>
    <row r="5127" spans="1:11" x14ac:dyDescent="0.3">
      <c r="A5127" t="str">
        <f>"64467490"</f>
        <v>64467490</v>
      </c>
      <c r="B5127" t="s">
        <v>9789</v>
      </c>
      <c r="C5127" t="str">
        <f>"706"</f>
        <v>706</v>
      </c>
      <c r="D5127" t="s">
        <v>28</v>
      </c>
      <c r="E5127" t="s">
        <v>23</v>
      </c>
      <c r="F5127" t="s">
        <v>23</v>
      </c>
      <c r="G5127" t="s">
        <v>204</v>
      </c>
      <c r="H5127" t="str">
        <f>"94994"</f>
        <v>94994</v>
      </c>
      <c r="I5127" t="s">
        <v>7082</v>
      </c>
    </row>
    <row r="5128" spans="1:11" x14ac:dyDescent="0.3">
      <c r="A5128" t="str">
        <f>"26545683"</f>
        <v>26545683</v>
      </c>
      <c r="B5128" t="s">
        <v>9790</v>
      </c>
      <c r="C5128" t="str">
        <f>"706"</f>
        <v>706</v>
      </c>
      <c r="D5128" t="s">
        <v>28</v>
      </c>
      <c r="E5128" t="s">
        <v>23</v>
      </c>
      <c r="F5128" t="s">
        <v>23</v>
      </c>
      <c r="G5128" t="s">
        <v>9791</v>
      </c>
      <c r="H5128" t="str">
        <f>"9499"</f>
        <v>9499</v>
      </c>
      <c r="I5128" t="s">
        <v>31</v>
      </c>
    </row>
    <row r="5129" spans="1:11" x14ac:dyDescent="0.3">
      <c r="A5129" t="str">
        <f>"22893253"</f>
        <v>22893253</v>
      </c>
      <c r="B5129" t="s">
        <v>9792</v>
      </c>
      <c r="C5129" t="str">
        <f>"706"</f>
        <v>706</v>
      </c>
      <c r="D5129" t="s">
        <v>28</v>
      </c>
      <c r="E5129" t="s">
        <v>52</v>
      </c>
      <c r="F5129" t="s">
        <v>113</v>
      </c>
      <c r="G5129" t="s">
        <v>1488</v>
      </c>
      <c r="H5129" t="str">
        <f>"93190"</f>
        <v>93190</v>
      </c>
      <c r="I5129" t="s">
        <v>59</v>
      </c>
    </row>
    <row r="5130" spans="1:11" x14ac:dyDescent="0.3">
      <c r="A5130" t="str">
        <f>"05793645"</f>
        <v>05793645</v>
      </c>
      <c r="B5130" t="s">
        <v>9793</v>
      </c>
      <c r="C5130" t="str">
        <f t="shared" ref="C5130:C5190" si="355">"706"</f>
        <v>706</v>
      </c>
      <c r="D5130" t="s">
        <v>28</v>
      </c>
      <c r="E5130" t="s">
        <v>29</v>
      </c>
      <c r="F5130" t="s">
        <v>1899</v>
      </c>
      <c r="G5130" t="s">
        <v>1900</v>
      </c>
      <c r="H5130" t="str">
        <f>"93120"</f>
        <v>93120</v>
      </c>
      <c r="I5130" t="s">
        <v>54</v>
      </c>
    </row>
    <row r="5131" spans="1:11" x14ac:dyDescent="0.3">
      <c r="A5131" t="str">
        <f>"22041613"</f>
        <v>22041613</v>
      </c>
      <c r="B5131" t="s">
        <v>9794</v>
      </c>
      <c r="C5131" t="str">
        <f t="shared" si="355"/>
        <v>706</v>
      </c>
      <c r="D5131" t="s">
        <v>28</v>
      </c>
      <c r="E5131" t="s">
        <v>52</v>
      </c>
      <c r="F5131" t="s">
        <v>673</v>
      </c>
      <c r="G5131" t="s">
        <v>5261</v>
      </c>
      <c r="H5131" t="str">
        <f>"93190"</f>
        <v>93190</v>
      </c>
      <c r="I5131" t="s">
        <v>59</v>
      </c>
    </row>
    <row r="5132" spans="1:11" x14ac:dyDescent="0.3">
      <c r="A5132" t="str">
        <f>"26680661"</f>
        <v>26680661</v>
      </c>
      <c r="B5132" t="s">
        <v>9795</v>
      </c>
      <c r="C5132" t="str">
        <f t="shared" si="355"/>
        <v>706</v>
      </c>
      <c r="D5132" t="s">
        <v>28</v>
      </c>
      <c r="E5132" t="s">
        <v>83</v>
      </c>
      <c r="F5132" t="s">
        <v>8507</v>
      </c>
      <c r="G5132" t="s">
        <v>8508</v>
      </c>
      <c r="H5132" t="str">
        <f>"93120"</f>
        <v>93120</v>
      </c>
      <c r="I5132" t="s">
        <v>54</v>
      </c>
    </row>
    <row r="5133" spans="1:11" x14ac:dyDescent="0.3">
      <c r="A5133" t="str">
        <f>"27018903"</f>
        <v>27018903</v>
      </c>
      <c r="B5133" t="s">
        <v>9796</v>
      </c>
      <c r="C5133" t="str">
        <f t="shared" si="355"/>
        <v>706</v>
      </c>
      <c r="D5133" t="s">
        <v>28</v>
      </c>
      <c r="E5133" t="s">
        <v>23</v>
      </c>
      <c r="F5133" t="s">
        <v>4161</v>
      </c>
      <c r="G5133" t="s">
        <v>9797</v>
      </c>
      <c r="H5133" t="str">
        <f>"9499"</f>
        <v>9499</v>
      </c>
      <c r="I5133" t="s">
        <v>31</v>
      </c>
    </row>
    <row r="5134" spans="1:11" x14ac:dyDescent="0.3">
      <c r="A5134" t="str">
        <f>"27042936"</f>
        <v>27042936</v>
      </c>
      <c r="B5134" t="s">
        <v>9798</v>
      </c>
      <c r="C5134" t="str">
        <f t="shared" si="355"/>
        <v>706</v>
      </c>
      <c r="D5134" t="s">
        <v>28</v>
      </c>
      <c r="E5134" t="s">
        <v>23</v>
      </c>
      <c r="F5134" t="s">
        <v>245</v>
      </c>
      <c r="G5134" t="s">
        <v>9799</v>
      </c>
      <c r="H5134" t="str">
        <f>"9499"</f>
        <v>9499</v>
      </c>
      <c r="I5134" t="s">
        <v>31</v>
      </c>
    </row>
    <row r="5135" spans="1:11" x14ac:dyDescent="0.3">
      <c r="A5135" t="str">
        <f>"22872426"</f>
        <v>22872426</v>
      </c>
      <c r="B5135" t="s">
        <v>9800</v>
      </c>
      <c r="C5135" t="str">
        <f t="shared" si="355"/>
        <v>706</v>
      </c>
      <c r="D5135" t="s">
        <v>28</v>
      </c>
      <c r="E5135" t="s">
        <v>52</v>
      </c>
      <c r="F5135" t="s">
        <v>334</v>
      </c>
      <c r="G5135" t="s">
        <v>9801</v>
      </c>
      <c r="H5135" t="str">
        <f>"93110"</f>
        <v>93110</v>
      </c>
      <c r="I5135" t="s">
        <v>92</v>
      </c>
    </row>
    <row r="5136" spans="1:11" x14ac:dyDescent="0.3">
      <c r="A5136" t="str">
        <f>"10886311"</f>
        <v>10886311</v>
      </c>
      <c r="B5136" t="s">
        <v>9802</v>
      </c>
      <c r="C5136" t="str">
        <f t="shared" si="355"/>
        <v>706</v>
      </c>
      <c r="D5136" t="s">
        <v>28</v>
      </c>
      <c r="E5136" t="s">
        <v>23</v>
      </c>
      <c r="F5136" t="s">
        <v>23</v>
      </c>
      <c r="G5136" t="s">
        <v>9803</v>
      </c>
      <c r="H5136" t="str">
        <f>"9499"</f>
        <v>9499</v>
      </c>
      <c r="I5136" t="s">
        <v>31</v>
      </c>
    </row>
    <row r="5137" spans="1:9" x14ac:dyDescent="0.3">
      <c r="A5137" t="str">
        <f>"19236221"</f>
        <v>19236221</v>
      </c>
      <c r="B5137" t="s">
        <v>9804</v>
      </c>
      <c r="C5137" t="str">
        <f t="shared" si="355"/>
        <v>706</v>
      </c>
      <c r="D5137" t="s">
        <v>28</v>
      </c>
      <c r="E5137" t="s">
        <v>29</v>
      </c>
      <c r="F5137" t="s">
        <v>1783</v>
      </c>
      <c r="G5137" t="s">
        <v>9805</v>
      </c>
      <c r="H5137" t="str">
        <f>"93190"</f>
        <v>93190</v>
      </c>
      <c r="I5137" t="s">
        <v>59</v>
      </c>
    </row>
    <row r="5138" spans="1:9" x14ac:dyDescent="0.3">
      <c r="A5138" t="str">
        <f>"60042524"</f>
        <v>60042524</v>
      </c>
      <c r="B5138" t="s">
        <v>9806</v>
      </c>
      <c r="C5138" t="str">
        <f t="shared" si="355"/>
        <v>706</v>
      </c>
      <c r="D5138" t="s">
        <v>28</v>
      </c>
      <c r="E5138" t="s">
        <v>29</v>
      </c>
      <c r="F5138" t="s">
        <v>29</v>
      </c>
      <c r="G5138" t="s">
        <v>9807</v>
      </c>
      <c r="H5138" t="str">
        <f>"931"</f>
        <v>931</v>
      </c>
      <c r="I5138" t="s">
        <v>26</v>
      </c>
    </row>
    <row r="5139" spans="1:9" x14ac:dyDescent="0.3">
      <c r="A5139" t="str">
        <f>"66934605"</f>
        <v>66934605</v>
      </c>
      <c r="B5139" t="s">
        <v>9808</v>
      </c>
      <c r="C5139" t="str">
        <f t="shared" si="355"/>
        <v>706</v>
      </c>
      <c r="D5139" t="s">
        <v>28</v>
      </c>
      <c r="E5139" t="s">
        <v>29</v>
      </c>
      <c r="F5139" t="s">
        <v>29</v>
      </c>
      <c r="G5139" t="s">
        <v>29</v>
      </c>
      <c r="H5139" t="str">
        <f>"93120"</f>
        <v>93120</v>
      </c>
      <c r="I5139" t="s">
        <v>54</v>
      </c>
    </row>
    <row r="5140" spans="1:9" x14ac:dyDescent="0.3">
      <c r="A5140" t="str">
        <f>"15530841"</f>
        <v>15530841</v>
      </c>
      <c r="B5140" t="s">
        <v>9809</v>
      </c>
      <c r="C5140" t="str">
        <f t="shared" si="355"/>
        <v>706</v>
      </c>
      <c r="D5140" t="s">
        <v>28</v>
      </c>
      <c r="E5140" t="s">
        <v>23</v>
      </c>
      <c r="F5140" t="s">
        <v>23</v>
      </c>
      <c r="G5140" t="s">
        <v>204</v>
      </c>
      <c r="H5140" t="str">
        <f>"93110"</f>
        <v>93110</v>
      </c>
      <c r="I5140" t="s">
        <v>92</v>
      </c>
    </row>
    <row r="5141" spans="1:9" x14ac:dyDescent="0.3">
      <c r="A5141" t="str">
        <f>"26610361"</f>
        <v>26610361</v>
      </c>
      <c r="B5141" t="s">
        <v>9810</v>
      </c>
      <c r="C5141" t="str">
        <f t="shared" si="355"/>
        <v>706</v>
      </c>
      <c r="D5141" t="s">
        <v>28</v>
      </c>
      <c r="E5141" t="s">
        <v>23</v>
      </c>
      <c r="F5141" t="s">
        <v>23</v>
      </c>
      <c r="G5141" t="s">
        <v>9811</v>
      </c>
      <c r="H5141" t="str">
        <f>"93110"</f>
        <v>93110</v>
      </c>
      <c r="I5141" t="s">
        <v>92</v>
      </c>
    </row>
    <row r="5142" spans="1:9" x14ac:dyDescent="0.3">
      <c r="A5142" t="str">
        <f>"26647681"</f>
        <v>26647681</v>
      </c>
      <c r="B5142" t="s">
        <v>9812</v>
      </c>
      <c r="C5142" t="str">
        <f t="shared" si="355"/>
        <v>706</v>
      </c>
      <c r="D5142" t="s">
        <v>28</v>
      </c>
      <c r="E5142" t="s">
        <v>52</v>
      </c>
      <c r="F5142" t="s">
        <v>52</v>
      </c>
      <c r="G5142" t="s">
        <v>9813</v>
      </c>
      <c r="H5142" t="str">
        <f>"93110"</f>
        <v>93110</v>
      </c>
      <c r="I5142" t="s">
        <v>92</v>
      </c>
    </row>
    <row r="5143" spans="1:9" x14ac:dyDescent="0.3">
      <c r="A5143" t="str">
        <f>"18757561"</f>
        <v>18757561</v>
      </c>
      <c r="B5143" t="s">
        <v>9814</v>
      </c>
      <c r="C5143" t="str">
        <f t="shared" si="355"/>
        <v>706</v>
      </c>
      <c r="D5143" t="s">
        <v>28</v>
      </c>
      <c r="E5143" t="s">
        <v>23</v>
      </c>
      <c r="F5143" t="s">
        <v>975</v>
      </c>
      <c r="G5143" t="s">
        <v>1519</v>
      </c>
      <c r="H5143" t="str">
        <f>"93120"</f>
        <v>93120</v>
      </c>
      <c r="I5143" t="s">
        <v>54</v>
      </c>
    </row>
    <row r="5144" spans="1:9" x14ac:dyDescent="0.3">
      <c r="A5144" t="str">
        <f>"18189814"</f>
        <v>18189814</v>
      </c>
      <c r="B5144" t="s">
        <v>9815</v>
      </c>
      <c r="C5144" t="str">
        <f t="shared" si="355"/>
        <v>706</v>
      </c>
      <c r="D5144" t="s">
        <v>28</v>
      </c>
      <c r="E5144" t="s">
        <v>83</v>
      </c>
      <c r="F5144" t="s">
        <v>881</v>
      </c>
      <c r="G5144" t="s">
        <v>2161</v>
      </c>
      <c r="H5144" t="str">
        <f>"93110"</f>
        <v>93110</v>
      </c>
      <c r="I5144" t="s">
        <v>92</v>
      </c>
    </row>
    <row r="5145" spans="1:9" x14ac:dyDescent="0.3">
      <c r="A5145" t="str">
        <f>"26624338"</f>
        <v>26624338</v>
      </c>
      <c r="B5145" t="s">
        <v>9816</v>
      </c>
      <c r="C5145" t="str">
        <f t="shared" si="355"/>
        <v>706</v>
      </c>
      <c r="D5145" t="s">
        <v>28</v>
      </c>
      <c r="E5145" t="s">
        <v>23</v>
      </c>
      <c r="F5145" t="s">
        <v>3332</v>
      </c>
      <c r="G5145" t="s">
        <v>9817</v>
      </c>
      <c r="H5145" t="str">
        <f>"93110"</f>
        <v>93110</v>
      </c>
      <c r="I5145" t="s">
        <v>92</v>
      </c>
    </row>
    <row r="5146" spans="1:9" x14ac:dyDescent="0.3">
      <c r="A5146" t="str">
        <f>"26528487"</f>
        <v>26528487</v>
      </c>
      <c r="B5146" t="s">
        <v>9818</v>
      </c>
      <c r="C5146" t="str">
        <f t="shared" si="355"/>
        <v>706</v>
      </c>
      <c r="D5146" t="s">
        <v>28</v>
      </c>
      <c r="E5146" t="s">
        <v>23</v>
      </c>
      <c r="F5146" t="s">
        <v>1935</v>
      </c>
      <c r="G5146" t="s">
        <v>9819</v>
      </c>
      <c r="H5146" t="str">
        <f>"9499"</f>
        <v>9499</v>
      </c>
      <c r="I5146" t="s">
        <v>31</v>
      </c>
    </row>
    <row r="5147" spans="1:9" x14ac:dyDescent="0.3">
      <c r="A5147" t="str">
        <f>"46276432"</f>
        <v>46276432</v>
      </c>
      <c r="B5147" t="s">
        <v>9820</v>
      </c>
      <c r="C5147" t="str">
        <f t="shared" si="355"/>
        <v>706</v>
      </c>
      <c r="D5147" t="s">
        <v>28</v>
      </c>
      <c r="E5147" t="s">
        <v>23</v>
      </c>
      <c r="F5147" t="s">
        <v>23</v>
      </c>
      <c r="G5147" t="s">
        <v>9821</v>
      </c>
      <c r="H5147" t="str">
        <f>"9499"</f>
        <v>9499</v>
      </c>
      <c r="I5147" t="s">
        <v>31</v>
      </c>
    </row>
    <row r="5148" spans="1:9" x14ac:dyDescent="0.3">
      <c r="A5148" t="str">
        <f>"09875336"</f>
        <v>09875336</v>
      </c>
      <c r="B5148" t="s">
        <v>9822</v>
      </c>
      <c r="C5148" t="str">
        <f t="shared" si="355"/>
        <v>706</v>
      </c>
      <c r="D5148" t="s">
        <v>28</v>
      </c>
      <c r="E5148" t="s">
        <v>52</v>
      </c>
      <c r="F5148" t="s">
        <v>65</v>
      </c>
      <c r="G5148" t="s">
        <v>9823</v>
      </c>
      <c r="H5148" t="str">
        <f>"93120"</f>
        <v>93120</v>
      </c>
      <c r="I5148" t="s">
        <v>54</v>
      </c>
    </row>
    <row r="5149" spans="1:9" x14ac:dyDescent="0.3">
      <c r="A5149" t="str">
        <f>"47934450"</f>
        <v>47934450</v>
      </c>
      <c r="B5149" t="s">
        <v>9824</v>
      </c>
      <c r="C5149" t="str">
        <f t="shared" si="355"/>
        <v>706</v>
      </c>
      <c r="D5149" t="s">
        <v>28</v>
      </c>
      <c r="E5149" t="s">
        <v>83</v>
      </c>
      <c r="F5149" t="s">
        <v>83</v>
      </c>
      <c r="G5149" t="s">
        <v>83</v>
      </c>
      <c r="H5149" t="str">
        <f>"93110"</f>
        <v>93110</v>
      </c>
      <c r="I5149" t="s">
        <v>92</v>
      </c>
    </row>
    <row r="5150" spans="1:9" x14ac:dyDescent="0.3">
      <c r="A5150" t="str">
        <f>"26541491"</f>
        <v>26541491</v>
      </c>
      <c r="B5150" t="s">
        <v>9825</v>
      </c>
      <c r="C5150" t="str">
        <f t="shared" si="355"/>
        <v>706</v>
      </c>
      <c r="D5150" t="s">
        <v>28</v>
      </c>
      <c r="E5150" t="s">
        <v>52</v>
      </c>
      <c r="F5150" t="s">
        <v>113</v>
      </c>
      <c r="G5150" t="s">
        <v>9826</v>
      </c>
      <c r="H5150" t="str">
        <f>"93110"</f>
        <v>93110</v>
      </c>
      <c r="I5150" t="s">
        <v>92</v>
      </c>
    </row>
    <row r="5151" spans="1:9" x14ac:dyDescent="0.3">
      <c r="A5151" t="str">
        <f>"67028349"</f>
        <v>67028349</v>
      </c>
      <c r="B5151" t="s">
        <v>9827</v>
      </c>
      <c r="C5151" t="str">
        <f t="shared" si="355"/>
        <v>706</v>
      </c>
      <c r="D5151" t="s">
        <v>28</v>
      </c>
      <c r="E5151" t="s">
        <v>52</v>
      </c>
      <c r="F5151" t="s">
        <v>379</v>
      </c>
      <c r="G5151" t="s">
        <v>9828</v>
      </c>
      <c r="H5151" t="str">
        <f>"931"</f>
        <v>931</v>
      </c>
      <c r="I5151" t="s">
        <v>26</v>
      </c>
    </row>
    <row r="5152" spans="1:9" x14ac:dyDescent="0.3">
      <c r="A5152" t="str">
        <f>"02246333"</f>
        <v>02246333</v>
      </c>
      <c r="B5152" t="s">
        <v>9829</v>
      </c>
      <c r="C5152" t="str">
        <f t="shared" si="355"/>
        <v>706</v>
      </c>
      <c r="D5152" t="s">
        <v>28</v>
      </c>
      <c r="E5152" t="s">
        <v>83</v>
      </c>
      <c r="F5152" t="s">
        <v>2296</v>
      </c>
      <c r="G5152" t="s">
        <v>2296</v>
      </c>
      <c r="H5152" t="str">
        <f>"94999"</f>
        <v>94999</v>
      </c>
      <c r="I5152" t="s">
        <v>202</v>
      </c>
    </row>
    <row r="5153" spans="1:9" x14ac:dyDescent="0.3">
      <c r="A5153" t="str">
        <f>"26638576"</f>
        <v>26638576</v>
      </c>
      <c r="B5153" t="s">
        <v>9830</v>
      </c>
      <c r="C5153" t="str">
        <f t="shared" si="355"/>
        <v>706</v>
      </c>
      <c r="D5153" t="s">
        <v>28</v>
      </c>
      <c r="E5153" t="s">
        <v>23</v>
      </c>
      <c r="F5153" t="s">
        <v>975</v>
      </c>
      <c r="G5153" t="s">
        <v>1519</v>
      </c>
      <c r="H5153" t="str">
        <f>"93110"</f>
        <v>93110</v>
      </c>
      <c r="I5153" t="s">
        <v>92</v>
      </c>
    </row>
    <row r="5154" spans="1:9" x14ac:dyDescent="0.3">
      <c r="A5154" t="str">
        <f>"27006310"</f>
        <v>27006310</v>
      </c>
      <c r="B5154" t="s">
        <v>9831</v>
      </c>
      <c r="C5154" t="str">
        <f t="shared" si="355"/>
        <v>706</v>
      </c>
      <c r="D5154" t="s">
        <v>28</v>
      </c>
      <c r="E5154" t="s">
        <v>23</v>
      </c>
      <c r="F5154" t="s">
        <v>107</v>
      </c>
      <c r="G5154" t="s">
        <v>9832</v>
      </c>
      <c r="H5154" t="str">
        <f>"93110"</f>
        <v>93110</v>
      </c>
      <c r="I5154" t="s">
        <v>92</v>
      </c>
    </row>
    <row r="5155" spans="1:9" x14ac:dyDescent="0.3">
      <c r="A5155" t="str">
        <f>"44117531"</f>
        <v>44117531</v>
      </c>
      <c r="B5155" t="s">
        <v>9833</v>
      </c>
      <c r="C5155" t="str">
        <f t="shared" si="355"/>
        <v>706</v>
      </c>
      <c r="D5155" t="s">
        <v>28</v>
      </c>
      <c r="E5155" t="s">
        <v>23</v>
      </c>
      <c r="F5155" t="s">
        <v>23</v>
      </c>
      <c r="G5155" t="s">
        <v>869</v>
      </c>
      <c r="H5155" t="str">
        <f>"93110"</f>
        <v>93110</v>
      </c>
      <c r="I5155" t="s">
        <v>92</v>
      </c>
    </row>
    <row r="5156" spans="1:9" x14ac:dyDescent="0.3">
      <c r="A5156" t="str">
        <f>"06396119"</f>
        <v>06396119</v>
      </c>
      <c r="B5156" t="s">
        <v>9834</v>
      </c>
      <c r="C5156" t="str">
        <f t="shared" si="355"/>
        <v>706</v>
      </c>
      <c r="D5156" t="s">
        <v>28</v>
      </c>
      <c r="E5156" t="s">
        <v>29</v>
      </c>
      <c r="F5156" t="s">
        <v>234</v>
      </c>
      <c r="G5156" t="s">
        <v>9835</v>
      </c>
      <c r="H5156" t="str">
        <f>"93190"</f>
        <v>93190</v>
      </c>
      <c r="I5156" t="s">
        <v>59</v>
      </c>
    </row>
    <row r="5157" spans="1:9" x14ac:dyDescent="0.3">
      <c r="A5157" t="str">
        <f>"26647036"</f>
        <v>26647036</v>
      </c>
      <c r="B5157" t="s">
        <v>9836</v>
      </c>
      <c r="C5157" t="str">
        <f t="shared" si="355"/>
        <v>706</v>
      </c>
      <c r="D5157" t="s">
        <v>28</v>
      </c>
      <c r="E5157" t="s">
        <v>29</v>
      </c>
      <c r="F5157" t="s">
        <v>29</v>
      </c>
      <c r="G5157" t="s">
        <v>8778</v>
      </c>
      <c r="H5157" t="str">
        <f>"93110"</f>
        <v>93110</v>
      </c>
      <c r="I5157" t="s">
        <v>92</v>
      </c>
    </row>
    <row r="5158" spans="1:9" x14ac:dyDescent="0.3">
      <c r="A5158" t="str">
        <f>"65337964"</f>
        <v>65337964</v>
      </c>
      <c r="B5158" t="s">
        <v>9837</v>
      </c>
      <c r="C5158" t="str">
        <f t="shared" si="355"/>
        <v>706</v>
      </c>
      <c r="D5158" t="s">
        <v>28</v>
      </c>
      <c r="E5158" t="s">
        <v>23</v>
      </c>
      <c r="F5158" t="s">
        <v>23</v>
      </c>
      <c r="G5158" t="s">
        <v>9838</v>
      </c>
      <c r="H5158" t="str">
        <f>"93110"</f>
        <v>93110</v>
      </c>
      <c r="I5158" t="s">
        <v>92</v>
      </c>
    </row>
    <row r="5159" spans="1:9" x14ac:dyDescent="0.3">
      <c r="A5159" t="str">
        <f>"22754121"</f>
        <v>22754121</v>
      </c>
      <c r="B5159" t="s">
        <v>9839</v>
      </c>
      <c r="C5159" t="str">
        <f t="shared" si="355"/>
        <v>706</v>
      </c>
      <c r="D5159" t="s">
        <v>28</v>
      </c>
      <c r="E5159" t="s">
        <v>83</v>
      </c>
      <c r="F5159" t="s">
        <v>183</v>
      </c>
      <c r="G5159" t="s">
        <v>9840</v>
      </c>
      <c r="H5159" t="str">
        <f>"93120"</f>
        <v>93120</v>
      </c>
      <c r="I5159" t="s">
        <v>54</v>
      </c>
    </row>
    <row r="5160" spans="1:9" x14ac:dyDescent="0.3">
      <c r="A5160" t="str">
        <f>"01650904"</f>
        <v>01650904</v>
      </c>
      <c r="B5160" t="s">
        <v>9841</v>
      </c>
      <c r="C5160" t="str">
        <f t="shared" si="355"/>
        <v>706</v>
      </c>
      <c r="D5160" t="s">
        <v>28</v>
      </c>
      <c r="E5160" t="s">
        <v>23</v>
      </c>
      <c r="F5160" t="s">
        <v>23</v>
      </c>
      <c r="G5160" t="s">
        <v>9842</v>
      </c>
      <c r="H5160" t="str">
        <f>"9499"</f>
        <v>9499</v>
      </c>
      <c r="I5160" t="s">
        <v>31</v>
      </c>
    </row>
    <row r="5161" spans="1:9" x14ac:dyDescent="0.3">
      <c r="A5161" t="str">
        <f>"22827960"</f>
        <v>22827960</v>
      </c>
      <c r="B5161" t="s">
        <v>9843</v>
      </c>
      <c r="C5161" t="str">
        <f t="shared" si="355"/>
        <v>706</v>
      </c>
      <c r="D5161" t="s">
        <v>28</v>
      </c>
      <c r="E5161" t="s">
        <v>23</v>
      </c>
      <c r="F5161" t="s">
        <v>23</v>
      </c>
      <c r="G5161" t="s">
        <v>9844</v>
      </c>
      <c r="H5161" t="str">
        <f>"93120"</f>
        <v>93120</v>
      </c>
      <c r="I5161" t="s">
        <v>54</v>
      </c>
    </row>
    <row r="5162" spans="1:9" x14ac:dyDescent="0.3">
      <c r="A5162" t="str">
        <f>"19113960"</f>
        <v>19113960</v>
      </c>
      <c r="B5162" t="s">
        <v>9845</v>
      </c>
      <c r="C5162" t="str">
        <f t="shared" si="355"/>
        <v>706</v>
      </c>
      <c r="D5162" t="s">
        <v>28</v>
      </c>
      <c r="E5162" t="s">
        <v>29</v>
      </c>
      <c r="F5162" t="s">
        <v>38</v>
      </c>
      <c r="G5162" t="s">
        <v>9846</v>
      </c>
      <c r="H5162" t="str">
        <f>"9312"</f>
        <v>9312</v>
      </c>
      <c r="I5162" t="s">
        <v>54</v>
      </c>
    </row>
    <row r="5163" spans="1:9" x14ac:dyDescent="0.3">
      <c r="A5163" t="str">
        <f>"26624036"</f>
        <v>26624036</v>
      </c>
      <c r="B5163" t="s">
        <v>9847</v>
      </c>
      <c r="C5163" t="str">
        <f t="shared" si="355"/>
        <v>706</v>
      </c>
      <c r="D5163" t="s">
        <v>28</v>
      </c>
      <c r="E5163" t="s">
        <v>23</v>
      </c>
      <c r="F5163" t="s">
        <v>23</v>
      </c>
      <c r="G5163" t="s">
        <v>7987</v>
      </c>
      <c r="H5163" t="str">
        <f>"93110"</f>
        <v>93110</v>
      </c>
      <c r="I5163" t="s">
        <v>92</v>
      </c>
    </row>
    <row r="5164" spans="1:9" x14ac:dyDescent="0.3">
      <c r="A5164" t="str">
        <f>"46276211"</f>
        <v>46276211</v>
      </c>
      <c r="B5164" t="s">
        <v>9848</v>
      </c>
      <c r="C5164" t="str">
        <f t="shared" si="355"/>
        <v>706</v>
      </c>
      <c r="D5164" t="s">
        <v>28</v>
      </c>
      <c r="E5164" t="s">
        <v>23</v>
      </c>
      <c r="F5164" t="s">
        <v>23</v>
      </c>
      <c r="G5164" t="s">
        <v>9849</v>
      </c>
      <c r="H5164" t="str">
        <f>"93110"</f>
        <v>93110</v>
      </c>
      <c r="I5164" t="s">
        <v>92</v>
      </c>
    </row>
    <row r="5165" spans="1:9" x14ac:dyDescent="0.3">
      <c r="A5165" t="str">
        <f>"27025756"</f>
        <v>27025756</v>
      </c>
      <c r="B5165" t="s">
        <v>9850</v>
      </c>
      <c r="C5165" t="str">
        <f t="shared" si="355"/>
        <v>706</v>
      </c>
      <c r="D5165" t="s">
        <v>28</v>
      </c>
      <c r="E5165" t="s">
        <v>23</v>
      </c>
      <c r="F5165" t="s">
        <v>296</v>
      </c>
      <c r="G5165" t="s">
        <v>9851</v>
      </c>
      <c r="H5165" t="str">
        <f>"93110"</f>
        <v>93110</v>
      </c>
      <c r="I5165" t="s">
        <v>92</v>
      </c>
    </row>
    <row r="5166" spans="1:9" x14ac:dyDescent="0.3">
      <c r="A5166" t="str">
        <f>"22685855"</f>
        <v>22685855</v>
      </c>
      <c r="B5166" t="s">
        <v>9852</v>
      </c>
      <c r="C5166" t="str">
        <f t="shared" si="355"/>
        <v>706</v>
      </c>
      <c r="D5166" t="s">
        <v>28</v>
      </c>
      <c r="E5166" t="s">
        <v>23</v>
      </c>
      <c r="F5166" t="s">
        <v>23</v>
      </c>
      <c r="G5166" t="s">
        <v>6657</v>
      </c>
      <c r="H5166" t="str">
        <f>"93110"</f>
        <v>93110</v>
      </c>
      <c r="I5166" t="s">
        <v>92</v>
      </c>
    </row>
    <row r="5167" spans="1:9" x14ac:dyDescent="0.3">
      <c r="A5167" t="str">
        <f>"68689772"</f>
        <v>68689772</v>
      </c>
      <c r="B5167" t="s">
        <v>9853</v>
      </c>
      <c r="C5167" t="str">
        <f t="shared" si="355"/>
        <v>706</v>
      </c>
      <c r="D5167" t="s">
        <v>28</v>
      </c>
      <c r="E5167" t="s">
        <v>52</v>
      </c>
      <c r="F5167" t="s">
        <v>1894</v>
      </c>
      <c r="G5167" t="s">
        <v>9854</v>
      </c>
      <c r="H5167" t="str">
        <f>"93120"</f>
        <v>93120</v>
      </c>
      <c r="I5167" t="s">
        <v>54</v>
      </c>
    </row>
    <row r="5168" spans="1:9" x14ac:dyDescent="0.3">
      <c r="A5168" t="str">
        <f>"66599865"</f>
        <v>66599865</v>
      </c>
      <c r="B5168" t="s">
        <v>9855</v>
      </c>
      <c r="C5168" t="str">
        <f t="shared" si="355"/>
        <v>706</v>
      </c>
      <c r="D5168" t="s">
        <v>28</v>
      </c>
      <c r="E5168" t="s">
        <v>52</v>
      </c>
      <c r="F5168" t="s">
        <v>488</v>
      </c>
      <c r="G5168" t="s">
        <v>9856</v>
      </c>
      <c r="H5168" t="str">
        <f>"93120"</f>
        <v>93120</v>
      </c>
      <c r="I5168" t="s">
        <v>54</v>
      </c>
    </row>
    <row r="5169" spans="1:11" x14ac:dyDescent="0.3">
      <c r="A5169" t="str">
        <f>"68898274"</f>
        <v>68898274</v>
      </c>
      <c r="B5169" t="s">
        <v>9857</v>
      </c>
      <c r="C5169" t="str">
        <f t="shared" si="355"/>
        <v>706</v>
      </c>
      <c r="D5169" t="s">
        <v>28</v>
      </c>
      <c r="E5169" t="s">
        <v>29</v>
      </c>
      <c r="F5169" t="s">
        <v>29</v>
      </c>
      <c r="G5169" t="s">
        <v>9858</v>
      </c>
      <c r="H5169" t="str">
        <f>"93120"</f>
        <v>93120</v>
      </c>
      <c r="I5169" t="s">
        <v>54</v>
      </c>
    </row>
    <row r="5170" spans="1:11" x14ac:dyDescent="0.3">
      <c r="A5170" t="str">
        <f>"70641803"</f>
        <v>70641803</v>
      </c>
      <c r="B5170" t="s">
        <v>9859</v>
      </c>
      <c r="C5170" t="str">
        <f t="shared" si="355"/>
        <v>706</v>
      </c>
      <c r="D5170" t="s">
        <v>28</v>
      </c>
      <c r="E5170" t="s">
        <v>29</v>
      </c>
      <c r="F5170" t="s">
        <v>195</v>
      </c>
      <c r="G5170" t="s">
        <v>9860</v>
      </c>
      <c r="H5170" t="str">
        <f>"93120"</f>
        <v>93120</v>
      </c>
      <c r="I5170" t="s">
        <v>54</v>
      </c>
    </row>
    <row r="5171" spans="1:11" x14ac:dyDescent="0.3">
      <c r="A5171" t="str">
        <f>"01460170"</f>
        <v>01460170</v>
      </c>
      <c r="B5171" t="s">
        <v>9861</v>
      </c>
      <c r="C5171" t="str">
        <f t="shared" si="355"/>
        <v>706</v>
      </c>
      <c r="D5171" t="s">
        <v>28</v>
      </c>
      <c r="E5171" t="s">
        <v>52</v>
      </c>
      <c r="F5171" t="s">
        <v>673</v>
      </c>
      <c r="G5171" t="s">
        <v>674</v>
      </c>
      <c r="H5171" t="str">
        <f>"9312"</f>
        <v>9312</v>
      </c>
      <c r="I5171" t="s">
        <v>54</v>
      </c>
    </row>
    <row r="5172" spans="1:11" x14ac:dyDescent="0.3">
      <c r="A5172" t="str">
        <f>"68689861"</f>
        <v>68689861</v>
      </c>
      <c r="B5172" t="s">
        <v>9862</v>
      </c>
      <c r="C5172" t="str">
        <f t="shared" si="355"/>
        <v>706</v>
      </c>
      <c r="D5172" t="s">
        <v>28</v>
      </c>
      <c r="E5172" t="s">
        <v>83</v>
      </c>
      <c r="F5172" t="s">
        <v>537</v>
      </c>
      <c r="G5172" t="s">
        <v>9863</v>
      </c>
      <c r="H5172" t="str">
        <f>"93120"</f>
        <v>93120</v>
      </c>
      <c r="I5172" t="s">
        <v>54</v>
      </c>
    </row>
    <row r="5173" spans="1:11" x14ac:dyDescent="0.3">
      <c r="A5173" t="str">
        <f>"17275792"</f>
        <v>17275792</v>
      </c>
      <c r="B5173" t="s">
        <v>9864</v>
      </c>
      <c r="C5173" t="str">
        <f t="shared" si="355"/>
        <v>706</v>
      </c>
      <c r="D5173" t="s">
        <v>28</v>
      </c>
      <c r="E5173" t="s">
        <v>52</v>
      </c>
      <c r="F5173" t="s">
        <v>334</v>
      </c>
      <c r="G5173" t="s">
        <v>4681</v>
      </c>
      <c r="H5173" t="str">
        <f>"93190"</f>
        <v>93190</v>
      </c>
      <c r="I5173" t="s">
        <v>59</v>
      </c>
      <c r="J5173" t="s">
        <v>258</v>
      </c>
      <c r="K5173" t="s">
        <v>221</v>
      </c>
    </row>
    <row r="5174" spans="1:11" x14ac:dyDescent="0.3">
      <c r="A5174" t="str">
        <f>"46311289"</f>
        <v>46311289</v>
      </c>
      <c r="B5174" t="s">
        <v>9865</v>
      </c>
      <c r="C5174" t="str">
        <f t="shared" si="355"/>
        <v>706</v>
      </c>
      <c r="D5174" t="s">
        <v>28</v>
      </c>
      <c r="E5174" t="s">
        <v>23</v>
      </c>
      <c r="F5174" t="s">
        <v>35</v>
      </c>
      <c r="G5174" t="s">
        <v>9866</v>
      </c>
      <c r="H5174" t="str">
        <f>"9499"</f>
        <v>9499</v>
      </c>
      <c r="I5174" t="s">
        <v>31</v>
      </c>
    </row>
    <row r="5175" spans="1:11" x14ac:dyDescent="0.3">
      <c r="A5175" t="str">
        <f>"26989492"</f>
        <v>26989492</v>
      </c>
      <c r="B5175" t="s">
        <v>9867</v>
      </c>
      <c r="C5175" t="str">
        <f t="shared" si="355"/>
        <v>706</v>
      </c>
      <c r="D5175" t="s">
        <v>28</v>
      </c>
      <c r="E5175" t="s">
        <v>23</v>
      </c>
      <c r="F5175" t="s">
        <v>23</v>
      </c>
      <c r="G5175" t="s">
        <v>9868</v>
      </c>
      <c r="H5175" t="str">
        <f>"93110"</f>
        <v>93110</v>
      </c>
      <c r="I5175" t="s">
        <v>92</v>
      </c>
    </row>
    <row r="5176" spans="1:11" x14ac:dyDescent="0.3">
      <c r="A5176" t="str">
        <f>"05890357"</f>
        <v>05890357</v>
      </c>
      <c r="B5176" t="s">
        <v>9869</v>
      </c>
      <c r="C5176" t="str">
        <f t="shared" si="355"/>
        <v>706</v>
      </c>
      <c r="D5176" t="s">
        <v>28</v>
      </c>
      <c r="E5176" t="s">
        <v>83</v>
      </c>
      <c r="F5176" t="s">
        <v>480</v>
      </c>
      <c r="G5176" t="s">
        <v>1976</v>
      </c>
      <c r="H5176" t="str">
        <f>"93190"</f>
        <v>93190</v>
      </c>
      <c r="I5176" t="s">
        <v>59</v>
      </c>
    </row>
    <row r="5177" spans="1:11" x14ac:dyDescent="0.3">
      <c r="A5177" t="str">
        <f>"26639823"</f>
        <v>26639823</v>
      </c>
      <c r="B5177" t="s">
        <v>9870</v>
      </c>
      <c r="C5177" t="str">
        <f t="shared" si="355"/>
        <v>706</v>
      </c>
      <c r="D5177" t="s">
        <v>28</v>
      </c>
      <c r="E5177" t="s">
        <v>29</v>
      </c>
      <c r="F5177" t="s">
        <v>195</v>
      </c>
      <c r="G5177" t="s">
        <v>9871</v>
      </c>
      <c r="H5177" t="str">
        <f>"93110"</f>
        <v>93110</v>
      </c>
      <c r="I5177" t="s">
        <v>92</v>
      </c>
    </row>
    <row r="5178" spans="1:11" x14ac:dyDescent="0.3">
      <c r="A5178" t="str">
        <f>"27052591"</f>
        <v>27052591</v>
      </c>
      <c r="B5178" t="s">
        <v>9872</v>
      </c>
      <c r="C5178" t="str">
        <f t="shared" si="355"/>
        <v>706</v>
      </c>
      <c r="D5178" t="s">
        <v>28</v>
      </c>
      <c r="E5178" t="s">
        <v>23</v>
      </c>
      <c r="F5178" t="s">
        <v>24</v>
      </c>
      <c r="G5178" t="s">
        <v>9873</v>
      </c>
      <c r="H5178" t="str">
        <f>"93110"</f>
        <v>93110</v>
      </c>
      <c r="I5178" t="s">
        <v>92</v>
      </c>
    </row>
    <row r="5179" spans="1:11" x14ac:dyDescent="0.3">
      <c r="A5179" t="str">
        <f>"47863943"</f>
        <v>47863943</v>
      </c>
      <c r="B5179" t="s">
        <v>9874</v>
      </c>
      <c r="C5179" t="str">
        <f t="shared" si="355"/>
        <v>706</v>
      </c>
      <c r="D5179" t="s">
        <v>28</v>
      </c>
      <c r="E5179" t="s">
        <v>29</v>
      </c>
      <c r="F5179" t="s">
        <v>195</v>
      </c>
      <c r="G5179" t="s">
        <v>2224</v>
      </c>
      <c r="H5179" t="str">
        <f>"93120"</f>
        <v>93120</v>
      </c>
      <c r="I5179" t="s">
        <v>54</v>
      </c>
    </row>
    <row r="5180" spans="1:11" x14ac:dyDescent="0.3">
      <c r="A5180" t="str">
        <f>"26572052"</f>
        <v>26572052</v>
      </c>
      <c r="B5180" t="s">
        <v>9875</v>
      </c>
      <c r="C5180" t="str">
        <f t="shared" si="355"/>
        <v>706</v>
      </c>
      <c r="D5180" t="s">
        <v>28</v>
      </c>
      <c r="E5180" t="s">
        <v>29</v>
      </c>
      <c r="F5180" t="s">
        <v>117</v>
      </c>
      <c r="G5180" t="s">
        <v>9876</v>
      </c>
      <c r="H5180" t="str">
        <f>"93120"</f>
        <v>93120</v>
      </c>
      <c r="I5180" t="s">
        <v>54</v>
      </c>
    </row>
    <row r="5181" spans="1:11" x14ac:dyDescent="0.3">
      <c r="A5181" t="str">
        <f>"46308393"</f>
        <v>46308393</v>
      </c>
      <c r="B5181" t="s">
        <v>9877</v>
      </c>
      <c r="C5181" t="str">
        <f t="shared" si="355"/>
        <v>706</v>
      </c>
      <c r="D5181" t="s">
        <v>28</v>
      </c>
      <c r="E5181" t="s">
        <v>23</v>
      </c>
      <c r="F5181" t="s">
        <v>23</v>
      </c>
      <c r="G5181" t="s">
        <v>1203</v>
      </c>
      <c r="H5181" t="str">
        <f>"9499"</f>
        <v>9499</v>
      </c>
      <c r="I5181" t="s">
        <v>31</v>
      </c>
    </row>
    <row r="5182" spans="1:11" x14ac:dyDescent="0.3">
      <c r="A5182" t="str">
        <f>"49157566"</f>
        <v>49157566</v>
      </c>
      <c r="B5182" t="s">
        <v>9878</v>
      </c>
      <c r="C5182" t="str">
        <f t="shared" si="355"/>
        <v>706</v>
      </c>
      <c r="D5182" t="s">
        <v>28</v>
      </c>
      <c r="E5182" t="s">
        <v>23</v>
      </c>
      <c r="F5182" t="s">
        <v>23</v>
      </c>
      <c r="G5182" t="s">
        <v>204</v>
      </c>
      <c r="H5182" t="str">
        <f>"93120"</f>
        <v>93120</v>
      </c>
      <c r="I5182" t="s">
        <v>54</v>
      </c>
    </row>
    <row r="5183" spans="1:11" x14ac:dyDescent="0.3">
      <c r="A5183" t="str">
        <f>"22850201"</f>
        <v>22850201</v>
      </c>
      <c r="B5183" t="s">
        <v>9879</v>
      </c>
      <c r="C5183" t="str">
        <f t="shared" si="355"/>
        <v>706</v>
      </c>
      <c r="D5183" t="s">
        <v>28</v>
      </c>
      <c r="E5183" t="s">
        <v>83</v>
      </c>
      <c r="F5183" t="s">
        <v>224</v>
      </c>
      <c r="G5183" t="s">
        <v>8374</v>
      </c>
      <c r="H5183" t="str">
        <f>"93120"</f>
        <v>93120</v>
      </c>
      <c r="I5183" t="s">
        <v>54</v>
      </c>
    </row>
    <row r="5184" spans="1:11" x14ac:dyDescent="0.3">
      <c r="A5184" t="str">
        <f>"26538164"</f>
        <v>26538164</v>
      </c>
      <c r="B5184" t="s">
        <v>9880</v>
      </c>
      <c r="C5184" t="str">
        <f t="shared" si="355"/>
        <v>706</v>
      </c>
      <c r="D5184" t="s">
        <v>28</v>
      </c>
      <c r="E5184" t="s">
        <v>23</v>
      </c>
      <c r="F5184" t="s">
        <v>23</v>
      </c>
      <c r="G5184" t="s">
        <v>9881</v>
      </c>
      <c r="H5184" t="str">
        <f>"93110"</f>
        <v>93110</v>
      </c>
      <c r="I5184" t="s">
        <v>92</v>
      </c>
    </row>
    <row r="5185" spans="1:15" x14ac:dyDescent="0.3">
      <c r="A5185" t="str">
        <f>"26578913"</f>
        <v>26578913</v>
      </c>
      <c r="B5185" t="s">
        <v>9882</v>
      </c>
      <c r="C5185" t="str">
        <f t="shared" si="355"/>
        <v>706</v>
      </c>
      <c r="D5185" t="s">
        <v>28</v>
      </c>
      <c r="E5185" t="s">
        <v>83</v>
      </c>
      <c r="F5185" t="s">
        <v>815</v>
      </c>
      <c r="G5185" t="s">
        <v>9883</v>
      </c>
      <c r="H5185" t="str">
        <f>"93120"</f>
        <v>93120</v>
      </c>
      <c r="I5185" t="s">
        <v>54</v>
      </c>
    </row>
    <row r="5186" spans="1:15" x14ac:dyDescent="0.3">
      <c r="A5186" t="str">
        <f>"03119556"</f>
        <v>03119556</v>
      </c>
      <c r="B5186" t="s">
        <v>9884</v>
      </c>
      <c r="C5186" t="str">
        <f t="shared" si="355"/>
        <v>706</v>
      </c>
      <c r="D5186" t="s">
        <v>28</v>
      </c>
      <c r="E5186" t="s">
        <v>23</v>
      </c>
      <c r="F5186" t="s">
        <v>23</v>
      </c>
      <c r="G5186" t="s">
        <v>9885</v>
      </c>
      <c r="H5186" t="str">
        <f>"93190"</f>
        <v>93190</v>
      </c>
      <c r="I5186" t="s">
        <v>59</v>
      </c>
    </row>
    <row r="5187" spans="1:15" x14ac:dyDescent="0.3">
      <c r="A5187" t="str">
        <f>"26989841"</f>
        <v>26989841</v>
      </c>
      <c r="B5187" t="s">
        <v>9886</v>
      </c>
      <c r="C5187" t="str">
        <f t="shared" si="355"/>
        <v>706</v>
      </c>
      <c r="D5187" t="s">
        <v>28</v>
      </c>
      <c r="E5187" t="s">
        <v>29</v>
      </c>
      <c r="F5187" t="s">
        <v>29</v>
      </c>
      <c r="G5187" t="s">
        <v>9887</v>
      </c>
      <c r="H5187" t="str">
        <f>"93110"</f>
        <v>93110</v>
      </c>
      <c r="I5187" t="s">
        <v>92</v>
      </c>
    </row>
    <row r="5188" spans="1:15" x14ac:dyDescent="0.3">
      <c r="A5188" t="str">
        <f>"22727892"</f>
        <v>22727892</v>
      </c>
      <c r="B5188" t="s">
        <v>9888</v>
      </c>
      <c r="C5188" t="str">
        <f t="shared" si="355"/>
        <v>706</v>
      </c>
      <c r="D5188" t="s">
        <v>28</v>
      </c>
      <c r="E5188" t="s">
        <v>23</v>
      </c>
      <c r="F5188" t="s">
        <v>6995</v>
      </c>
      <c r="G5188" t="s">
        <v>9889</v>
      </c>
      <c r="H5188" t="str">
        <f>"93110"</f>
        <v>93110</v>
      </c>
      <c r="I5188" t="s">
        <v>92</v>
      </c>
    </row>
    <row r="5189" spans="1:15" x14ac:dyDescent="0.3">
      <c r="A5189" t="str">
        <f>"26679477"</f>
        <v>26679477</v>
      </c>
      <c r="B5189" t="s">
        <v>9890</v>
      </c>
      <c r="C5189" t="str">
        <f t="shared" si="355"/>
        <v>706</v>
      </c>
      <c r="D5189" t="s">
        <v>28</v>
      </c>
      <c r="E5189" t="s">
        <v>23</v>
      </c>
      <c r="F5189" t="s">
        <v>975</v>
      </c>
      <c r="G5189" t="s">
        <v>9891</v>
      </c>
      <c r="H5189" t="str">
        <f>"93110"</f>
        <v>93110</v>
      </c>
      <c r="I5189" t="s">
        <v>92</v>
      </c>
    </row>
    <row r="5190" spans="1:15" x14ac:dyDescent="0.3">
      <c r="A5190" t="str">
        <f>"47933852"</f>
        <v>47933852</v>
      </c>
      <c r="B5190" t="s">
        <v>9892</v>
      </c>
      <c r="C5190" t="str">
        <f t="shared" si="355"/>
        <v>706</v>
      </c>
      <c r="D5190" t="s">
        <v>28</v>
      </c>
      <c r="E5190" t="s">
        <v>83</v>
      </c>
      <c r="F5190" t="s">
        <v>183</v>
      </c>
      <c r="G5190" t="s">
        <v>9514</v>
      </c>
      <c r="H5190" t="str">
        <f>"93110"</f>
        <v>93110</v>
      </c>
      <c r="I5190" t="s">
        <v>92</v>
      </c>
      <c r="J5190" t="s">
        <v>160</v>
      </c>
      <c r="K5190" t="s">
        <v>54</v>
      </c>
      <c r="L5190" t="s">
        <v>209</v>
      </c>
      <c r="M5190" t="s">
        <v>161</v>
      </c>
      <c r="N5190" t="s">
        <v>163</v>
      </c>
      <c r="O5190" t="s">
        <v>59</v>
      </c>
    </row>
    <row r="5191" spans="1:15" x14ac:dyDescent="0.3">
      <c r="A5191" t="str">
        <f>"60990104"</f>
        <v>60990104</v>
      </c>
      <c r="B5191" t="s">
        <v>9893</v>
      </c>
      <c r="C5191" t="str">
        <f t="shared" ref="C5191:C5240" si="356">"706"</f>
        <v>706</v>
      </c>
      <c r="D5191" t="s">
        <v>28</v>
      </c>
      <c r="E5191" t="s">
        <v>29</v>
      </c>
      <c r="F5191" t="s">
        <v>29</v>
      </c>
      <c r="G5191" t="s">
        <v>9894</v>
      </c>
      <c r="H5191" t="str">
        <f>"93120"</f>
        <v>93120</v>
      </c>
      <c r="I5191" t="s">
        <v>54</v>
      </c>
    </row>
    <row r="5192" spans="1:15" x14ac:dyDescent="0.3">
      <c r="A5192" t="str">
        <f>"46307311"</f>
        <v>46307311</v>
      </c>
      <c r="B5192" t="s">
        <v>9895</v>
      </c>
      <c r="C5192" t="str">
        <f t="shared" si="356"/>
        <v>706</v>
      </c>
      <c r="D5192" t="s">
        <v>28</v>
      </c>
      <c r="E5192" t="s">
        <v>23</v>
      </c>
      <c r="F5192" t="s">
        <v>23</v>
      </c>
      <c r="G5192" t="s">
        <v>3340</v>
      </c>
      <c r="H5192" t="str">
        <f>"93120"</f>
        <v>93120</v>
      </c>
      <c r="I5192" t="s">
        <v>54</v>
      </c>
    </row>
    <row r="5193" spans="1:15" x14ac:dyDescent="0.3">
      <c r="A5193" t="str">
        <f>"18810748"</f>
        <v>18810748</v>
      </c>
      <c r="B5193" t="s">
        <v>9896</v>
      </c>
      <c r="C5193" t="str">
        <f t="shared" si="356"/>
        <v>706</v>
      </c>
      <c r="D5193" t="s">
        <v>28</v>
      </c>
      <c r="E5193" t="s">
        <v>23</v>
      </c>
      <c r="F5193" t="s">
        <v>1877</v>
      </c>
      <c r="G5193" t="s">
        <v>9897</v>
      </c>
      <c r="H5193" t="str">
        <f>"931"</f>
        <v>931</v>
      </c>
      <c r="I5193" t="s">
        <v>26</v>
      </c>
    </row>
    <row r="5194" spans="1:15" x14ac:dyDescent="0.3">
      <c r="A5194" t="str">
        <f>"18189334"</f>
        <v>18189334</v>
      </c>
      <c r="B5194" t="s">
        <v>9898</v>
      </c>
      <c r="C5194" t="str">
        <f t="shared" si="356"/>
        <v>706</v>
      </c>
      <c r="D5194" t="s">
        <v>28</v>
      </c>
      <c r="E5194" t="s">
        <v>83</v>
      </c>
      <c r="F5194" t="s">
        <v>473</v>
      </c>
      <c r="G5194" t="s">
        <v>9899</v>
      </c>
      <c r="H5194" t="str">
        <f>"93110"</f>
        <v>93110</v>
      </c>
      <c r="I5194" t="s">
        <v>92</v>
      </c>
    </row>
    <row r="5195" spans="1:15" x14ac:dyDescent="0.3">
      <c r="A5195" t="str">
        <f>"01536401"</f>
        <v>01536401</v>
      </c>
      <c r="B5195" t="s">
        <v>9900</v>
      </c>
      <c r="C5195" t="str">
        <f t="shared" si="356"/>
        <v>706</v>
      </c>
      <c r="D5195" t="s">
        <v>28</v>
      </c>
      <c r="E5195" t="s">
        <v>23</v>
      </c>
      <c r="F5195" t="s">
        <v>141</v>
      </c>
      <c r="G5195" t="s">
        <v>9901</v>
      </c>
      <c r="H5195" t="str">
        <f>"9499"</f>
        <v>9499</v>
      </c>
      <c r="I5195" t="s">
        <v>31</v>
      </c>
    </row>
    <row r="5196" spans="1:15" x14ac:dyDescent="0.3">
      <c r="A5196" t="str">
        <f>"70851905"</f>
        <v>70851905</v>
      </c>
      <c r="B5196" t="s">
        <v>9902</v>
      </c>
      <c r="C5196" t="str">
        <f t="shared" si="356"/>
        <v>706</v>
      </c>
      <c r="D5196" t="s">
        <v>28</v>
      </c>
      <c r="E5196" t="s">
        <v>23</v>
      </c>
      <c r="F5196" t="s">
        <v>102</v>
      </c>
      <c r="G5196" t="s">
        <v>9903</v>
      </c>
      <c r="H5196" t="str">
        <f>"93120"</f>
        <v>93120</v>
      </c>
      <c r="I5196" t="s">
        <v>54</v>
      </c>
    </row>
    <row r="5197" spans="1:15" x14ac:dyDescent="0.3">
      <c r="A5197" t="str">
        <f>"04924380"</f>
        <v>04924380</v>
      </c>
      <c r="B5197" t="s">
        <v>9904</v>
      </c>
      <c r="C5197" t="str">
        <f t="shared" si="356"/>
        <v>706</v>
      </c>
      <c r="D5197" t="s">
        <v>28</v>
      </c>
      <c r="E5197" t="s">
        <v>29</v>
      </c>
      <c r="F5197" t="s">
        <v>38</v>
      </c>
      <c r="G5197" t="s">
        <v>9905</v>
      </c>
      <c r="H5197" t="str">
        <f>"94993"</f>
        <v>94993</v>
      </c>
      <c r="I5197" t="s">
        <v>50</v>
      </c>
    </row>
    <row r="5198" spans="1:15" x14ac:dyDescent="0.3">
      <c r="A5198" t="str">
        <f>"46998161"</f>
        <v>46998161</v>
      </c>
      <c r="B5198" t="s">
        <v>9906</v>
      </c>
      <c r="C5198" t="str">
        <f t="shared" si="356"/>
        <v>706</v>
      </c>
      <c r="D5198" t="s">
        <v>28</v>
      </c>
      <c r="E5198" t="s">
        <v>83</v>
      </c>
      <c r="F5198" t="s">
        <v>227</v>
      </c>
      <c r="G5198" t="s">
        <v>5602</v>
      </c>
      <c r="H5198" t="str">
        <f>"93110"</f>
        <v>93110</v>
      </c>
      <c r="I5198" t="s">
        <v>92</v>
      </c>
    </row>
    <row r="5199" spans="1:15" x14ac:dyDescent="0.3">
      <c r="A5199" t="str">
        <f>"26579545"</f>
        <v>26579545</v>
      </c>
      <c r="B5199" t="s">
        <v>9907</v>
      </c>
      <c r="C5199" t="str">
        <f t="shared" si="356"/>
        <v>706</v>
      </c>
      <c r="D5199" t="s">
        <v>28</v>
      </c>
      <c r="E5199" t="s">
        <v>83</v>
      </c>
      <c r="F5199" t="s">
        <v>175</v>
      </c>
      <c r="G5199" t="s">
        <v>9908</v>
      </c>
      <c r="H5199" t="str">
        <f>"93120"</f>
        <v>93120</v>
      </c>
      <c r="I5199" t="s">
        <v>54</v>
      </c>
    </row>
    <row r="5200" spans="1:15" x14ac:dyDescent="0.3">
      <c r="A5200" t="str">
        <f>"48739294"</f>
        <v>48739294</v>
      </c>
      <c r="B5200" t="s">
        <v>9909</v>
      </c>
      <c r="C5200" t="str">
        <f t="shared" si="356"/>
        <v>706</v>
      </c>
      <c r="D5200" t="s">
        <v>28</v>
      </c>
      <c r="E5200" t="s">
        <v>29</v>
      </c>
      <c r="F5200" t="s">
        <v>1654</v>
      </c>
      <c r="G5200" t="s">
        <v>1654</v>
      </c>
      <c r="H5200" t="str">
        <f>"93120"</f>
        <v>93120</v>
      </c>
      <c r="I5200" t="s">
        <v>54</v>
      </c>
    </row>
    <row r="5201" spans="1:13" x14ac:dyDescent="0.3">
      <c r="A5201" t="str">
        <f>"44018894"</f>
        <v>44018894</v>
      </c>
      <c r="B5201" t="s">
        <v>9910</v>
      </c>
      <c r="C5201" t="str">
        <f t="shared" si="356"/>
        <v>706</v>
      </c>
      <c r="D5201" t="s">
        <v>28</v>
      </c>
      <c r="E5201" t="s">
        <v>52</v>
      </c>
      <c r="F5201" t="s">
        <v>612</v>
      </c>
      <c r="G5201" t="s">
        <v>9911</v>
      </c>
      <c r="H5201" t="str">
        <f>"93110"</f>
        <v>93110</v>
      </c>
      <c r="I5201" t="s">
        <v>92</v>
      </c>
      <c r="J5201" t="s">
        <v>237</v>
      </c>
      <c r="K5201" t="s">
        <v>498</v>
      </c>
      <c r="L5201" t="s">
        <v>2454</v>
      </c>
      <c r="M5201" t="s">
        <v>9912</v>
      </c>
    </row>
    <row r="5202" spans="1:13" x14ac:dyDescent="0.3">
      <c r="A5202" t="str">
        <f>"44119160"</f>
        <v>44119160</v>
      </c>
      <c r="B5202" t="s">
        <v>9913</v>
      </c>
      <c r="C5202" t="str">
        <f t="shared" si="356"/>
        <v>706</v>
      </c>
      <c r="D5202" t="s">
        <v>28</v>
      </c>
      <c r="E5202" t="s">
        <v>23</v>
      </c>
      <c r="F5202" t="s">
        <v>23</v>
      </c>
      <c r="G5202" t="s">
        <v>9914</v>
      </c>
      <c r="H5202" t="str">
        <f>"9499"</f>
        <v>9499</v>
      </c>
      <c r="I5202" t="s">
        <v>31</v>
      </c>
    </row>
    <row r="5203" spans="1:13" x14ac:dyDescent="0.3">
      <c r="A5203" t="str">
        <f>"18188541"</f>
        <v>18188541</v>
      </c>
      <c r="B5203" t="s">
        <v>9915</v>
      </c>
      <c r="C5203" t="str">
        <f t="shared" si="356"/>
        <v>706</v>
      </c>
      <c r="D5203" t="s">
        <v>28</v>
      </c>
      <c r="E5203" t="s">
        <v>83</v>
      </c>
      <c r="F5203" t="s">
        <v>537</v>
      </c>
      <c r="G5203" t="s">
        <v>9916</v>
      </c>
      <c r="H5203" t="str">
        <f>"931"</f>
        <v>931</v>
      </c>
      <c r="I5203" t="s">
        <v>26</v>
      </c>
    </row>
    <row r="5204" spans="1:13" x14ac:dyDescent="0.3">
      <c r="A5204" t="str">
        <f>"48473286"</f>
        <v>48473286</v>
      </c>
      <c r="B5204" t="s">
        <v>9917</v>
      </c>
      <c r="C5204" t="str">
        <f t="shared" si="356"/>
        <v>706</v>
      </c>
      <c r="D5204" t="s">
        <v>28</v>
      </c>
      <c r="E5204" t="s">
        <v>23</v>
      </c>
      <c r="F5204" t="s">
        <v>23</v>
      </c>
      <c r="G5204" t="s">
        <v>23</v>
      </c>
      <c r="H5204" t="str">
        <f>"93120"</f>
        <v>93120</v>
      </c>
      <c r="I5204" t="s">
        <v>54</v>
      </c>
    </row>
    <row r="5205" spans="1:13" x14ac:dyDescent="0.3">
      <c r="A5205" t="str">
        <f>"27004821"</f>
        <v>27004821</v>
      </c>
      <c r="B5205" t="s">
        <v>9918</v>
      </c>
      <c r="C5205" t="str">
        <f t="shared" si="356"/>
        <v>706</v>
      </c>
      <c r="D5205" t="s">
        <v>28</v>
      </c>
      <c r="E5205" t="s">
        <v>29</v>
      </c>
      <c r="F5205" t="s">
        <v>135</v>
      </c>
      <c r="G5205" t="s">
        <v>9919</v>
      </c>
      <c r="H5205" t="str">
        <f>"93110"</f>
        <v>93110</v>
      </c>
      <c r="I5205" t="s">
        <v>92</v>
      </c>
    </row>
    <row r="5206" spans="1:13" x14ac:dyDescent="0.3">
      <c r="A5206" t="str">
        <f>"03163946"</f>
        <v>03163946</v>
      </c>
      <c r="B5206" t="s">
        <v>9920</v>
      </c>
      <c r="C5206" t="str">
        <f t="shared" si="356"/>
        <v>706</v>
      </c>
      <c r="D5206" t="s">
        <v>28</v>
      </c>
      <c r="E5206" t="s">
        <v>23</v>
      </c>
      <c r="F5206" t="s">
        <v>23</v>
      </c>
      <c r="G5206" t="s">
        <v>9921</v>
      </c>
      <c r="H5206" t="str">
        <f>"93190"</f>
        <v>93190</v>
      </c>
      <c r="I5206" t="s">
        <v>59</v>
      </c>
    </row>
    <row r="5207" spans="1:13" x14ac:dyDescent="0.3">
      <c r="A5207" t="str">
        <f>"22852492"</f>
        <v>22852492</v>
      </c>
      <c r="B5207" t="s">
        <v>9922</v>
      </c>
      <c r="C5207" t="str">
        <f t="shared" si="356"/>
        <v>706</v>
      </c>
      <c r="D5207" t="s">
        <v>28</v>
      </c>
      <c r="E5207" t="s">
        <v>23</v>
      </c>
      <c r="F5207" t="s">
        <v>23</v>
      </c>
      <c r="G5207" t="s">
        <v>9923</v>
      </c>
      <c r="H5207" t="str">
        <f>"93120"</f>
        <v>93120</v>
      </c>
      <c r="I5207" t="s">
        <v>54</v>
      </c>
    </row>
    <row r="5208" spans="1:13" x14ac:dyDescent="0.3">
      <c r="A5208" t="str">
        <f>"61704342"</f>
        <v>61704342</v>
      </c>
      <c r="B5208" t="s">
        <v>9924</v>
      </c>
      <c r="C5208" t="str">
        <f t="shared" si="356"/>
        <v>706</v>
      </c>
      <c r="D5208" t="s">
        <v>28</v>
      </c>
      <c r="E5208" t="s">
        <v>52</v>
      </c>
      <c r="F5208" t="s">
        <v>5507</v>
      </c>
      <c r="G5208" t="s">
        <v>9925</v>
      </c>
      <c r="H5208" t="str">
        <f>"9312"</f>
        <v>9312</v>
      </c>
      <c r="I5208" t="s">
        <v>54</v>
      </c>
      <c r="J5208" t="s">
        <v>161</v>
      </c>
      <c r="K5208" t="s">
        <v>163</v>
      </c>
      <c r="L5208" t="s">
        <v>209</v>
      </c>
    </row>
    <row r="5209" spans="1:13" x14ac:dyDescent="0.3">
      <c r="A5209" t="str">
        <f>"22839950"</f>
        <v>22839950</v>
      </c>
      <c r="B5209" t="s">
        <v>9926</v>
      </c>
      <c r="C5209" t="str">
        <f t="shared" si="356"/>
        <v>706</v>
      </c>
      <c r="D5209" t="s">
        <v>28</v>
      </c>
      <c r="E5209" t="s">
        <v>52</v>
      </c>
      <c r="F5209" t="s">
        <v>5049</v>
      </c>
      <c r="G5209" t="s">
        <v>9927</v>
      </c>
      <c r="H5209" t="str">
        <f>"93120"</f>
        <v>93120</v>
      </c>
      <c r="I5209" t="s">
        <v>54</v>
      </c>
    </row>
    <row r="5210" spans="1:13" x14ac:dyDescent="0.3">
      <c r="A5210" t="str">
        <f>"46277536"</f>
        <v>46277536</v>
      </c>
      <c r="B5210" t="s">
        <v>9928</v>
      </c>
      <c r="C5210" t="str">
        <f t="shared" si="356"/>
        <v>706</v>
      </c>
      <c r="D5210" t="s">
        <v>28</v>
      </c>
      <c r="E5210" t="s">
        <v>23</v>
      </c>
      <c r="F5210" t="s">
        <v>5635</v>
      </c>
      <c r="G5210" t="s">
        <v>9929</v>
      </c>
      <c r="H5210" t="str">
        <f>"93120"</f>
        <v>93120</v>
      </c>
      <c r="I5210" t="s">
        <v>54</v>
      </c>
    </row>
    <row r="5211" spans="1:13" x14ac:dyDescent="0.3">
      <c r="A5211" t="str">
        <f>"01588664"</f>
        <v>01588664</v>
      </c>
      <c r="B5211" t="s">
        <v>9930</v>
      </c>
      <c r="C5211" t="str">
        <f t="shared" si="356"/>
        <v>706</v>
      </c>
      <c r="D5211" t="s">
        <v>28</v>
      </c>
      <c r="E5211" t="s">
        <v>52</v>
      </c>
      <c r="F5211" t="s">
        <v>1679</v>
      </c>
      <c r="G5211" t="s">
        <v>9931</v>
      </c>
      <c r="H5211" t="str">
        <f>"93120"</f>
        <v>93120</v>
      </c>
      <c r="I5211" t="s">
        <v>54</v>
      </c>
    </row>
    <row r="5212" spans="1:13" x14ac:dyDescent="0.3">
      <c r="A5212" t="str">
        <f>"09746528"</f>
        <v>09746528</v>
      </c>
      <c r="B5212" t="s">
        <v>9932</v>
      </c>
      <c r="C5212" t="str">
        <f t="shared" si="356"/>
        <v>706</v>
      </c>
      <c r="D5212" t="s">
        <v>28</v>
      </c>
      <c r="E5212" t="s">
        <v>23</v>
      </c>
      <c r="F5212" t="s">
        <v>4479</v>
      </c>
      <c r="G5212" t="s">
        <v>4480</v>
      </c>
      <c r="H5212" t="str">
        <f>"931"</f>
        <v>931</v>
      </c>
      <c r="I5212" t="s">
        <v>26</v>
      </c>
    </row>
    <row r="5213" spans="1:13" x14ac:dyDescent="0.3">
      <c r="A5213" t="str">
        <f>"26581698"</f>
        <v>26581698</v>
      </c>
      <c r="B5213" t="s">
        <v>9933</v>
      </c>
      <c r="C5213" t="str">
        <f t="shared" si="356"/>
        <v>706</v>
      </c>
      <c r="D5213" t="s">
        <v>28</v>
      </c>
      <c r="E5213" t="s">
        <v>23</v>
      </c>
      <c r="F5213" t="s">
        <v>1657</v>
      </c>
      <c r="G5213" t="s">
        <v>9934</v>
      </c>
      <c r="H5213" t="str">
        <f>"93120"</f>
        <v>93120</v>
      </c>
      <c r="I5213" t="s">
        <v>54</v>
      </c>
    </row>
    <row r="5214" spans="1:13" x14ac:dyDescent="0.3">
      <c r="A5214" t="str">
        <f>"01560531"</f>
        <v>01560531</v>
      </c>
      <c r="B5214" t="s">
        <v>9935</v>
      </c>
      <c r="C5214" t="str">
        <f t="shared" si="356"/>
        <v>706</v>
      </c>
      <c r="D5214" t="s">
        <v>28</v>
      </c>
      <c r="E5214" t="s">
        <v>23</v>
      </c>
      <c r="F5214" t="s">
        <v>23</v>
      </c>
      <c r="G5214" t="s">
        <v>9936</v>
      </c>
      <c r="H5214" t="str">
        <f>"9499"</f>
        <v>9499</v>
      </c>
      <c r="I5214" t="s">
        <v>31</v>
      </c>
    </row>
    <row r="5215" spans="1:13" x14ac:dyDescent="0.3">
      <c r="A5215" t="str">
        <f>"66184380"</f>
        <v>66184380</v>
      </c>
      <c r="B5215" t="s">
        <v>9937</v>
      </c>
      <c r="C5215" t="str">
        <f t="shared" si="356"/>
        <v>706</v>
      </c>
      <c r="D5215" t="s">
        <v>28</v>
      </c>
      <c r="E5215" t="s">
        <v>29</v>
      </c>
      <c r="F5215" t="s">
        <v>29</v>
      </c>
      <c r="G5215" t="s">
        <v>9938</v>
      </c>
      <c r="H5215" t="str">
        <f>"93120"</f>
        <v>93120</v>
      </c>
      <c r="I5215" t="s">
        <v>54</v>
      </c>
    </row>
    <row r="5216" spans="1:13" x14ac:dyDescent="0.3">
      <c r="A5216" t="str">
        <f>"26987091"</f>
        <v>26987091</v>
      </c>
      <c r="B5216" t="s">
        <v>9939</v>
      </c>
      <c r="C5216" t="str">
        <f t="shared" si="356"/>
        <v>706</v>
      </c>
      <c r="D5216" t="s">
        <v>28</v>
      </c>
      <c r="E5216" t="s">
        <v>52</v>
      </c>
      <c r="F5216" t="s">
        <v>113</v>
      </c>
      <c r="G5216" t="s">
        <v>9940</v>
      </c>
      <c r="H5216" t="str">
        <f>"93110"</f>
        <v>93110</v>
      </c>
      <c r="I5216" t="s">
        <v>92</v>
      </c>
    </row>
    <row r="5217" spans="1:10" x14ac:dyDescent="0.3">
      <c r="A5217" t="str">
        <f>"11776706"</f>
        <v>11776706</v>
      </c>
      <c r="B5217" t="s">
        <v>9941</v>
      </c>
      <c r="C5217" t="str">
        <f t="shared" si="356"/>
        <v>706</v>
      </c>
      <c r="D5217" t="s">
        <v>28</v>
      </c>
      <c r="E5217" t="s">
        <v>29</v>
      </c>
      <c r="F5217" t="s">
        <v>1266</v>
      </c>
      <c r="G5217" t="s">
        <v>9942</v>
      </c>
      <c r="H5217" t="str">
        <f>"93190"</f>
        <v>93190</v>
      </c>
      <c r="I5217" t="s">
        <v>59</v>
      </c>
    </row>
    <row r="5218" spans="1:10" x14ac:dyDescent="0.3">
      <c r="A5218" t="str">
        <f>"22878530"</f>
        <v>22878530</v>
      </c>
      <c r="B5218" t="s">
        <v>9943</v>
      </c>
      <c r="C5218" t="str">
        <f t="shared" si="356"/>
        <v>706</v>
      </c>
      <c r="D5218" t="s">
        <v>28</v>
      </c>
      <c r="E5218" t="s">
        <v>83</v>
      </c>
      <c r="F5218" t="s">
        <v>183</v>
      </c>
      <c r="G5218" t="s">
        <v>1402</v>
      </c>
      <c r="H5218" t="str">
        <f>"93120"</f>
        <v>93120</v>
      </c>
      <c r="I5218" t="s">
        <v>54</v>
      </c>
    </row>
    <row r="5219" spans="1:10" x14ac:dyDescent="0.3">
      <c r="A5219" t="str">
        <f>"15526259"</f>
        <v>15526259</v>
      </c>
      <c r="B5219" t="s">
        <v>9944</v>
      </c>
      <c r="C5219" t="str">
        <f t="shared" si="356"/>
        <v>706</v>
      </c>
      <c r="D5219" t="s">
        <v>28</v>
      </c>
      <c r="E5219" t="s">
        <v>23</v>
      </c>
      <c r="F5219" t="s">
        <v>1935</v>
      </c>
      <c r="G5219" t="s">
        <v>9945</v>
      </c>
      <c r="H5219" t="str">
        <f>"93120"</f>
        <v>93120</v>
      </c>
      <c r="I5219" t="s">
        <v>54</v>
      </c>
    </row>
    <row r="5220" spans="1:10" x14ac:dyDescent="0.3">
      <c r="A5220" t="str">
        <f>"22872141"</f>
        <v>22872141</v>
      </c>
      <c r="B5220" t="s">
        <v>9946</v>
      </c>
      <c r="C5220" t="str">
        <f t="shared" si="356"/>
        <v>706</v>
      </c>
      <c r="D5220" t="s">
        <v>28</v>
      </c>
      <c r="E5220" t="s">
        <v>23</v>
      </c>
      <c r="F5220" t="s">
        <v>975</v>
      </c>
      <c r="G5220" t="s">
        <v>9947</v>
      </c>
      <c r="H5220" t="str">
        <f>"93120"</f>
        <v>93120</v>
      </c>
      <c r="I5220" t="s">
        <v>54</v>
      </c>
    </row>
    <row r="5221" spans="1:10" x14ac:dyDescent="0.3">
      <c r="A5221" t="str">
        <f>"26984334"</f>
        <v>26984334</v>
      </c>
      <c r="B5221" t="s">
        <v>9948</v>
      </c>
      <c r="C5221" t="str">
        <f t="shared" si="356"/>
        <v>706</v>
      </c>
      <c r="D5221" t="s">
        <v>28</v>
      </c>
      <c r="E5221" t="s">
        <v>23</v>
      </c>
      <c r="F5221" t="s">
        <v>23</v>
      </c>
      <c r="G5221" t="s">
        <v>9949</v>
      </c>
      <c r="H5221" t="str">
        <f>"93110"</f>
        <v>93110</v>
      </c>
      <c r="I5221" t="s">
        <v>92</v>
      </c>
    </row>
    <row r="5222" spans="1:10" x14ac:dyDescent="0.3">
      <c r="A5222" t="str">
        <f>"14296667"</f>
        <v>14296667</v>
      </c>
      <c r="B5222" t="s">
        <v>9950</v>
      </c>
      <c r="C5222" t="str">
        <f t="shared" si="356"/>
        <v>706</v>
      </c>
      <c r="D5222" t="s">
        <v>28</v>
      </c>
      <c r="E5222" t="s">
        <v>29</v>
      </c>
      <c r="F5222" t="s">
        <v>5168</v>
      </c>
      <c r="G5222" t="s">
        <v>9951</v>
      </c>
      <c r="H5222" t="str">
        <f>"93120"</f>
        <v>93120</v>
      </c>
      <c r="I5222" t="s">
        <v>54</v>
      </c>
    </row>
    <row r="5223" spans="1:10" x14ac:dyDescent="0.3">
      <c r="A5223" t="str">
        <f>"03621031"</f>
        <v>03621031</v>
      </c>
      <c r="B5223" t="s">
        <v>9952</v>
      </c>
      <c r="C5223" t="str">
        <f t="shared" si="356"/>
        <v>706</v>
      </c>
      <c r="D5223" t="s">
        <v>28</v>
      </c>
      <c r="E5223" t="s">
        <v>23</v>
      </c>
      <c r="F5223" t="s">
        <v>23</v>
      </c>
      <c r="G5223" t="s">
        <v>9953</v>
      </c>
      <c r="H5223" t="str">
        <f>"93190"</f>
        <v>93190</v>
      </c>
      <c r="I5223" t="s">
        <v>59</v>
      </c>
    </row>
    <row r="5224" spans="1:10" x14ac:dyDescent="0.3">
      <c r="A5224" t="str">
        <f>"27017583"</f>
        <v>27017583</v>
      </c>
      <c r="B5224" t="s">
        <v>9954</v>
      </c>
      <c r="C5224" t="str">
        <f t="shared" si="356"/>
        <v>706</v>
      </c>
      <c r="D5224" t="s">
        <v>28</v>
      </c>
      <c r="E5224" t="s">
        <v>23</v>
      </c>
      <c r="F5224" t="s">
        <v>1492</v>
      </c>
      <c r="G5224" t="s">
        <v>9955</v>
      </c>
      <c r="H5224" t="str">
        <f>"93110"</f>
        <v>93110</v>
      </c>
      <c r="I5224" t="s">
        <v>92</v>
      </c>
    </row>
    <row r="5225" spans="1:10" x14ac:dyDescent="0.3">
      <c r="A5225" t="str">
        <f>"00544621"</f>
        <v>00544621</v>
      </c>
      <c r="B5225" t="s">
        <v>9956</v>
      </c>
      <c r="C5225" t="str">
        <f t="shared" si="356"/>
        <v>706</v>
      </c>
      <c r="D5225" t="s">
        <v>28</v>
      </c>
      <c r="E5225" t="s">
        <v>23</v>
      </c>
      <c r="F5225" t="s">
        <v>350</v>
      </c>
      <c r="G5225" t="s">
        <v>4582</v>
      </c>
      <c r="H5225" t="str">
        <f>"93120"</f>
        <v>93120</v>
      </c>
      <c r="I5225" t="s">
        <v>54</v>
      </c>
      <c r="J5225" t="s">
        <v>668</v>
      </c>
    </row>
    <row r="5226" spans="1:10" x14ac:dyDescent="0.3">
      <c r="A5226" t="str">
        <f>"26587408"</f>
        <v>26587408</v>
      </c>
      <c r="B5226" t="s">
        <v>9957</v>
      </c>
      <c r="C5226" t="str">
        <f t="shared" si="356"/>
        <v>706</v>
      </c>
      <c r="D5226" t="s">
        <v>28</v>
      </c>
      <c r="E5226" t="s">
        <v>52</v>
      </c>
      <c r="F5226" t="s">
        <v>379</v>
      </c>
      <c r="G5226" t="s">
        <v>3940</v>
      </c>
      <c r="H5226" t="str">
        <f>"93110"</f>
        <v>93110</v>
      </c>
      <c r="I5226" t="s">
        <v>92</v>
      </c>
    </row>
    <row r="5227" spans="1:10" x14ac:dyDescent="0.3">
      <c r="A5227" t="str">
        <f>"00531944"</f>
        <v>00531944</v>
      </c>
      <c r="B5227" t="s">
        <v>9958</v>
      </c>
      <c r="C5227" t="str">
        <f t="shared" si="356"/>
        <v>706</v>
      </c>
      <c r="D5227" t="s">
        <v>28</v>
      </c>
      <c r="E5227" t="s">
        <v>23</v>
      </c>
      <c r="F5227" t="s">
        <v>23</v>
      </c>
      <c r="G5227" t="s">
        <v>204</v>
      </c>
      <c r="H5227" t="str">
        <f>"93120"</f>
        <v>93120</v>
      </c>
      <c r="I5227" t="s">
        <v>54</v>
      </c>
    </row>
    <row r="5228" spans="1:10" x14ac:dyDescent="0.3">
      <c r="A5228" t="str">
        <f>"22613030"</f>
        <v>22613030</v>
      </c>
      <c r="B5228" t="s">
        <v>9959</v>
      </c>
      <c r="C5228" t="str">
        <f t="shared" si="356"/>
        <v>706</v>
      </c>
      <c r="D5228" t="s">
        <v>28</v>
      </c>
      <c r="E5228" t="s">
        <v>52</v>
      </c>
      <c r="F5228" t="s">
        <v>113</v>
      </c>
      <c r="G5228" t="s">
        <v>9960</v>
      </c>
      <c r="H5228" t="str">
        <f>"94993"</f>
        <v>94993</v>
      </c>
      <c r="I5228" t="s">
        <v>50</v>
      </c>
    </row>
    <row r="5229" spans="1:10" x14ac:dyDescent="0.3">
      <c r="A5229" t="str">
        <f>"22900161"</f>
        <v>22900161</v>
      </c>
      <c r="B5229" t="s">
        <v>9961</v>
      </c>
      <c r="C5229" t="str">
        <f t="shared" si="356"/>
        <v>706</v>
      </c>
      <c r="D5229" t="s">
        <v>28</v>
      </c>
      <c r="E5229" t="s">
        <v>52</v>
      </c>
      <c r="F5229" t="s">
        <v>514</v>
      </c>
      <c r="G5229" t="s">
        <v>9962</v>
      </c>
      <c r="H5229" t="str">
        <f>"93190"</f>
        <v>93190</v>
      </c>
      <c r="I5229" t="s">
        <v>59</v>
      </c>
    </row>
    <row r="5230" spans="1:10" x14ac:dyDescent="0.3">
      <c r="A5230" t="str">
        <f>"26593289"</f>
        <v>26593289</v>
      </c>
      <c r="B5230" t="s">
        <v>9963</v>
      </c>
      <c r="C5230" t="str">
        <f t="shared" si="356"/>
        <v>706</v>
      </c>
      <c r="D5230" t="s">
        <v>28</v>
      </c>
      <c r="E5230" t="s">
        <v>23</v>
      </c>
      <c r="F5230" t="s">
        <v>23</v>
      </c>
      <c r="G5230" t="s">
        <v>9964</v>
      </c>
      <c r="H5230" t="str">
        <f>"93110"</f>
        <v>93110</v>
      </c>
      <c r="I5230" t="s">
        <v>92</v>
      </c>
    </row>
    <row r="5231" spans="1:10" x14ac:dyDescent="0.3">
      <c r="A5231" t="str">
        <f>"26648041"</f>
        <v>26648041</v>
      </c>
      <c r="B5231" t="s">
        <v>9965</v>
      </c>
      <c r="C5231" t="str">
        <f t="shared" si="356"/>
        <v>706</v>
      </c>
      <c r="D5231" t="s">
        <v>28</v>
      </c>
      <c r="E5231" t="s">
        <v>52</v>
      </c>
      <c r="F5231" t="s">
        <v>631</v>
      </c>
      <c r="G5231" t="s">
        <v>9966</v>
      </c>
      <c r="H5231" t="str">
        <f>"93110"</f>
        <v>93110</v>
      </c>
      <c r="I5231" t="s">
        <v>92</v>
      </c>
    </row>
    <row r="5232" spans="1:10" x14ac:dyDescent="0.3">
      <c r="A5232" t="str">
        <f>"26668327"</f>
        <v>26668327</v>
      </c>
      <c r="B5232" t="s">
        <v>9967</v>
      </c>
      <c r="C5232" t="str">
        <f t="shared" si="356"/>
        <v>706</v>
      </c>
      <c r="D5232" t="s">
        <v>28</v>
      </c>
      <c r="E5232" t="s">
        <v>83</v>
      </c>
      <c r="F5232" t="s">
        <v>175</v>
      </c>
      <c r="G5232" t="s">
        <v>9968</v>
      </c>
      <c r="H5232" t="str">
        <f>"9499"</f>
        <v>9499</v>
      </c>
      <c r="I5232" t="s">
        <v>31</v>
      </c>
    </row>
    <row r="5233" spans="1:11" x14ac:dyDescent="0.3">
      <c r="A5233" t="str">
        <f>"26609525"</f>
        <v>26609525</v>
      </c>
      <c r="B5233" t="s">
        <v>9969</v>
      </c>
      <c r="C5233" t="str">
        <f t="shared" si="356"/>
        <v>706</v>
      </c>
      <c r="D5233" t="s">
        <v>28</v>
      </c>
      <c r="E5233" t="s">
        <v>83</v>
      </c>
      <c r="F5233" t="s">
        <v>1042</v>
      </c>
      <c r="G5233" t="s">
        <v>9970</v>
      </c>
      <c r="H5233" t="str">
        <f>"93110"</f>
        <v>93110</v>
      </c>
      <c r="I5233" t="s">
        <v>92</v>
      </c>
    </row>
    <row r="5234" spans="1:11" x14ac:dyDescent="0.3">
      <c r="A5234" t="str">
        <f>"22844406"</f>
        <v>22844406</v>
      </c>
      <c r="B5234" t="s">
        <v>9971</v>
      </c>
      <c r="C5234" t="str">
        <f t="shared" si="356"/>
        <v>706</v>
      </c>
      <c r="D5234" t="s">
        <v>28</v>
      </c>
      <c r="E5234" t="s">
        <v>23</v>
      </c>
      <c r="F5234" t="s">
        <v>23</v>
      </c>
      <c r="G5234" t="s">
        <v>9972</v>
      </c>
      <c r="H5234" t="str">
        <f>"93190"</f>
        <v>93190</v>
      </c>
      <c r="I5234" t="s">
        <v>59</v>
      </c>
    </row>
    <row r="5235" spans="1:11" x14ac:dyDescent="0.3">
      <c r="A5235" t="str">
        <f>"27022463"</f>
        <v>27022463</v>
      </c>
      <c r="B5235" t="s">
        <v>9973</v>
      </c>
      <c r="C5235" t="str">
        <f t="shared" si="356"/>
        <v>706</v>
      </c>
      <c r="D5235" t="s">
        <v>28</v>
      </c>
      <c r="E5235" t="s">
        <v>23</v>
      </c>
      <c r="F5235" t="s">
        <v>23</v>
      </c>
      <c r="G5235" t="s">
        <v>1069</v>
      </c>
      <c r="H5235" t="str">
        <f>"93110"</f>
        <v>93110</v>
      </c>
      <c r="I5235" t="s">
        <v>92</v>
      </c>
    </row>
    <row r="5236" spans="1:11" x14ac:dyDescent="0.3">
      <c r="A5236" t="str">
        <f>"65891040"</f>
        <v>65891040</v>
      </c>
      <c r="B5236" t="s">
        <v>9974</v>
      </c>
      <c r="C5236" t="str">
        <f t="shared" si="356"/>
        <v>706</v>
      </c>
      <c r="D5236" t="s">
        <v>28</v>
      </c>
      <c r="E5236" t="s">
        <v>29</v>
      </c>
      <c r="F5236" t="s">
        <v>195</v>
      </c>
      <c r="G5236" t="s">
        <v>9975</v>
      </c>
      <c r="H5236" t="str">
        <f>"931"</f>
        <v>931</v>
      </c>
      <c r="I5236" t="s">
        <v>26</v>
      </c>
    </row>
    <row r="5237" spans="1:11" x14ac:dyDescent="0.3">
      <c r="A5237" t="str">
        <f>"28559665"</f>
        <v>28559665</v>
      </c>
      <c r="B5237" t="s">
        <v>9976</v>
      </c>
      <c r="C5237" t="str">
        <f t="shared" si="356"/>
        <v>706</v>
      </c>
      <c r="D5237" t="s">
        <v>28</v>
      </c>
      <c r="E5237" t="s">
        <v>52</v>
      </c>
      <c r="F5237" t="s">
        <v>406</v>
      </c>
      <c r="G5237" t="s">
        <v>9977</v>
      </c>
      <c r="H5237" t="str">
        <f>"93110"</f>
        <v>93110</v>
      </c>
      <c r="I5237" t="s">
        <v>92</v>
      </c>
    </row>
    <row r="5238" spans="1:11" x14ac:dyDescent="0.3">
      <c r="A5238" t="str">
        <f>"22611266"</f>
        <v>22611266</v>
      </c>
      <c r="B5238" t="s">
        <v>9978</v>
      </c>
      <c r="C5238" t="str">
        <f t="shared" si="356"/>
        <v>706</v>
      </c>
      <c r="D5238" t="s">
        <v>28</v>
      </c>
      <c r="E5238" t="s">
        <v>23</v>
      </c>
      <c r="F5238" t="s">
        <v>23</v>
      </c>
      <c r="G5238" t="s">
        <v>9979</v>
      </c>
      <c r="H5238" t="str">
        <f>"93190"</f>
        <v>93190</v>
      </c>
      <c r="I5238" t="s">
        <v>59</v>
      </c>
    </row>
    <row r="5239" spans="1:11" x14ac:dyDescent="0.3">
      <c r="A5239" t="str">
        <f>"22895477"</f>
        <v>22895477</v>
      </c>
      <c r="B5239" t="s">
        <v>9980</v>
      </c>
      <c r="C5239" t="str">
        <f t="shared" si="356"/>
        <v>706</v>
      </c>
      <c r="D5239" t="s">
        <v>28</v>
      </c>
      <c r="E5239" t="s">
        <v>29</v>
      </c>
      <c r="F5239" t="s">
        <v>29</v>
      </c>
      <c r="G5239" t="s">
        <v>9981</v>
      </c>
      <c r="H5239" t="str">
        <f>"93190"</f>
        <v>93190</v>
      </c>
      <c r="I5239" t="s">
        <v>59</v>
      </c>
    </row>
    <row r="5240" spans="1:11" x14ac:dyDescent="0.3">
      <c r="A5240" t="str">
        <f>"27040674"</f>
        <v>27040674</v>
      </c>
      <c r="B5240" t="s">
        <v>9982</v>
      </c>
      <c r="C5240" t="str">
        <f t="shared" si="356"/>
        <v>706</v>
      </c>
      <c r="D5240" t="s">
        <v>28</v>
      </c>
      <c r="E5240" t="s">
        <v>52</v>
      </c>
      <c r="F5240" t="s">
        <v>406</v>
      </c>
      <c r="G5240" t="s">
        <v>9983</v>
      </c>
      <c r="H5240" t="str">
        <f t="shared" ref="H5240:H5245" si="357">"9499"</f>
        <v>9499</v>
      </c>
      <c r="I5240" t="s">
        <v>31</v>
      </c>
      <c r="J5240" t="s">
        <v>2069</v>
      </c>
      <c r="K5240" t="s">
        <v>161</v>
      </c>
    </row>
    <row r="5241" spans="1:11" x14ac:dyDescent="0.3">
      <c r="A5241" t="str">
        <f>"08888434"</f>
        <v>08888434</v>
      </c>
      <c r="B5241" t="s">
        <v>9984</v>
      </c>
      <c r="C5241" t="str">
        <f>"161"</f>
        <v>161</v>
      </c>
      <c r="D5241" t="s">
        <v>152</v>
      </c>
      <c r="E5241" t="s">
        <v>83</v>
      </c>
      <c r="F5241" t="s">
        <v>83</v>
      </c>
      <c r="G5241" t="s">
        <v>420</v>
      </c>
      <c r="H5241" t="str">
        <f t="shared" si="357"/>
        <v>9499</v>
      </c>
      <c r="I5241" t="s">
        <v>31</v>
      </c>
      <c r="J5241" t="s">
        <v>258</v>
      </c>
      <c r="K5241" t="s">
        <v>9985</v>
      </c>
    </row>
    <row r="5242" spans="1:11" x14ac:dyDescent="0.3">
      <c r="A5242" t="str">
        <f>"19874324"</f>
        <v>19874324</v>
      </c>
      <c r="B5242" t="s">
        <v>9986</v>
      </c>
      <c r="C5242" t="str">
        <f>"706"</f>
        <v>706</v>
      </c>
      <c r="D5242" t="s">
        <v>28</v>
      </c>
      <c r="E5242" t="s">
        <v>23</v>
      </c>
      <c r="F5242" t="s">
        <v>296</v>
      </c>
      <c r="G5242" t="s">
        <v>9987</v>
      </c>
      <c r="H5242" t="str">
        <f t="shared" si="357"/>
        <v>9499</v>
      </c>
      <c r="I5242" t="s">
        <v>31</v>
      </c>
    </row>
    <row r="5243" spans="1:11" x14ac:dyDescent="0.3">
      <c r="A5243" t="str">
        <f>"02590328"</f>
        <v>02590328</v>
      </c>
      <c r="B5243" t="s">
        <v>9988</v>
      </c>
      <c r="C5243" t="str">
        <f>"141"</f>
        <v>141</v>
      </c>
      <c r="D5243" t="s">
        <v>112</v>
      </c>
      <c r="E5243" t="s">
        <v>29</v>
      </c>
      <c r="F5243" t="s">
        <v>195</v>
      </c>
      <c r="G5243" t="s">
        <v>9989</v>
      </c>
      <c r="H5243" t="str">
        <f t="shared" si="357"/>
        <v>9499</v>
      </c>
      <c r="I5243" t="s">
        <v>31</v>
      </c>
    </row>
    <row r="5244" spans="1:11" x14ac:dyDescent="0.3">
      <c r="A5244" t="str">
        <f>"22682724"</f>
        <v>22682724</v>
      </c>
      <c r="B5244" t="s">
        <v>9990</v>
      </c>
      <c r="C5244" t="str">
        <f>"706"</f>
        <v>706</v>
      </c>
      <c r="D5244" t="s">
        <v>28</v>
      </c>
      <c r="E5244" t="s">
        <v>52</v>
      </c>
      <c r="F5244" t="s">
        <v>379</v>
      </c>
      <c r="G5244" t="s">
        <v>9991</v>
      </c>
      <c r="H5244" t="str">
        <f t="shared" si="357"/>
        <v>9499</v>
      </c>
      <c r="I5244" t="s">
        <v>31</v>
      </c>
    </row>
    <row r="5245" spans="1:11" x14ac:dyDescent="0.3">
      <c r="A5245" t="str">
        <f>"22882243"</f>
        <v>22882243</v>
      </c>
      <c r="B5245" t="s">
        <v>9992</v>
      </c>
      <c r="C5245" t="str">
        <f>"706"</f>
        <v>706</v>
      </c>
      <c r="D5245" t="s">
        <v>28</v>
      </c>
      <c r="E5245" t="s">
        <v>52</v>
      </c>
      <c r="F5245" t="s">
        <v>514</v>
      </c>
      <c r="G5245" t="s">
        <v>6827</v>
      </c>
      <c r="H5245" t="str">
        <f t="shared" si="357"/>
        <v>9499</v>
      </c>
      <c r="I5245" t="s">
        <v>31</v>
      </c>
    </row>
    <row r="5246" spans="1:11" x14ac:dyDescent="0.3">
      <c r="A5246" t="str">
        <f>"26611562"</f>
        <v>26611562</v>
      </c>
      <c r="B5246" t="s">
        <v>9993</v>
      </c>
      <c r="C5246" t="str">
        <f>"706"</f>
        <v>706</v>
      </c>
      <c r="D5246" t="s">
        <v>28</v>
      </c>
      <c r="E5246" t="s">
        <v>29</v>
      </c>
      <c r="F5246" t="s">
        <v>29</v>
      </c>
      <c r="G5246" t="s">
        <v>6960</v>
      </c>
      <c r="H5246" t="str">
        <f>"93110"</f>
        <v>93110</v>
      </c>
      <c r="I5246" t="s">
        <v>92</v>
      </c>
    </row>
    <row r="5247" spans="1:11" x14ac:dyDescent="0.3">
      <c r="A5247" t="str">
        <f>"68729189"</f>
        <v>68729189</v>
      </c>
      <c r="B5247" t="s">
        <v>9994</v>
      </c>
      <c r="C5247" t="str">
        <f>"736"</f>
        <v>736</v>
      </c>
      <c r="D5247" t="s">
        <v>22</v>
      </c>
      <c r="E5247" t="s">
        <v>23</v>
      </c>
      <c r="F5247" t="s">
        <v>695</v>
      </c>
      <c r="G5247" t="s">
        <v>9995</v>
      </c>
      <c r="H5247" t="str">
        <f>"9499"</f>
        <v>9499</v>
      </c>
      <c r="I5247" t="s">
        <v>31</v>
      </c>
    </row>
    <row r="5248" spans="1:11" x14ac:dyDescent="0.3">
      <c r="A5248" t="str">
        <f>"21209430"</f>
        <v>21209430</v>
      </c>
      <c r="B5248" t="s">
        <v>9996</v>
      </c>
      <c r="C5248" t="str">
        <f t="shared" ref="C5248:C5282" si="358">"706"</f>
        <v>706</v>
      </c>
      <c r="D5248" t="s">
        <v>28</v>
      </c>
      <c r="E5248" t="s">
        <v>23</v>
      </c>
      <c r="F5248" t="s">
        <v>296</v>
      </c>
      <c r="G5248" t="s">
        <v>9997</v>
      </c>
      <c r="H5248" t="str">
        <f>"9499"</f>
        <v>9499</v>
      </c>
      <c r="I5248" t="s">
        <v>31</v>
      </c>
    </row>
    <row r="5249" spans="1:9" x14ac:dyDescent="0.3">
      <c r="A5249" t="str">
        <f>"08492689"</f>
        <v>08492689</v>
      </c>
      <c r="B5249" t="s">
        <v>9998</v>
      </c>
      <c r="C5249" t="str">
        <f t="shared" si="358"/>
        <v>706</v>
      </c>
      <c r="D5249" t="s">
        <v>28</v>
      </c>
      <c r="E5249" t="s">
        <v>29</v>
      </c>
      <c r="F5249" t="s">
        <v>38</v>
      </c>
      <c r="G5249" t="s">
        <v>9999</v>
      </c>
      <c r="H5249" t="str">
        <f>"9499"</f>
        <v>9499</v>
      </c>
      <c r="I5249" t="s">
        <v>31</v>
      </c>
    </row>
    <row r="5250" spans="1:9" x14ac:dyDescent="0.3">
      <c r="A5250" t="str">
        <f>"08926387"</f>
        <v>08926387</v>
      </c>
      <c r="B5250" t="s">
        <v>10000</v>
      </c>
      <c r="C5250" t="str">
        <f t="shared" si="358"/>
        <v>706</v>
      </c>
      <c r="D5250" t="s">
        <v>28</v>
      </c>
      <c r="E5250" t="s">
        <v>29</v>
      </c>
      <c r="F5250" t="s">
        <v>607</v>
      </c>
      <c r="G5250" t="s">
        <v>10001</v>
      </c>
      <c r="H5250" t="str">
        <f>"9499"</f>
        <v>9499</v>
      </c>
      <c r="I5250" t="s">
        <v>31</v>
      </c>
    </row>
    <row r="5251" spans="1:9" x14ac:dyDescent="0.3">
      <c r="A5251" t="str">
        <f>"02164060"</f>
        <v>02164060</v>
      </c>
      <c r="B5251" t="s">
        <v>10002</v>
      </c>
      <c r="C5251" t="str">
        <f t="shared" si="358"/>
        <v>706</v>
      </c>
      <c r="D5251" t="s">
        <v>28</v>
      </c>
      <c r="E5251" t="s">
        <v>29</v>
      </c>
      <c r="F5251" t="s">
        <v>29</v>
      </c>
      <c r="G5251" t="s">
        <v>10003</v>
      </c>
      <c r="H5251" t="str">
        <f>"9499"</f>
        <v>9499</v>
      </c>
      <c r="I5251" t="s">
        <v>31</v>
      </c>
    </row>
    <row r="5252" spans="1:9" x14ac:dyDescent="0.3">
      <c r="A5252" t="str">
        <f>"22276173"</f>
        <v>22276173</v>
      </c>
      <c r="B5252" t="s">
        <v>10004</v>
      </c>
      <c r="C5252" t="str">
        <f t="shared" si="358"/>
        <v>706</v>
      </c>
      <c r="D5252" t="s">
        <v>28</v>
      </c>
      <c r="E5252" t="s">
        <v>23</v>
      </c>
      <c r="F5252" t="s">
        <v>695</v>
      </c>
      <c r="G5252" t="s">
        <v>10005</v>
      </c>
      <c r="H5252" t="str">
        <f>"94999"</f>
        <v>94999</v>
      </c>
      <c r="I5252" t="s">
        <v>202</v>
      </c>
    </row>
    <row r="5253" spans="1:9" x14ac:dyDescent="0.3">
      <c r="A5253" t="str">
        <f>"71194584"</f>
        <v>71194584</v>
      </c>
      <c r="B5253" t="s">
        <v>10006</v>
      </c>
      <c r="C5253" t="str">
        <f t="shared" si="358"/>
        <v>706</v>
      </c>
      <c r="D5253" t="s">
        <v>28</v>
      </c>
      <c r="E5253" t="s">
        <v>83</v>
      </c>
      <c r="F5253" t="s">
        <v>83</v>
      </c>
      <c r="G5253" t="s">
        <v>10007</v>
      </c>
      <c r="H5253" t="str">
        <f>"9499"</f>
        <v>9499</v>
      </c>
      <c r="I5253" t="s">
        <v>31</v>
      </c>
    </row>
    <row r="5254" spans="1:9" x14ac:dyDescent="0.3">
      <c r="A5254" t="str">
        <f>"21972745"</f>
        <v>21972745</v>
      </c>
      <c r="B5254" t="s">
        <v>10008</v>
      </c>
      <c r="C5254" t="str">
        <f t="shared" si="358"/>
        <v>706</v>
      </c>
      <c r="D5254" t="s">
        <v>28</v>
      </c>
      <c r="E5254" t="s">
        <v>52</v>
      </c>
      <c r="F5254" t="s">
        <v>927</v>
      </c>
      <c r="G5254" t="s">
        <v>5052</v>
      </c>
      <c r="H5254" t="str">
        <f>"94999"</f>
        <v>94999</v>
      </c>
      <c r="I5254" t="s">
        <v>202</v>
      </c>
    </row>
    <row r="5255" spans="1:9" x14ac:dyDescent="0.3">
      <c r="A5255" t="str">
        <f>"01285068"</f>
        <v>01285068</v>
      </c>
      <c r="B5255" t="s">
        <v>10009</v>
      </c>
      <c r="C5255" t="str">
        <f t="shared" si="358"/>
        <v>706</v>
      </c>
      <c r="D5255" t="s">
        <v>28</v>
      </c>
      <c r="E5255" t="s">
        <v>23</v>
      </c>
      <c r="F5255" t="s">
        <v>978</v>
      </c>
      <c r="G5255" t="s">
        <v>9511</v>
      </c>
      <c r="H5255" t="str">
        <f>"94999"</f>
        <v>94999</v>
      </c>
      <c r="I5255" t="s">
        <v>202</v>
      </c>
    </row>
    <row r="5256" spans="1:9" x14ac:dyDescent="0.3">
      <c r="A5256" t="str">
        <f>"22714677"</f>
        <v>22714677</v>
      </c>
      <c r="B5256" t="s">
        <v>10010</v>
      </c>
      <c r="C5256" t="str">
        <f t="shared" si="358"/>
        <v>706</v>
      </c>
      <c r="D5256" t="s">
        <v>28</v>
      </c>
      <c r="E5256" t="s">
        <v>83</v>
      </c>
      <c r="F5256" t="s">
        <v>480</v>
      </c>
      <c r="G5256" t="s">
        <v>481</v>
      </c>
      <c r="H5256" t="str">
        <f>"94999"</f>
        <v>94999</v>
      </c>
      <c r="I5256" t="s">
        <v>202</v>
      </c>
    </row>
    <row r="5257" spans="1:9" x14ac:dyDescent="0.3">
      <c r="A5257" t="str">
        <f>"22763180"</f>
        <v>22763180</v>
      </c>
      <c r="B5257" t="s">
        <v>10011</v>
      </c>
      <c r="C5257" t="str">
        <f t="shared" si="358"/>
        <v>706</v>
      </c>
      <c r="D5257" t="s">
        <v>28</v>
      </c>
      <c r="E5257" t="s">
        <v>23</v>
      </c>
      <c r="F5257" t="s">
        <v>245</v>
      </c>
      <c r="G5257" t="s">
        <v>10012</v>
      </c>
      <c r="H5257" t="str">
        <f>"94999"</f>
        <v>94999</v>
      </c>
      <c r="I5257" t="s">
        <v>202</v>
      </c>
    </row>
    <row r="5258" spans="1:9" x14ac:dyDescent="0.3">
      <c r="A5258" t="str">
        <f>"26675790"</f>
        <v>26675790</v>
      </c>
      <c r="B5258" t="s">
        <v>10013</v>
      </c>
      <c r="C5258" t="str">
        <f t="shared" si="358"/>
        <v>706</v>
      </c>
      <c r="D5258" t="s">
        <v>28</v>
      </c>
      <c r="E5258" t="s">
        <v>52</v>
      </c>
      <c r="F5258" t="s">
        <v>612</v>
      </c>
      <c r="G5258" t="s">
        <v>1643</v>
      </c>
      <c r="H5258" t="str">
        <f>"9499"</f>
        <v>9499</v>
      </c>
      <c r="I5258" t="s">
        <v>31</v>
      </c>
    </row>
    <row r="5259" spans="1:9" x14ac:dyDescent="0.3">
      <c r="A5259" t="str">
        <f>"14116901"</f>
        <v>14116901</v>
      </c>
      <c r="B5259" t="s">
        <v>10014</v>
      </c>
      <c r="C5259" t="str">
        <f t="shared" si="358"/>
        <v>706</v>
      </c>
      <c r="D5259" t="s">
        <v>28</v>
      </c>
      <c r="E5259" t="s">
        <v>23</v>
      </c>
      <c r="F5259" t="s">
        <v>23</v>
      </c>
      <c r="G5259" t="s">
        <v>10015</v>
      </c>
      <c r="H5259" t="str">
        <f>"94999"</f>
        <v>94999</v>
      </c>
      <c r="I5259" t="s">
        <v>202</v>
      </c>
    </row>
    <row r="5260" spans="1:9" x14ac:dyDescent="0.3">
      <c r="A5260" t="str">
        <f>"18190375"</f>
        <v>18190375</v>
      </c>
      <c r="B5260" t="s">
        <v>10016</v>
      </c>
      <c r="C5260" t="str">
        <f t="shared" si="358"/>
        <v>706</v>
      </c>
      <c r="D5260" t="s">
        <v>28</v>
      </c>
      <c r="E5260" t="s">
        <v>83</v>
      </c>
      <c r="F5260" t="s">
        <v>183</v>
      </c>
      <c r="G5260" t="s">
        <v>10017</v>
      </c>
      <c r="H5260" t="str">
        <f>"94999"</f>
        <v>94999</v>
      </c>
      <c r="I5260" t="s">
        <v>202</v>
      </c>
    </row>
    <row r="5261" spans="1:9" x14ac:dyDescent="0.3">
      <c r="A5261" t="str">
        <f>"26573075"</f>
        <v>26573075</v>
      </c>
      <c r="B5261" t="s">
        <v>10018</v>
      </c>
      <c r="C5261" t="str">
        <f t="shared" si="358"/>
        <v>706</v>
      </c>
      <c r="D5261" t="s">
        <v>28</v>
      </c>
      <c r="E5261" t="s">
        <v>83</v>
      </c>
      <c r="F5261" t="s">
        <v>881</v>
      </c>
      <c r="G5261" t="s">
        <v>10019</v>
      </c>
      <c r="H5261" t="str">
        <f>"93190"</f>
        <v>93190</v>
      </c>
      <c r="I5261" t="s">
        <v>59</v>
      </c>
    </row>
    <row r="5262" spans="1:9" x14ac:dyDescent="0.3">
      <c r="A5262" t="str">
        <f>"26647508"</f>
        <v>26647508</v>
      </c>
      <c r="B5262" t="s">
        <v>10020</v>
      </c>
      <c r="C5262" t="str">
        <f t="shared" si="358"/>
        <v>706</v>
      </c>
      <c r="D5262" t="s">
        <v>28</v>
      </c>
      <c r="E5262" t="s">
        <v>83</v>
      </c>
      <c r="F5262" t="s">
        <v>2845</v>
      </c>
      <c r="G5262" t="s">
        <v>10021</v>
      </c>
      <c r="H5262" t="str">
        <f>"931"</f>
        <v>931</v>
      </c>
      <c r="I5262" t="s">
        <v>26</v>
      </c>
    </row>
    <row r="5263" spans="1:9" x14ac:dyDescent="0.3">
      <c r="A5263" t="str">
        <f>"61704245"</f>
        <v>61704245</v>
      </c>
      <c r="B5263" t="s">
        <v>10022</v>
      </c>
      <c r="C5263" t="str">
        <f t="shared" si="358"/>
        <v>706</v>
      </c>
      <c r="D5263" t="s">
        <v>28</v>
      </c>
      <c r="E5263" t="s">
        <v>52</v>
      </c>
      <c r="F5263" t="s">
        <v>234</v>
      </c>
      <c r="G5263" t="s">
        <v>3033</v>
      </c>
      <c r="H5263" t="str">
        <f>"93110"</f>
        <v>93110</v>
      </c>
      <c r="I5263" t="s">
        <v>92</v>
      </c>
    </row>
    <row r="5264" spans="1:9" x14ac:dyDescent="0.3">
      <c r="A5264" t="str">
        <f>"05849829"</f>
        <v>05849829</v>
      </c>
      <c r="B5264" t="s">
        <v>10023</v>
      </c>
      <c r="C5264" t="str">
        <f t="shared" si="358"/>
        <v>706</v>
      </c>
      <c r="D5264" t="s">
        <v>28</v>
      </c>
      <c r="E5264" t="s">
        <v>29</v>
      </c>
      <c r="F5264" t="s">
        <v>38</v>
      </c>
      <c r="G5264" t="s">
        <v>10024</v>
      </c>
      <c r="H5264" t="str">
        <f>"9499"</f>
        <v>9499</v>
      </c>
      <c r="I5264" t="s">
        <v>31</v>
      </c>
    </row>
    <row r="5265" spans="1:12" x14ac:dyDescent="0.3">
      <c r="A5265" t="str">
        <f>"22813306"</f>
        <v>22813306</v>
      </c>
      <c r="B5265" t="s">
        <v>10025</v>
      </c>
      <c r="C5265" t="str">
        <f t="shared" si="358"/>
        <v>706</v>
      </c>
      <c r="D5265" t="s">
        <v>28</v>
      </c>
      <c r="E5265" t="s">
        <v>23</v>
      </c>
      <c r="F5265" t="s">
        <v>23</v>
      </c>
      <c r="G5265" t="s">
        <v>10026</v>
      </c>
      <c r="H5265" t="str">
        <f>"93120"</f>
        <v>93120</v>
      </c>
      <c r="I5265" t="s">
        <v>54</v>
      </c>
    </row>
    <row r="5266" spans="1:12" x14ac:dyDescent="0.3">
      <c r="A5266" t="str">
        <f>"22728325"</f>
        <v>22728325</v>
      </c>
      <c r="B5266" t="s">
        <v>10027</v>
      </c>
      <c r="C5266" t="str">
        <f t="shared" si="358"/>
        <v>706</v>
      </c>
      <c r="D5266" t="s">
        <v>28</v>
      </c>
      <c r="E5266" t="s">
        <v>83</v>
      </c>
      <c r="F5266" t="s">
        <v>175</v>
      </c>
      <c r="G5266" t="s">
        <v>10028</v>
      </c>
      <c r="H5266" t="str">
        <f>"93110"</f>
        <v>93110</v>
      </c>
      <c r="I5266" t="s">
        <v>92</v>
      </c>
    </row>
    <row r="5267" spans="1:12" x14ac:dyDescent="0.3">
      <c r="A5267" t="str">
        <f>"03902234"</f>
        <v>03902234</v>
      </c>
      <c r="B5267" t="s">
        <v>10029</v>
      </c>
      <c r="C5267" t="str">
        <f t="shared" si="358"/>
        <v>706</v>
      </c>
      <c r="D5267" t="s">
        <v>28</v>
      </c>
      <c r="E5267" t="s">
        <v>52</v>
      </c>
      <c r="F5267" t="s">
        <v>178</v>
      </c>
      <c r="G5267" t="s">
        <v>10030</v>
      </c>
      <c r="H5267" t="str">
        <f>"94993"</f>
        <v>94993</v>
      </c>
      <c r="I5267" t="s">
        <v>50</v>
      </c>
    </row>
    <row r="5268" spans="1:12" x14ac:dyDescent="0.3">
      <c r="A5268" t="str">
        <f>"17507286"</f>
        <v>17507286</v>
      </c>
      <c r="B5268" t="s">
        <v>10031</v>
      </c>
      <c r="C5268" t="str">
        <f t="shared" si="358"/>
        <v>706</v>
      </c>
      <c r="D5268" t="s">
        <v>28</v>
      </c>
      <c r="E5268" t="s">
        <v>29</v>
      </c>
      <c r="F5268" t="s">
        <v>1839</v>
      </c>
      <c r="G5268" t="s">
        <v>10032</v>
      </c>
      <c r="H5268" t="str">
        <f>"94993"</f>
        <v>94993</v>
      </c>
      <c r="I5268" t="s">
        <v>50</v>
      </c>
    </row>
    <row r="5269" spans="1:12" x14ac:dyDescent="0.3">
      <c r="A5269" t="str">
        <f>"27002179"</f>
        <v>27002179</v>
      </c>
      <c r="B5269" t="s">
        <v>10033</v>
      </c>
      <c r="C5269" t="str">
        <f t="shared" si="358"/>
        <v>706</v>
      </c>
      <c r="D5269" t="s">
        <v>28</v>
      </c>
      <c r="E5269" t="s">
        <v>23</v>
      </c>
      <c r="F5269" t="s">
        <v>87</v>
      </c>
      <c r="G5269" t="s">
        <v>10034</v>
      </c>
      <c r="H5269" t="str">
        <f>"93120"</f>
        <v>93120</v>
      </c>
      <c r="I5269" t="s">
        <v>54</v>
      </c>
    </row>
    <row r="5270" spans="1:12" x14ac:dyDescent="0.3">
      <c r="A5270" t="str">
        <f>"11705205"</f>
        <v>11705205</v>
      </c>
      <c r="B5270" t="s">
        <v>10035</v>
      </c>
      <c r="C5270" t="str">
        <f t="shared" si="358"/>
        <v>706</v>
      </c>
      <c r="D5270" t="s">
        <v>28</v>
      </c>
      <c r="E5270" t="s">
        <v>29</v>
      </c>
      <c r="F5270" t="s">
        <v>5168</v>
      </c>
      <c r="G5270" t="s">
        <v>10036</v>
      </c>
      <c r="H5270" t="str">
        <f>"93120"</f>
        <v>93120</v>
      </c>
      <c r="I5270" t="s">
        <v>54</v>
      </c>
    </row>
    <row r="5271" spans="1:12" x14ac:dyDescent="0.3">
      <c r="A5271" t="str">
        <f>"22817263"</f>
        <v>22817263</v>
      </c>
      <c r="B5271" t="s">
        <v>10037</v>
      </c>
      <c r="C5271" t="str">
        <f t="shared" si="358"/>
        <v>706</v>
      </c>
      <c r="D5271" t="s">
        <v>28</v>
      </c>
      <c r="E5271" t="s">
        <v>83</v>
      </c>
      <c r="F5271" t="s">
        <v>183</v>
      </c>
      <c r="G5271" t="s">
        <v>10038</v>
      </c>
      <c r="H5271" t="str">
        <f>"93120"</f>
        <v>93120</v>
      </c>
      <c r="I5271" t="s">
        <v>54</v>
      </c>
    </row>
    <row r="5272" spans="1:12" x14ac:dyDescent="0.3">
      <c r="A5272" t="str">
        <f>"07662041"</f>
        <v>07662041</v>
      </c>
      <c r="B5272" t="s">
        <v>10039</v>
      </c>
      <c r="C5272" t="str">
        <f t="shared" si="358"/>
        <v>706</v>
      </c>
      <c r="D5272" t="s">
        <v>28</v>
      </c>
      <c r="E5272" t="s">
        <v>29</v>
      </c>
      <c r="F5272" t="s">
        <v>670</v>
      </c>
      <c r="G5272" t="s">
        <v>10040</v>
      </c>
      <c r="H5272" t="str">
        <f>"9499"</f>
        <v>9499</v>
      </c>
      <c r="I5272" t="s">
        <v>31</v>
      </c>
    </row>
    <row r="5273" spans="1:12" x14ac:dyDescent="0.3">
      <c r="A5273" t="str">
        <f>"10923501"</f>
        <v>10923501</v>
      </c>
      <c r="B5273" t="s">
        <v>10041</v>
      </c>
      <c r="C5273" t="str">
        <f t="shared" si="358"/>
        <v>706</v>
      </c>
      <c r="D5273" t="s">
        <v>28</v>
      </c>
      <c r="E5273" t="s">
        <v>52</v>
      </c>
      <c r="F5273" t="s">
        <v>488</v>
      </c>
      <c r="G5273" t="s">
        <v>10042</v>
      </c>
      <c r="H5273" t="str">
        <f>"94996"</f>
        <v>94996</v>
      </c>
      <c r="I5273" t="s">
        <v>47</v>
      </c>
      <c r="J5273" t="s">
        <v>155</v>
      </c>
      <c r="K5273" t="s">
        <v>3238</v>
      </c>
      <c r="L5273" t="s">
        <v>10043</v>
      </c>
    </row>
    <row r="5274" spans="1:12" x14ac:dyDescent="0.3">
      <c r="A5274" t="str">
        <f>"22837141"</f>
        <v>22837141</v>
      </c>
      <c r="B5274" t="s">
        <v>10044</v>
      </c>
      <c r="C5274" t="str">
        <f t="shared" si="358"/>
        <v>706</v>
      </c>
      <c r="D5274" t="s">
        <v>28</v>
      </c>
      <c r="E5274" t="s">
        <v>52</v>
      </c>
      <c r="F5274" t="s">
        <v>52</v>
      </c>
      <c r="G5274" t="s">
        <v>10045</v>
      </c>
      <c r="H5274" t="str">
        <f>"9499"</f>
        <v>9499</v>
      </c>
      <c r="I5274" t="s">
        <v>31</v>
      </c>
    </row>
    <row r="5275" spans="1:12" x14ac:dyDescent="0.3">
      <c r="A5275" t="str">
        <f>"47930306"</f>
        <v>47930306</v>
      </c>
      <c r="B5275" t="s">
        <v>10046</v>
      </c>
      <c r="C5275" t="str">
        <f t="shared" si="358"/>
        <v>706</v>
      </c>
      <c r="D5275" t="s">
        <v>28</v>
      </c>
      <c r="E5275" t="s">
        <v>83</v>
      </c>
      <c r="F5275" t="s">
        <v>183</v>
      </c>
      <c r="G5275" t="s">
        <v>10047</v>
      </c>
      <c r="H5275" t="str">
        <f>"94910"</f>
        <v>94910</v>
      </c>
      <c r="I5275" t="s">
        <v>316</v>
      </c>
    </row>
    <row r="5276" spans="1:12" x14ac:dyDescent="0.3">
      <c r="A5276" t="str">
        <f>"22820744"</f>
        <v>22820744</v>
      </c>
      <c r="B5276" t="s">
        <v>10048</v>
      </c>
      <c r="C5276" t="str">
        <f t="shared" si="358"/>
        <v>706</v>
      </c>
      <c r="D5276" t="s">
        <v>28</v>
      </c>
      <c r="E5276" t="s">
        <v>52</v>
      </c>
      <c r="F5276" t="s">
        <v>65</v>
      </c>
      <c r="G5276" t="s">
        <v>10049</v>
      </c>
      <c r="H5276" t="str">
        <f>"94995"</f>
        <v>94995</v>
      </c>
      <c r="I5276" t="s">
        <v>232</v>
      </c>
    </row>
    <row r="5277" spans="1:12" x14ac:dyDescent="0.3">
      <c r="A5277" t="str">
        <f>"22868569"</f>
        <v>22868569</v>
      </c>
      <c r="B5277" t="s">
        <v>10050</v>
      </c>
      <c r="C5277" t="str">
        <f t="shared" si="358"/>
        <v>706</v>
      </c>
      <c r="D5277" t="s">
        <v>28</v>
      </c>
      <c r="E5277" t="s">
        <v>83</v>
      </c>
      <c r="F5277" t="s">
        <v>83</v>
      </c>
      <c r="G5277" t="s">
        <v>10051</v>
      </c>
      <c r="H5277" t="str">
        <f>"93190"</f>
        <v>93190</v>
      </c>
      <c r="I5277" t="s">
        <v>59</v>
      </c>
    </row>
    <row r="5278" spans="1:12" x14ac:dyDescent="0.3">
      <c r="A5278" t="str">
        <f>"05109027"</f>
        <v>05109027</v>
      </c>
      <c r="B5278" t="s">
        <v>10052</v>
      </c>
      <c r="C5278" t="str">
        <f t="shared" si="358"/>
        <v>706</v>
      </c>
      <c r="D5278" t="s">
        <v>28</v>
      </c>
      <c r="E5278" t="s">
        <v>52</v>
      </c>
      <c r="F5278" t="s">
        <v>52</v>
      </c>
      <c r="G5278" t="s">
        <v>10053</v>
      </c>
      <c r="H5278" t="str">
        <f>"9499"</f>
        <v>9499</v>
      </c>
      <c r="I5278" t="s">
        <v>31</v>
      </c>
    </row>
    <row r="5279" spans="1:12" x14ac:dyDescent="0.3">
      <c r="A5279" t="str">
        <f>"05400805"</f>
        <v>05400805</v>
      </c>
      <c r="B5279" t="s">
        <v>10054</v>
      </c>
      <c r="C5279" t="str">
        <f t="shared" si="358"/>
        <v>706</v>
      </c>
      <c r="D5279" t="s">
        <v>28</v>
      </c>
      <c r="E5279" t="s">
        <v>83</v>
      </c>
      <c r="F5279" t="s">
        <v>83</v>
      </c>
      <c r="G5279" t="s">
        <v>10055</v>
      </c>
      <c r="H5279" t="str">
        <f>"9499"</f>
        <v>9499</v>
      </c>
      <c r="I5279" t="s">
        <v>31</v>
      </c>
    </row>
    <row r="5280" spans="1:12" x14ac:dyDescent="0.3">
      <c r="A5280" t="str">
        <f>"01570714"</f>
        <v>01570714</v>
      </c>
      <c r="B5280" t="s">
        <v>10056</v>
      </c>
      <c r="C5280" t="str">
        <f t="shared" si="358"/>
        <v>706</v>
      </c>
      <c r="D5280" t="s">
        <v>28</v>
      </c>
      <c r="E5280" t="s">
        <v>23</v>
      </c>
      <c r="F5280" t="s">
        <v>23</v>
      </c>
      <c r="G5280" t="s">
        <v>10057</v>
      </c>
      <c r="H5280" t="str">
        <f>"9499"</f>
        <v>9499</v>
      </c>
      <c r="I5280" t="s">
        <v>31</v>
      </c>
    </row>
    <row r="5281" spans="1:9" x14ac:dyDescent="0.3">
      <c r="A5281" t="str">
        <f>"19297823"</f>
        <v>19297823</v>
      </c>
      <c r="B5281" t="s">
        <v>10058</v>
      </c>
      <c r="C5281" t="str">
        <f t="shared" si="358"/>
        <v>706</v>
      </c>
      <c r="D5281" t="s">
        <v>28</v>
      </c>
      <c r="E5281" t="s">
        <v>52</v>
      </c>
      <c r="F5281" t="s">
        <v>1894</v>
      </c>
      <c r="G5281" t="s">
        <v>10059</v>
      </c>
      <c r="H5281" t="str">
        <f>"9499"</f>
        <v>9499</v>
      </c>
      <c r="I5281" t="s">
        <v>31</v>
      </c>
    </row>
    <row r="5282" spans="1:9" x14ac:dyDescent="0.3">
      <c r="A5282" t="str">
        <f>"04521935"</f>
        <v>04521935</v>
      </c>
      <c r="B5282" t="s">
        <v>10060</v>
      </c>
      <c r="C5282" t="str">
        <f t="shared" si="358"/>
        <v>706</v>
      </c>
      <c r="D5282" t="s">
        <v>28</v>
      </c>
      <c r="E5282" t="s">
        <v>52</v>
      </c>
      <c r="F5282" t="s">
        <v>1894</v>
      </c>
      <c r="G5282" t="s">
        <v>10061</v>
      </c>
      <c r="H5282" t="str">
        <f>"9499"</f>
        <v>9499</v>
      </c>
      <c r="I5282" t="s">
        <v>31</v>
      </c>
    </row>
    <row r="5283" spans="1:9" x14ac:dyDescent="0.3">
      <c r="A5283" t="str">
        <f>"26521261"</f>
        <v>26521261</v>
      </c>
      <c r="B5283" t="s">
        <v>10062</v>
      </c>
      <c r="C5283" t="str">
        <f>"722"</f>
        <v>722</v>
      </c>
      <c r="D5283" t="s">
        <v>315</v>
      </c>
      <c r="E5283" t="s">
        <v>23</v>
      </c>
      <c r="F5283" t="s">
        <v>23</v>
      </c>
      <c r="G5283" t="s">
        <v>2918</v>
      </c>
      <c r="H5283" t="str">
        <f>"94910"</f>
        <v>94910</v>
      </c>
      <c r="I5283" t="s">
        <v>316</v>
      </c>
    </row>
    <row r="5284" spans="1:9" x14ac:dyDescent="0.3">
      <c r="A5284" t="str">
        <f>"70837155"</f>
        <v>70837155</v>
      </c>
      <c r="B5284" t="s">
        <v>10063</v>
      </c>
      <c r="C5284" t="str">
        <f>"706"</f>
        <v>706</v>
      </c>
      <c r="D5284" t="s">
        <v>28</v>
      </c>
      <c r="E5284" t="s">
        <v>52</v>
      </c>
      <c r="F5284" t="s">
        <v>379</v>
      </c>
      <c r="G5284" t="s">
        <v>629</v>
      </c>
      <c r="H5284" t="str">
        <f>"9499"</f>
        <v>9499</v>
      </c>
      <c r="I5284" t="s">
        <v>31</v>
      </c>
    </row>
    <row r="5285" spans="1:9" x14ac:dyDescent="0.3">
      <c r="A5285" t="str">
        <f>"65761251"</f>
        <v>65761251</v>
      </c>
      <c r="B5285" t="s">
        <v>10064</v>
      </c>
      <c r="C5285" t="str">
        <f>"706"</f>
        <v>706</v>
      </c>
      <c r="D5285" t="s">
        <v>28</v>
      </c>
      <c r="E5285" t="s">
        <v>52</v>
      </c>
      <c r="F5285" t="s">
        <v>379</v>
      </c>
      <c r="G5285" t="s">
        <v>10065</v>
      </c>
      <c r="H5285" t="str">
        <f>"9499"</f>
        <v>9499</v>
      </c>
      <c r="I5285" t="s">
        <v>31</v>
      </c>
    </row>
    <row r="5286" spans="1:9" x14ac:dyDescent="0.3">
      <c r="A5286" t="str">
        <f>"22739050"</f>
        <v>22739050</v>
      </c>
      <c r="B5286" t="s">
        <v>10066</v>
      </c>
      <c r="C5286" t="str">
        <f>"706"</f>
        <v>706</v>
      </c>
      <c r="D5286" t="s">
        <v>28</v>
      </c>
      <c r="E5286" t="s">
        <v>52</v>
      </c>
      <c r="F5286" t="s">
        <v>379</v>
      </c>
      <c r="G5286" t="s">
        <v>5175</v>
      </c>
      <c r="H5286" t="str">
        <f>"93110"</f>
        <v>93110</v>
      </c>
      <c r="I5286" t="s">
        <v>92</v>
      </c>
    </row>
    <row r="5287" spans="1:9" x14ac:dyDescent="0.3">
      <c r="A5287" t="str">
        <f>"22571221"</f>
        <v>22571221</v>
      </c>
      <c r="B5287" t="s">
        <v>10067</v>
      </c>
      <c r="C5287" t="str">
        <f>"706"</f>
        <v>706</v>
      </c>
      <c r="D5287" t="s">
        <v>28</v>
      </c>
      <c r="E5287" t="s">
        <v>29</v>
      </c>
      <c r="F5287" t="s">
        <v>45</v>
      </c>
      <c r="G5287" t="s">
        <v>683</v>
      </c>
      <c r="H5287" t="str">
        <f>"94993"</f>
        <v>94993</v>
      </c>
      <c r="I5287" t="s">
        <v>50</v>
      </c>
    </row>
    <row r="5288" spans="1:9" x14ac:dyDescent="0.3">
      <c r="A5288" t="str">
        <f>"04520394"</f>
        <v>04520394</v>
      </c>
      <c r="B5288" t="s">
        <v>10068</v>
      </c>
      <c r="C5288" t="str">
        <f>"706"</f>
        <v>706</v>
      </c>
      <c r="D5288" t="s">
        <v>28</v>
      </c>
      <c r="E5288" t="s">
        <v>83</v>
      </c>
      <c r="F5288" t="s">
        <v>83</v>
      </c>
      <c r="G5288" t="s">
        <v>10069</v>
      </c>
      <c r="H5288" t="str">
        <f>"9499"</f>
        <v>9499</v>
      </c>
      <c r="I5288" t="s">
        <v>31</v>
      </c>
    </row>
    <row r="5289" spans="1:9" x14ac:dyDescent="0.3">
      <c r="A5289" t="str">
        <f>"14224356"</f>
        <v>14224356</v>
      </c>
      <c r="B5289" t="s">
        <v>10070</v>
      </c>
      <c r="C5289" t="str">
        <f>"706"</f>
        <v>706</v>
      </c>
      <c r="D5289" t="s">
        <v>28</v>
      </c>
      <c r="E5289" t="s">
        <v>23</v>
      </c>
      <c r="F5289" t="s">
        <v>1697</v>
      </c>
      <c r="G5289" t="s">
        <v>7513</v>
      </c>
      <c r="H5289" t="str">
        <f>"9499"</f>
        <v>9499</v>
      </c>
      <c r="I5289" t="s">
        <v>31</v>
      </c>
    </row>
    <row r="5290" spans="1:9" x14ac:dyDescent="0.3">
      <c r="A5290" t="str">
        <f>"27047890"</f>
        <v>27047890</v>
      </c>
      <c r="B5290" t="s">
        <v>10072</v>
      </c>
      <c r="C5290" t="str">
        <f t="shared" ref="C5290:C5301" si="359">"706"</f>
        <v>706</v>
      </c>
      <c r="D5290" t="s">
        <v>28</v>
      </c>
      <c r="E5290" t="s">
        <v>52</v>
      </c>
      <c r="F5290" t="s">
        <v>960</v>
      </c>
      <c r="G5290" t="s">
        <v>10073</v>
      </c>
      <c r="H5290" t="str">
        <f>"93110"</f>
        <v>93110</v>
      </c>
      <c r="I5290" t="s">
        <v>92</v>
      </c>
    </row>
    <row r="5291" spans="1:9" x14ac:dyDescent="0.3">
      <c r="A5291" t="str">
        <f>"27005038"</f>
        <v>27005038</v>
      </c>
      <c r="B5291" t="s">
        <v>10074</v>
      </c>
      <c r="C5291" t="str">
        <f t="shared" si="359"/>
        <v>706</v>
      </c>
      <c r="D5291" t="s">
        <v>28</v>
      </c>
      <c r="E5291" t="s">
        <v>52</v>
      </c>
      <c r="F5291" t="s">
        <v>1078</v>
      </c>
      <c r="G5291" t="s">
        <v>1781</v>
      </c>
      <c r="H5291" t="str">
        <f>"93110"</f>
        <v>93110</v>
      </c>
      <c r="I5291" t="s">
        <v>92</v>
      </c>
    </row>
    <row r="5292" spans="1:9" x14ac:dyDescent="0.3">
      <c r="A5292" t="str">
        <f>"07873263"</f>
        <v>07873263</v>
      </c>
      <c r="B5292" t="s">
        <v>10075</v>
      </c>
      <c r="C5292" t="str">
        <f t="shared" si="359"/>
        <v>706</v>
      </c>
      <c r="D5292" t="s">
        <v>28</v>
      </c>
      <c r="E5292" t="s">
        <v>83</v>
      </c>
      <c r="F5292" t="s">
        <v>409</v>
      </c>
      <c r="G5292" t="s">
        <v>10076</v>
      </c>
      <c r="H5292" t="str">
        <f>"93120"</f>
        <v>93120</v>
      </c>
      <c r="I5292" t="s">
        <v>54</v>
      </c>
    </row>
    <row r="5293" spans="1:9" x14ac:dyDescent="0.3">
      <c r="A5293" t="str">
        <f>"03865967"</f>
        <v>03865967</v>
      </c>
      <c r="B5293" t="s">
        <v>10077</v>
      </c>
      <c r="C5293" t="str">
        <f t="shared" si="359"/>
        <v>706</v>
      </c>
      <c r="D5293" t="s">
        <v>28</v>
      </c>
      <c r="E5293" t="s">
        <v>83</v>
      </c>
      <c r="F5293" t="s">
        <v>473</v>
      </c>
      <c r="G5293" t="s">
        <v>10078</v>
      </c>
      <c r="H5293" t="str">
        <f>"93120"</f>
        <v>93120</v>
      </c>
      <c r="I5293" t="s">
        <v>54</v>
      </c>
    </row>
    <row r="5294" spans="1:9" x14ac:dyDescent="0.3">
      <c r="A5294" t="str">
        <f>"22763244"</f>
        <v>22763244</v>
      </c>
      <c r="B5294" t="s">
        <v>10079</v>
      </c>
      <c r="C5294" t="str">
        <f t="shared" si="359"/>
        <v>706</v>
      </c>
      <c r="D5294" t="s">
        <v>28</v>
      </c>
      <c r="E5294" t="s">
        <v>52</v>
      </c>
      <c r="F5294" t="s">
        <v>739</v>
      </c>
      <c r="G5294" t="s">
        <v>10080</v>
      </c>
      <c r="H5294" t="str">
        <f>"93190"</f>
        <v>93190</v>
      </c>
      <c r="I5294" t="s">
        <v>59</v>
      </c>
    </row>
    <row r="5295" spans="1:9" x14ac:dyDescent="0.3">
      <c r="A5295" t="str">
        <f>"02170396"</f>
        <v>02170396</v>
      </c>
      <c r="B5295" t="s">
        <v>10081</v>
      </c>
      <c r="C5295" t="str">
        <f t="shared" si="359"/>
        <v>706</v>
      </c>
      <c r="D5295" t="s">
        <v>28</v>
      </c>
      <c r="E5295" t="s">
        <v>29</v>
      </c>
      <c r="F5295" t="s">
        <v>45</v>
      </c>
      <c r="G5295" t="s">
        <v>10082</v>
      </c>
      <c r="H5295" t="str">
        <f>"9319"</f>
        <v>9319</v>
      </c>
      <c r="I5295" t="s">
        <v>59</v>
      </c>
    </row>
    <row r="5296" spans="1:9" x14ac:dyDescent="0.3">
      <c r="A5296" t="str">
        <f>"04622898"</f>
        <v>04622898</v>
      </c>
      <c r="B5296" t="s">
        <v>10083</v>
      </c>
      <c r="C5296" t="str">
        <f t="shared" si="359"/>
        <v>706</v>
      </c>
      <c r="D5296" t="s">
        <v>28</v>
      </c>
      <c r="E5296" t="s">
        <v>29</v>
      </c>
      <c r="F5296" t="s">
        <v>1922</v>
      </c>
      <c r="G5296" t="s">
        <v>10084</v>
      </c>
      <c r="H5296" t="str">
        <f>"9499"</f>
        <v>9499</v>
      </c>
      <c r="I5296" t="s">
        <v>31</v>
      </c>
    </row>
    <row r="5297" spans="1:14" x14ac:dyDescent="0.3">
      <c r="A5297" t="str">
        <f>"22682716"</f>
        <v>22682716</v>
      </c>
      <c r="B5297" t="s">
        <v>10085</v>
      </c>
      <c r="C5297" t="str">
        <f t="shared" si="359"/>
        <v>706</v>
      </c>
      <c r="D5297" t="s">
        <v>28</v>
      </c>
      <c r="E5297" t="s">
        <v>23</v>
      </c>
      <c r="F5297" t="s">
        <v>23</v>
      </c>
      <c r="G5297" t="s">
        <v>10086</v>
      </c>
      <c r="H5297" t="str">
        <f>"9499"</f>
        <v>9499</v>
      </c>
      <c r="I5297" t="s">
        <v>31</v>
      </c>
    </row>
    <row r="5298" spans="1:14" x14ac:dyDescent="0.3">
      <c r="A5298" t="str">
        <f>"02700794"</f>
        <v>02700794</v>
      </c>
      <c r="B5298" t="s">
        <v>10087</v>
      </c>
      <c r="C5298" t="str">
        <f t="shared" si="359"/>
        <v>706</v>
      </c>
      <c r="D5298" t="s">
        <v>28</v>
      </c>
      <c r="E5298" t="s">
        <v>29</v>
      </c>
      <c r="F5298" t="s">
        <v>250</v>
      </c>
      <c r="G5298" t="s">
        <v>10088</v>
      </c>
      <c r="H5298" t="str">
        <f>"94"</f>
        <v>94</v>
      </c>
      <c r="I5298" t="s">
        <v>1016</v>
      </c>
    </row>
    <row r="5299" spans="1:14" x14ac:dyDescent="0.3">
      <c r="A5299" t="str">
        <f>"07198337"</f>
        <v>07198337</v>
      </c>
      <c r="B5299" t="s">
        <v>10089</v>
      </c>
      <c r="C5299" t="str">
        <f t="shared" si="359"/>
        <v>706</v>
      </c>
      <c r="D5299" t="s">
        <v>28</v>
      </c>
      <c r="E5299" t="s">
        <v>52</v>
      </c>
      <c r="F5299" t="s">
        <v>488</v>
      </c>
      <c r="G5299" t="s">
        <v>1768</v>
      </c>
      <c r="H5299" t="str">
        <f>"9499"</f>
        <v>9499</v>
      </c>
      <c r="I5299" t="s">
        <v>31</v>
      </c>
    </row>
    <row r="5300" spans="1:14" x14ac:dyDescent="0.3">
      <c r="A5300" t="str">
        <f>"14052393"</f>
        <v>14052393</v>
      </c>
      <c r="B5300" t="s">
        <v>10090</v>
      </c>
      <c r="C5300" t="str">
        <f t="shared" si="359"/>
        <v>706</v>
      </c>
      <c r="D5300" t="s">
        <v>28</v>
      </c>
      <c r="E5300" t="s">
        <v>29</v>
      </c>
      <c r="F5300" t="s">
        <v>778</v>
      </c>
      <c r="G5300" t="s">
        <v>10091</v>
      </c>
      <c r="H5300" t="str">
        <f>"94993"</f>
        <v>94993</v>
      </c>
      <c r="I5300" t="s">
        <v>50</v>
      </c>
    </row>
    <row r="5301" spans="1:14" x14ac:dyDescent="0.3">
      <c r="A5301" t="str">
        <f>"06919073"</f>
        <v>06919073</v>
      </c>
      <c r="B5301" t="s">
        <v>10092</v>
      </c>
      <c r="C5301" t="str">
        <f t="shared" si="359"/>
        <v>706</v>
      </c>
      <c r="D5301" t="s">
        <v>28</v>
      </c>
      <c r="E5301" t="s">
        <v>29</v>
      </c>
      <c r="F5301" t="s">
        <v>29</v>
      </c>
      <c r="G5301" t="s">
        <v>10093</v>
      </c>
      <c r="H5301" t="str">
        <f>"94996"</f>
        <v>94996</v>
      </c>
      <c r="I5301" t="s">
        <v>47</v>
      </c>
    </row>
    <row r="5302" spans="1:14" x14ac:dyDescent="0.3">
      <c r="A5302" t="str">
        <f>"05165083"</f>
        <v>05165083</v>
      </c>
      <c r="B5302" t="s">
        <v>10094</v>
      </c>
      <c r="C5302" t="str">
        <f>"118"</f>
        <v>118</v>
      </c>
      <c r="D5302" t="s">
        <v>337</v>
      </c>
      <c r="E5302" t="s">
        <v>29</v>
      </c>
      <c r="F5302" t="s">
        <v>29</v>
      </c>
      <c r="G5302" t="s">
        <v>5816</v>
      </c>
      <c r="H5302" t="str">
        <f>"9499"</f>
        <v>9499</v>
      </c>
      <c r="I5302" t="s">
        <v>31</v>
      </c>
    </row>
    <row r="5303" spans="1:14" x14ac:dyDescent="0.3">
      <c r="A5303" t="str">
        <f>"26571366"</f>
        <v>26571366</v>
      </c>
      <c r="B5303" t="s">
        <v>10095</v>
      </c>
      <c r="C5303" t="str">
        <f>"706"</f>
        <v>706</v>
      </c>
      <c r="D5303" t="s">
        <v>28</v>
      </c>
      <c r="E5303" t="s">
        <v>29</v>
      </c>
      <c r="F5303" t="s">
        <v>29</v>
      </c>
      <c r="G5303" t="s">
        <v>10096</v>
      </c>
      <c r="H5303" t="str">
        <f>"9499"</f>
        <v>9499</v>
      </c>
      <c r="I5303" t="s">
        <v>31</v>
      </c>
    </row>
    <row r="5304" spans="1:14" x14ac:dyDescent="0.3">
      <c r="A5304" t="str">
        <f>"22689141"</f>
        <v>22689141</v>
      </c>
      <c r="B5304" t="s">
        <v>10097</v>
      </c>
      <c r="C5304" t="str">
        <f>"706"</f>
        <v>706</v>
      </c>
      <c r="D5304" t="s">
        <v>28</v>
      </c>
      <c r="E5304" t="s">
        <v>29</v>
      </c>
      <c r="F5304" t="s">
        <v>195</v>
      </c>
      <c r="G5304" t="s">
        <v>10098</v>
      </c>
      <c r="H5304" t="str">
        <f>"9499"</f>
        <v>9499</v>
      </c>
      <c r="I5304" t="s">
        <v>31</v>
      </c>
    </row>
    <row r="5305" spans="1:14" x14ac:dyDescent="0.3">
      <c r="A5305" t="str">
        <f>"02397099"</f>
        <v>02397099</v>
      </c>
      <c r="B5305" t="s">
        <v>10099</v>
      </c>
      <c r="C5305" t="str">
        <f>"706"</f>
        <v>706</v>
      </c>
      <c r="D5305" t="s">
        <v>28</v>
      </c>
      <c r="E5305" t="s">
        <v>83</v>
      </c>
      <c r="F5305" t="s">
        <v>130</v>
      </c>
      <c r="G5305" t="s">
        <v>6875</v>
      </c>
      <c r="H5305" t="str">
        <f>"9499"</f>
        <v>9499</v>
      </c>
      <c r="I5305" t="s">
        <v>31</v>
      </c>
    </row>
    <row r="5306" spans="1:14" x14ac:dyDescent="0.3">
      <c r="A5306" t="str">
        <f>"06193960"</f>
        <v>06193960</v>
      </c>
      <c r="B5306" t="s">
        <v>10100</v>
      </c>
      <c r="C5306" t="str">
        <f>"706"</f>
        <v>706</v>
      </c>
      <c r="D5306" t="s">
        <v>28</v>
      </c>
      <c r="E5306" t="s">
        <v>83</v>
      </c>
      <c r="F5306" t="s">
        <v>183</v>
      </c>
      <c r="G5306" t="s">
        <v>10101</v>
      </c>
      <c r="H5306" t="str">
        <f>"94991"</f>
        <v>94991</v>
      </c>
      <c r="I5306" t="s">
        <v>433</v>
      </c>
    </row>
    <row r="5307" spans="1:14" x14ac:dyDescent="0.3">
      <c r="A5307" t="str">
        <f>"19928050"</f>
        <v>19928050</v>
      </c>
      <c r="B5307" t="s">
        <v>10102</v>
      </c>
      <c r="C5307" t="str">
        <f>"706"</f>
        <v>706</v>
      </c>
      <c r="D5307" t="s">
        <v>28</v>
      </c>
      <c r="E5307" t="s">
        <v>29</v>
      </c>
      <c r="F5307" t="s">
        <v>38</v>
      </c>
      <c r="G5307" t="s">
        <v>10103</v>
      </c>
      <c r="H5307" t="str">
        <f>"8899"</f>
        <v>8899</v>
      </c>
      <c r="I5307" t="s">
        <v>40</v>
      </c>
    </row>
    <row r="5308" spans="1:14" x14ac:dyDescent="0.3">
      <c r="A5308" t="str">
        <f>"26590620"</f>
        <v>26590620</v>
      </c>
      <c r="B5308" t="s">
        <v>10104</v>
      </c>
      <c r="C5308" t="str">
        <f>"161"</f>
        <v>161</v>
      </c>
      <c r="D5308" t="s">
        <v>152</v>
      </c>
      <c r="E5308" t="s">
        <v>23</v>
      </c>
      <c r="F5308" t="s">
        <v>23</v>
      </c>
      <c r="G5308" t="s">
        <v>10105</v>
      </c>
      <c r="H5308" t="str">
        <f>"9499"</f>
        <v>9499</v>
      </c>
      <c r="I5308" t="s">
        <v>31</v>
      </c>
    </row>
    <row r="5309" spans="1:14" x14ac:dyDescent="0.3">
      <c r="A5309" t="str">
        <f>"22412158"</f>
        <v>22412158</v>
      </c>
      <c r="B5309" t="s">
        <v>10107</v>
      </c>
      <c r="C5309" t="str">
        <f>"706"</f>
        <v>706</v>
      </c>
      <c r="D5309" t="s">
        <v>28</v>
      </c>
      <c r="E5309" t="s">
        <v>29</v>
      </c>
      <c r="F5309" t="s">
        <v>38</v>
      </c>
      <c r="G5309" t="s">
        <v>10108</v>
      </c>
      <c r="H5309" t="str">
        <f>"93190"</f>
        <v>93190</v>
      </c>
      <c r="I5309" t="s">
        <v>59</v>
      </c>
    </row>
    <row r="5310" spans="1:14" x14ac:dyDescent="0.3">
      <c r="A5310" t="str">
        <f>"29400155"</f>
        <v>29400155</v>
      </c>
      <c r="B5310" t="s">
        <v>10109</v>
      </c>
      <c r="C5310" t="str">
        <f>"141"</f>
        <v>141</v>
      </c>
      <c r="D5310" t="s">
        <v>112</v>
      </c>
      <c r="E5310" t="s">
        <v>29</v>
      </c>
      <c r="F5310" t="s">
        <v>29</v>
      </c>
      <c r="G5310" t="s">
        <v>76</v>
      </c>
      <c r="H5310" t="str">
        <f>"8810"</f>
        <v>8810</v>
      </c>
      <c r="I5310" t="s">
        <v>1134</v>
      </c>
      <c r="J5310" t="s">
        <v>146</v>
      </c>
      <c r="K5310" t="s">
        <v>163</v>
      </c>
      <c r="L5310" t="s">
        <v>59</v>
      </c>
    </row>
    <row r="5311" spans="1:14" x14ac:dyDescent="0.3">
      <c r="A5311" t="str">
        <f>"26986728"</f>
        <v>26986728</v>
      </c>
      <c r="B5311" t="s">
        <v>10110</v>
      </c>
      <c r="C5311" t="str">
        <f>"706"</f>
        <v>706</v>
      </c>
      <c r="D5311" t="s">
        <v>28</v>
      </c>
      <c r="E5311" t="s">
        <v>23</v>
      </c>
      <c r="F5311" t="s">
        <v>23</v>
      </c>
      <c r="G5311" t="s">
        <v>2001</v>
      </c>
      <c r="H5311" t="str">
        <f>"8899"</f>
        <v>8899</v>
      </c>
      <c r="I5311" t="s">
        <v>40</v>
      </c>
    </row>
    <row r="5312" spans="1:14" x14ac:dyDescent="0.3">
      <c r="A5312" t="str">
        <f>"28279069"</f>
        <v>28279069</v>
      </c>
      <c r="B5312" t="s">
        <v>10112</v>
      </c>
      <c r="C5312" t="str">
        <f>"141"</f>
        <v>141</v>
      </c>
      <c r="D5312" t="s">
        <v>112</v>
      </c>
      <c r="E5312" t="s">
        <v>83</v>
      </c>
      <c r="F5312" t="s">
        <v>230</v>
      </c>
      <c r="G5312" t="s">
        <v>8244</v>
      </c>
      <c r="H5312" t="str">
        <f>"702"</f>
        <v>702</v>
      </c>
      <c r="I5312" t="s">
        <v>1496</v>
      </c>
      <c r="J5312" t="s">
        <v>26</v>
      </c>
      <c r="K5312" t="s">
        <v>115</v>
      </c>
      <c r="L5312" t="s">
        <v>10071</v>
      </c>
      <c r="M5312" t="s">
        <v>1438</v>
      </c>
      <c r="N5312" t="s">
        <v>126</v>
      </c>
    </row>
    <row r="5313" spans="1:9" x14ac:dyDescent="0.3">
      <c r="A5313" t="str">
        <f>"65270053"</f>
        <v>65270053</v>
      </c>
      <c r="B5313" t="s">
        <v>10113</v>
      </c>
      <c r="C5313" t="str">
        <f>"706"</f>
        <v>706</v>
      </c>
      <c r="D5313" t="s">
        <v>28</v>
      </c>
      <c r="E5313" t="s">
        <v>83</v>
      </c>
      <c r="F5313" t="s">
        <v>537</v>
      </c>
      <c r="G5313" t="s">
        <v>83</v>
      </c>
      <c r="H5313" t="str">
        <f>"9499"</f>
        <v>9499</v>
      </c>
      <c r="I5313" t="s">
        <v>31</v>
      </c>
    </row>
    <row r="5314" spans="1:9" x14ac:dyDescent="0.3">
      <c r="A5314" t="str">
        <f>"26525224"</f>
        <v>26525224</v>
      </c>
      <c r="B5314" t="s">
        <v>10114</v>
      </c>
      <c r="C5314" t="str">
        <f>"706"</f>
        <v>706</v>
      </c>
      <c r="D5314" t="s">
        <v>28</v>
      </c>
      <c r="E5314" t="s">
        <v>83</v>
      </c>
      <c r="F5314" t="s">
        <v>4471</v>
      </c>
      <c r="G5314" t="s">
        <v>10115</v>
      </c>
      <c r="H5314" t="str">
        <f>"9499"</f>
        <v>9499</v>
      </c>
      <c r="I5314" t="s">
        <v>31</v>
      </c>
    </row>
    <row r="5315" spans="1:9" x14ac:dyDescent="0.3">
      <c r="A5315" t="str">
        <f>"04881605"</f>
        <v>04881605</v>
      </c>
      <c r="B5315" t="s">
        <v>10116</v>
      </c>
      <c r="C5315" t="str">
        <f>"706"</f>
        <v>706</v>
      </c>
      <c r="D5315" t="s">
        <v>28</v>
      </c>
      <c r="E5315" t="s">
        <v>83</v>
      </c>
      <c r="F5315" t="s">
        <v>83</v>
      </c>
      <c r="G5315" t="s">
        <v>10117</v>
      </c>
      <c r="H5315" t="str">
        <f>"9499"</f>
        <v>9499</v>
      </c>
      <c r="I5315" t="s">
        <v>31</v>
      </c>
    </row>
    <row r="5316" spans="1:9" x14ac:dyDescent="0.3">
      <c r="A5316" t="str">
        <f>"70233039"</f>
        <v>70233039</v>
      </c>
      <c r="B5316" t="s">
        <v>10118</v>
      </c>
      <c r="C5316" t="str">
        <f>"706"</f>
        <v>706</v>
      </c>
      <c r="D5316" t="s">
        <v>28</v>
      </c>
      <c r="E5316" t="s">
        <v>29</v>
      </c>
      <c r="F5316" t="s">
        <v>1783</v>
      </c>
      <c r="G5316" t="s">
        <v>10119</v>
      </c>
      <c r="H5316" t="str">
        <f>"93120"</f>
        <v>93120</v>
      </c>
      <c r="I5316" t="s">
        <v>54</v>
      </c>
    </row>
    <row r="5317" spans="1:9" x14ac:dyDescent="0.3">
      <c r="A5317" t="str">
        <f>"05545463"</f>
        <v>05545463</v>
      </c>
      <c r="B5317" t="s">
        <v>10120</v>
      </c>
      <c r="C5317" t="str">
        <f>"706"</f>
        <v>706</v>
      </c>
      <c r="D5317" t="s">
        <v>28</v>
      </c>
      <c r="E5317" t="s">
        <v>23</v>
      </c>
      <c r="F5317" t="s">
        <v>141</v>
      </c>
      <c r="G5317" t="s">
        <v>10121</v>
      </c>
      <c r="H5317" t="str">
        <f>"93190"</f>
        <v>93190</v>
      </c>
      <c r="I5317" t="s">
        <v>59</v>
      </c>
    </row>
    <row r="5318" spans="1:9" x14ac:dyDescent="0.3">
      <c r="A5318" t="str">
        <f>"22749683"</f>
        <v>22749683</v>
      </c>
      <c r="B5318" t="s">
        <v>10122</v>
      </c>
      <c r="C5318" t="str">
        <f>"736"</f>
        <v>736</v>
      </c>
      <c r="D5318" t="s">
        <v>22</v>
      </c>
      <c r="E5318" t="s">
        <v>52</v>
      </c>
      <c r="F5318" t="s">
        <v>612</v>
      </c>
      <c r="G5318" t="s">
        <v>963</v>
      </c>
      <c r="H5318" t="str">
        <f>"9499"</f>
        <v>9499</v>
      </c>
      <c r="I5318" t="s">
        <v>31</v>
      </c>
    </row>
    <row r="5319" spans="1:9" x14ac:dyDescent="0.3">
      <c r="A5319" t="str">
        <f>"47935294"</f>
        <v>47935294</v>
      </c>
      <c r="B5319" t="s">
        <v>10123</v>
      </c>
      <c r="C5319" t="str">
        <f t="shared" ref="C5319:C5331" si="360">"706"</f>
        <v>706</v>
      </c>
      <c r="D5319" t="s">
        <v>28</v>
      </c>
      <c r="E5319" t="s">
        <v>83</v>
      </c>
      <c r="F5319" t="s">
        <v>1042</v>
      </c>
      <c r="G5319" t="s">
        <v>10124</v>
      </c>
      <c r="H5319" t="str">
        <f>"9499"</f>
        <v>9499</v>
      </c>
      <c r="I5319" t="s">
        <v>31</v>
      </c>
    </row>
    <row r="5320" spans="1:9" x14ac:dyDescent="0.3">
      <c r="A5320" t="str">
        <f>"23290501"</f>
        <v>23290501</v>
      </c>
      <c r="B5320" t="s">
        <v>10125</v>
      </c>
      <c r="C5320" t="str">
        <f t="shared" si="360"/>
        <v>706</v>
      </c>
      <c r="D5320" t="s">
        <v>28</v>
      </c>
      <c r="E5320" t="s">
        <v>23</v>
      </c>
      <c r="F5320" t="s">
        <v>107</v>
      </c>
      <c r="G5320" t="s">
        <v>206</v>
      </c>
      <c r="H5320" t="str">
        <f>"93190"</f>
        <v>93190</v>
      </c>
      <c r="I5320" t="s">
        <v>59</v>
      </c>
    </row>
    <row r="5321" spans="1:9" x14ac:dyDescent="0.3">
      <c r="A5321" t="str">
        <f>"26582295"</f>
        <v>26582295</v>
      </c>
      <c r="B5321" t="s">
        <v>10126</v>
      </c>
      <c r="C5321" t="str">
        <f t="shared" si="360"/>
        <v>706</v>
      </c>
      <c r="D5321" t="s">
        <v>28</v>
      </c>
      <c r="E5321" t="s">
        <v>29</v>
      </c>
      <c r="F5321" t="s">
        <v>1221</v>
      </c>
      <c r="G5321" t="s">
        <v>10127</v>
      </c>
      <c r="H5321" t="str">
        <f>"93110"</f>
        <v>93110</v>
      </c>
      <c r="I5321" t="s">
        <v>92</v>
      </c>
    </row>
    <row r="5322" spans="1:9" x14ac:dyDescent="0.3">
      <c r="A5322" t="str">
        <f>"17506093"</f>
        <v>17506093</v>
      </c>
      <c r="B5322" t="s">
        <v>10128</v>
      </c>
      <c r="C5322" t="str">
        <f t="shared" si="360"/>
        <v>706</v>
      </c>
      <c r="D5322" t="s">
        <v>28</v>
      </c>
      <c r="E5322" t="s">
        <v>23</v>
      </c>
      <c r="F5322" t="s">
        <v>35</v>
      </c>
      <c r="G5322" t="s">
        <v>10129</v>
      </c>
      <c r="H5322" t="str">
        <f>"94996"</f>
        <v>94996</v>
      </c>
      <c r="I5322" t="s">
        <v>47</v>
      </c>
    </row>
    <row r="5323" spans="1:9" x14ac:dyDescent="0.3">
      <c r="A5323" t="str">
        <f>"22668152"</f>
        <v>22668152</v>
      </c>
      <c r="B5323" t="s">
        <v>10130</v>
      </c>
      <c r="C5323" t="str">
        <f t="shared" si="360"/>
        <v>706</v>
      </c>
      <c r="D5323" t="s">
        <v>28</v>
      </c>
      <c r="E5323" t="s">
        <v>52</v>
      </c>
      <c r="F5323" t="s">
        <v>113</v>
      </c>
      <c r="G5323" t="s">
        <v>10131</v>
      </c>
      <c r="H5323" t="str">
        <f>"9499"</f>
        <v>9499</v>
      </c>
      <c r="I5323" t="s">
        <v>31</v>
      </c>
    </row>
    <row r="5324" spans="1:9" x14ac:dyDescent="0.3">
      <c r="A5324" t="str">
        <f>"14071908"</f>
        <v>14071908</v>
      </c>
      <c r="B5324" t="s">
        <v>10132</v>
      </c>
      <c r="C5324" t="str">
        <f t="shared" si="360"/>
        <v>706</v>
      </c>
      <c r="D5324" t="s">
        <v>28</v>
      </c>
      <c r="E5324" t="s">
        <v>29</v>
      </c>
      <c r="F5324" t="s">
        <v>1899</v>
      </c>
      <c r="G5324" t="s">
        <v>10133</v>
      </c>
      <c r="H5324" t="str">
        <f>"94995"</f>
        <v>94995</v>
      </c>
      <c r="I5324" t="s">
        <v>232</v>
      </c>
    </row>
    <row r="5325" spans="1:9" x14ac:dyDescent="0.3">
      <c r="A5325" t="str">
        <f>"26606682"</f>
        <v>26606682</v>
      </c>
      <c r="B5325" t="s">
        <v>10134</v>
      </c>
      <c r="C5325" t="str">
        <f t="shared" si="360"/>
        <v>706</v>
      </c>
      <c r="D5325" t="s">
        <v>28</v>
      </c>
      <c r="E5325" t="s">
        <v>83</v>
      </c>
      <c r="F5325" t="s">
        <v>83</v>
      </c>
      <c r="G5325" t="s">
        <v>7803</v>
      </c>
      <c r="H5325" t="str">
        <f>"9499"</f>
        <v>9499</v>
      </c>
      <c r="I5325" t="s">
        <v>31</v>
      </c>
    </row>
    <row r="5326" spans="1:9" x14ac:dyDescent="0.3">
      <c r="A5326" t="str">
        <f>"27005461"</f>
        <v>27005461</v>
      </c>
      <c r="B5326" t="s">
        <v>10135</v>
      </c>
      <c r="C5326" t="str">
        <f t="shared" si="360"/>
        <v>706</v>
      </c>
      <c r="D5326" t="s">
        <v>28</v>
      </c>
      <c r="E5326" t="s">
        <v>23</v>
      </c>
      <c r="F5326" t="s">
        <v>713</v>
      </c>
      <c r="G5326" t="s">
        <v>10136</v>
      </c>
      <c r="H5326" t="str">
        <f>"9499"</f>
        <v>9499</v>
      </c>
      <c r="I5326" t="s">
        <v>31</v>
      </c>
    </row>
    <row r="5327" spans="1:9" x14ac:dyDescent="0.3">
      <c r="A5327" t="str">
        <f>"26660971"</f>
        <v>26660971</v>
      </c>
      <c r="B5327" t="s">
        <v>10137</v>
      </c>
      <c r="C5327" t="str">
        <f t="shared" si="360"/>
        <v>706</v>
      </c>
      <c r="D5327" t="s">
        <v>28</v>
      </c>
      <c r="E5327" t="s">
        <v>23</v>
      </c>
      <c r="F5327" t="s">
        <v>23</v>
      </c>
      <c r="G5327" t="s">
        <v>10138</v>
      </c>
      <c r="H5327" t="str">
        <f>"9499"</f>
        <v>9499</v>
      </c>
      <c r="I5327" t="s">
        <v>31</v>
      </c>
    </row>
    <row r="5328" spans="1:9" x14ac:dyDescent="0.3">
      <c r="A5328" t="str">
        <f>"26996286"</f>
        <v>26996286</v>
      </c>
      <c r="B5328" t="s">
        <v>10139</v>
      </c>
      <c r="C5328" t="str">
        <f t="shared" si="360"/>
        <v>706</v>
      </c>
      <c r="D5328" t="s">
        <v>28</v>
      </c>
      <c r="E5328" t="s">
        <v>23</v>
      </c>
      <c r="F5328" t="s">
        <v>23</v>
      </c>
      <c r="G5328" t="s">
        <v>2437</v>
      </c>
      <c r="H5328" t="str">
        <f>"94991"</f>
        <v>94991</v>
      </c>
      <c r="I5328" t="s">
        <v>433</v>
      </c>
    </row>
    <row r="5329" spans="1:22" x14ac:dyDescent="0.3">
      <c r="A5329" t="str">
        <f>"26641364"</f>
        <v>26641364</v>
      </c>
      <c r="B5329" t="s">
        <v>10140</v>
      </c>
      <c r="C5329" t="str">
        <f t="shared" si="360"/>
        <v>706</v>
      </c>
      <c r="D5329" t="s">
        <v>28</v>
      </c>
      <c r="E5329" t="s">
        <v>83</v>
      </c>
      <c r="F5329" t="s">
        <v>83</v>
      </c>
      <c r="G5329" t="s">
        <v>10111</v>
      </c>
      <c r="H5329" t="str">
        <f>"9499"</f>
        <v>9499</v>
      </c>
      <c r="I5329" t="s">
        <v>31</v>
      </c>
    </row>
    <row r="5330" spans="1:22" x14ac:dyDescent="0.3">
      <c r="A5330" t="str">
        <f>"65761898"</f>
        <v>65761898</v>
      </c>
      <c r="B5330" t="s">
        <v>10141</v>
      </c>
      <c r="C5330" t="str">
        <f t="shared" si="360"/>
        <v>706</v>
      </c>
      <c r="D5330" t="s">
        <v>28</v>
      </c>
      <c r="E5330" t="s">
        <v>23</v>
      </c>
      <c r="F5330" t="s">
        <v>23</v>
      </c>
      <c r="G5330" t="s">
        <v>7694</v>
      </c>
      <c r="H5330" t="str">
        <f>"9499"</f>
        <v>9499</v>
      </c>
      <c r="I5330" t="s">
        <v>31</v>
      </c>
    </row>
    <row r="5331" spans="1:22" x14ac:dyDescent="0.3">
      <c r="A5331" t="str">
        <f>"26597641"</f>
        <v>26597641</v>
      </c>
      <c r="B5331" t="s">
        <v>10142</v>
      </c>
      <c r="C5331" t="str">
        <f t="shared" si="360"/>
        <v>706</v>
      </c>
      <c r="D5331" t="s">
        <v>28</v>
      </c>
      <c r="E5331" t="s">
        <v>23</v>
      </c>
      <c r="F5331" t="s">
        <v>23</v>
      </c>
      <c r="G5331" t="s">
        <v>172</v>
      </c>
      <c r="H5331" t="str">
        <f>"9499"</f>
        <v>9499</v>
      </c>
      <c r="I5331" t="s">
        <v>31</v>
      </c>
    </row>
    <row r="5332" spans="1:22" x14ac:dyDescent="0.3">
      <c r="A5332" t="str">
        <f>"66934591"</f>
        <v>66934591</v>
      </c>
      <c r="B5332" t="s">
        <v>10143</v>
      </c>
      <c r="C5332" t="str">
        <f>"117"</f>
        <v>117</v>
      </c>
      <c r="D5332" t="s">
        <v>1371</v>
      </c>
      <c r="E5332" t="s">
        <v>29</v>
      </c>
      <c r="F5332" t="s">
        <v>195</v>
      </c>
      <c r="G5332" t="s">
        <v>5799</v>
      </c>
      <c r="H5332" t="str">
        <f>"9499"</f>
        <v>9499</v>
      </c>
      <c r="I5332" t="s">
        <v>31</v>
      </c>
      <c r="J5332" t="s">
        <v>115</v>
      </c>
    </row>
    <row r="5333" spans="1:22" x14ac:dyDescent="0.3">
      <c r="A5333" t="str">
        <f>"44740867"</f>
        <v>44740867</v>
      </c>
      <c r="B5333" t="s">
        <v>10144</v>
      </c>
      <c r="C5333" t="str">
        <f>"118"</f>
        <v>118</v>
      </c>
      <c r="D5333" t="s">
        <v>337</v>
      </c>
      <c r="E5333" t="s">
        <v>29</v>
      </c>
      <c r="F5333" t="s">
        <v>195</v>
      </c>
      <c r="G5333" t="s">
        <v>5799</v>
      </c>
      <c r="H5333" t="str">
        <f>"9499"</f>
        <v>9499</v>
      </c>
      <c r="I5333" t="s">
        <v>31</v>
      </c>
    </row>
    <row r="5334" spans="1:22" x14ac:dyDescent="0.3">
      <c r="A5334" t="str">
        <f>"26983737"</f>
        <v>26983737</v>
      </c>
      <c r="B5334" t="s">
        <v>10145</v>
      </c>
      <c r="C5334" t="str">
        <f>"706"</f>
        <v>706</v>
      </c>
      <c r="D5334" t="s">
        <v>28</v>
      </c>
      <c r="E5334" t="s">
        <v>83</v>
      </c>
      <c r="F5334" t="s">
        <v>480</v>
      </c>
      <c r="G5334" t="s">
        <v>10146</v>
      </c>
      <c r="H5334" t="str">
        <f>"93110"</f>
        <v>93110</v>
      </c>
      <c r="I5334" t="s">
        <v>92</v>
      </c>
    </row>
    <row r="5335" spans="1:22" x14ac:dyDescent="0.3">
      <c r="A5335" t="str">
        <f>"22672052"</f>
        <v>22672052</v>
      </c>
      <c r="B5335" t="s">
        <v>10147</v>
      </c>
      <c r="C5335" t="str">
        <f>"706"</f>
        <v>706</v>
      </c>
      <c r="D5335" t="s">
        <v>28</v>
      </c>
      <c r="E5335" t="s">
        <v>52</v>
      </c>
      <c r="F5335" t="s">
        <v>52</v>
      </c>
      <c r="G5335" t="s">
        <v>10148</v>
      </c>
      <c r="H5335" t="str">
        <f>"9499"</f>
        <v>9499</v>
      </c>
      <c r="I5335" t="s">
        <v>31</v>
      </c>
      <c r="J5335" t="s">
        <v>146</v>
      </c>
    </row>
    <row r="5336" spans="1:22" x14ac:dyDescent="0.3">
      <c r="A5336" t="str">
        <f>"22605525"</f>
        <v>22605525</v>
      </c>
      <c r="B5336" t="s">
        <v>10149</v>
      </c>
      <c r="C5336" t="str">
        <f>"706"</f>
        <v>706</v>
      </c>
      <c r="D5336" t="s">
        <v>28</v>
      </c>
      <c r="E5336" t="s">
        <v>23</v>
      </c>
      <c r="F5336" t="s">
        <v>23</v>
      </c>
      <c r="G5336" t="s">
        <v>10150</v>
      </c>
      <c r="H5336" t="str">
        <f>"94993"</f>
        <v>94993</v>
      </c>
      <c r="I5336" t="s">
        <v>50</v>
      </c>
      <c r="J5336" t="s">
        <v>258</v>
      </c>
      <c r="K5336" t="s">
        <v>2347</v>
      </c>
      <c r="L5336" t="s">
        <v>259</v>
      </c>
      <c r="M5336" t="s">
        <v>147</v>
      </c>
      <c r="N5336" t="s">
        <v>159</v>
      </c>
      <c r="O5336" t="s">
        <v>598</v>
      </c>
      <c r="P5336" t="s">
        <v>3890</v>
      </c>
      <c r="Q5336" t="s">
        <v>160</v>
      </c>
      <c r="R5336" t="s">
        <v>146</v>
      </c>
      <c r="S5336" t="s">
        <v>1067</v>
      </c>
      <c r="T5336" t="s">
        <v>162</v>
      </c>
      <c r="U5336" t="s">
        <v>263</v>
      </c>
      <c r="V5336" t="s">
        <v>163</v>
      </c>
    </row>
    <row r="5337" spans="1:22" x14ac:dyDescent="0.3">
      <c r="A5337" t="str">
        <f>"71245995"</f>
        <v>71245995</v>
      </c>
      <c r="B5337" t="s">
        <v>10151</v>
      </c>
      <c r="C5337" t="str">
        <f>"736"</f>
        <v>736</v>
      </c>
      <c r="D5337" t="s">
        <v>22</v>
      </c>
      <c r="E5337" t="s">
        <v>52</v>
      </c>
      <c r="F5337" t="s">
        <v>65</v>
      </c>
      <c r="G5337" t="s">
        <v>6718</v>
      </c>
      <c r="H5337" t="str">
        <f>"931"</f>
        <v>931</v>
      </c>
      <c r="I5337" t="s">
        <v>26</v>
      </c>
    </row>
    <row r="5338" spans="1:22" x14ac:dyDescent="0.3">
      <c r="A5338" t="str">
        <f>"70849188"</f>
        <v>70849188</v>
      </c>
      <c r="B5338" t="s">
        <v>10152</v>
      </c>
      <c r="C5338" t="str">
        <f t="shared" ref="C5338:C5345" si="361">"706"</f>
        <v>706</v>
      </c>
      <c r="D5338" t="s">
        <v>28</v>
      </c>
      <c r="E5338" t="s">
        <v>52</v>
      </c>
      <c r="F5338" t="s">
        <v>1902</v>
      </c>
      <c r="G5338" t="s">
        <v>2412</v>
      </c>
      <c r="H5338" t="str">
        <f>"9499"</f>
        <v>9499</v>
      </c>
      <c r="I5338" t="s">
        <v>31</v>
      </c>
    </row>
    <row r="5339" spans="1:22" x14ac:dyDescent="0.3">
      <c r="A5339" t="str">
        <f>"22759450"</f>
        <v>22759450</v>
      </c>
      <c r="B5339" t="s">
        <v>10153</v>
      </c>
      <c r="C5339" t="str">
        <f t="shared" si="361"/>
        <v>706</v>
      </c>
      <c r="D5339" t="s">
        <v>28</v>
      </c>
      <c r="E5339" t="s">
        <v>52</v>
      </c>
      <c r="F5339" t="s">
        <v>52</v>
      </c>
      <c r="G5339" t="s">
        <v>78</v>
      </c>
      <c r="H5339" t="str">
        <f>"9499"</f>
        <v>9499</v>
      </c>
      <c r="I5339" t="s">
        <v>31</v>
      </c>
    </row>
    <row r="5340" spans="1:22" x14ac:dyDescent="0.3">
      <c r="A5340" t="str">
        <f>"01327534"</f>
        <v>01327534</v>
      </c>
      <c r="B5340" t="s">
        <v>10154</v>
      </c>
      <c r="C5340" t="str">
        <f t="shared" si="361"/>
        <v>706</v>
      </c>
      <c r="D5340" t="s">
        <v>28</v>
      </c>
      <c r="E5340" t="s">
        <v>52</v>
      </c>
      <c r="F5340" t="s">
        <v>379</v>
      </c>
      <c r="G5340" t="s">
        <v>10155</v>
      </c>
      <c r="H5340" t="str">
        <f>"9499"</f>
        <v>9499</v>
      </c>
      <c r="I5340" t="s">
        <v>31</v>
      </c>
    </row>
    <row r="5341" spans="1:22" x14ac:dyDescent="0.3">
      <c r="A5341" t="str">
        <f>"22838988"</f>
        <v>22838988</v>
      </c>
      <c r="B5341" t="s">
        <v>10156</v>
      </c>
      <c r="C5341" t="str">
        <f t="shared" si="361"/>
        <v>706</v>
      </c>
      <c r="D5341" t="s">
        <v>28</v>
      </c>
      <c r="E5341" t="s">
        <v>52</v>
      </c>
      <c r="F5341" t="s">
        <v>2038</v>
      </c>
      <c r="G5341" t="s">
        <v>10157</v>
      </c>
      <c r="H5341" t="str">
        <f>"9499"</f>
        <v>9499</v>
      </c>
      <c r="I5341" t="s">
        <v>31</v>
      </c>
    </row>
    <row r="5342" spans="1:22" x14ac:dyDescent="0.3">
      <c r="A5342" t="str">
        <f>"22693866"</f>
        <v>22693866</v>
      </c>
      <c r="B5342" t="s">
        <v>10158</v>
      </c>
      <c r="C5342" t="str">
        <f t="shared" si="361"/>
        <v>706</v>
      </c>
      <c r="D5342" t="s">
        <v>28</v>
      </c>
      <c r="E5342" t="s">
        <v>29</v>
      </c>
      <c r="F5342" t="s">
        <v>38</v>
      </c>
      <c r="G5342" t="s">
        <v>10159</v>
      </c>
      <c r="H5342" t="str">
        <f>"93110"</f>
        <v>93110</v>
      </c>
      <c r="I5342" t="s">
        <v>92</v>
      </c>
    </row>
    <row r="5343" spans="1:22" x14ac:dyDescent="0.3">
      <c r="A5343" t="str">
        <f>"02103125"</f>
        <v>02103125</v>
      </c>
      <c r="B5343" t="s">
        <v>10160</v>
      </c>
      <c r="C5343" t="str">
        <f t="shared" si="361"/>
        <v>706</v>
      </c>
      <c r="D5343" t="s">
        <v>28</v>
      </c>
      <c r="E5343" t="s">
        <v>52</v>
      </c>
      <c r="F5343" t="s">
        <v>52</v>
      </c>
      <c r="G5343" t="s">
        <v>10161</v>
      </c>
      <c r="H5343" t="str">
        <f t="shared" ref="H5343:H5351" si="362">"9499"</f>
        <v>9499</v>
      </c>
      <c r="I5343" t="s">
        <v>31</v>
      </c>
    </row>
    <row r="5344" spans="1:22" x14ac:dyDescent="0.3">
      <c r="A5344" t="str">
        <f>"22816755"</f>
        <v>22816755</v>
      </c>
      <c r="B5344" t="s">
        <v>10162</v>
      </c>
      <c r="C5344" t="str">
        <f t="shared" si="361"/>
        <v>706</v>
      </c>
      <c r="D5344" t="s">
        <v>28</v>
      </c>
      <c r="E5344" t="s">
        <v>83</v>
      </c>
      <c r="F5344" t="s">
        <v>1718</v>
      </c>
      <c r="G5344" t="s">
        <v>10163</v>
      </c>
      <c r="H5344" t="str">
        <f t="shared" si="362"/>
        <v>9499</v>
      </c>
      <c r="I5344" t="s">
        <v>31</v>
      </c>
    </row>
    <row r="5345" spans="1:11" x14ac:dyDescent="0.3">
      <c r="A5345" t="str">
        <f>"02358263"</f>
        <v>02358263</v>
      </c>
      <c r="B5345" t="s">
        <v>10164</v>
      </c>
      <c r="C5345" t="str">
        <f t="shared" si="361"/>
        <v>706</v>
      </c>
      <c r="D5345" t="s">
        <v>28</v>
      </c>
      <c r="E5345" t="s">
        <v>23</v>
      </c>
      <c r="F5345" t="s">
        <v>23</v>
      </c>
      <c r="G5345" t="s">
        <v>348</v>
      </c>
      <c r="H5345" t="str">
        <f t="shared" si="362"/>
        <v>9499</v>
      </c>
      <c r="I5345" t="s">
        <v>31</v>
      </c>
    </row>
    <row r="5346" spans="1:11" x14ac:dyDescent="0.3">
      <c r="A5346" t="str">
        <f>"29243548"</f>
        <v>29243548</v>
      </c>
      <c r="B5346" t="s">
        <v>10165</v>
      </c>
      <c r="C5346" t="str">
        <f>"161"</f>
        <v>161</v>
      </c>
      <c r="D5346" t="s">
        <v>152</v>
      </c>
      <c r="E5346" t="s">
        <v>52</v>
      </c>
      <c r="F5346" t="s">
        <v>52</v>
      </c>
      <c r="G5346" t="s">
        <v>7058</v>
      </c>
      <c r="H5346" t="str">
        <f t="shared" si="362"/>
        <v>9499</v>
      </c>
      <c r="I5346" t="s">
        <v>31</v>
      </c>
      <c r="J5346" t="s">
        <v>115</v>
      </c>
      <c r="K5346" t="s">
        <v>92</v>
      </c>
    </row>
    <row r="5347" spans="1:11" x14ac:dyDescent="0.3">
      <c r="A5347" t="str">
        <f>"21177899"</f>
        <v>21177899</v>
      </c>
      <c r="B5347" t="s">
        <v>10166</v>
      </c>
      <c r="C5347" t="str">
        <f>"706"</f>
        <v>706</v>
      </c>
      <c r="D5347" t="s">
        <v>28</v>
      </c>
      <c r="E5347" t="s">
        <v>83</v>
      </c>
      <c r="F5347" t="s">
        <v>83</v>
      </c>
      <c r="G5347" t="s">
        <v>10167</v>
      </c>
      <c r="H5347" t="str">
        <f t="shared" si="362"/>
        <v>9499</v>
      </c>
      <c r="I5347" t="s">
        <v>31</v>
      </c>
      <c r="J5347" t="s">
        <v>59</v>
      </c>
    </row>
    <row r="5348" spans="1:11" x14ac:dyDescent="0.3">
      <c r="A5348" t="str">
        <f>"26560461"</f>
        <v>26560461</v>
      </c>
      <c r="B5348" t="s">
        <v>10168</v>
      </c>
      <c r="C5348" t="str">
        <f>"706"</f>
        <v>706</v>
      </c>
      <c r="D5348" t="s">
        <v>28</v>
      </c>
      <c r="E5348" t="s">
        <v>23</v>
      </c>
      <c r="F5348" t="s">
        <v>23</v>
      </c>
      <c r="G5348" t="s">
        <v>10169</v>
      </c>
      <c r="H5348" t="str">
        <f t="shared" si="362"/>
        <v>9499</v>
      </c>
      <c r="I5348" t="s">
        <v>31</v>
      </c>
    </row>
    <row r="5349" spans="1:11" x14ac:dyDescent="0.3">
      <c r="A5349" t="str">
        <f>"22852999"</f>
        <v>22852999</v>
      </c>
      <c r="B5349" t="s">
        <v>10170</v>
      </c>
      <c r="C5349" t="str">
        <f>"706"</f>
        <v>706</v>
      </c>
      <c r="D5349" t="s">
        <v>28</v>
      </c>
      <c r="E5349" t="s">
        <v>29</v>
      </c>
      <c r="F5349" t="s">
        <v>38</v>
      </c>
      <c r="G5349" t="s">
        <v>10171</v>
      </c>
      <c r="H5349" t="str">
        <f t="shared" si="362"/>
        <v>9499</v>
      </c>
      <c r="I5349" t="s">
        <v>31</v>
      </c>
    </row>
    <row r="5350" spans="1:11" x14ac:dyDescent="0.3">
      <c r="A5350" t="str">
        <f>"04114272"</f>
        <v>04114272</v>
      </c>
      <c r="B5350" t="s">
        <v>10172</v>
      </c>
      <c r="C5350" t="str">
        <f>"706"</f>
        <v>706</v>
      </c>
      <c r="D5350" t="s">
        <v>28</v>
      </c>
      <c r="E5350" t="s">
        <v>23</v>
      </c>
      <c r="F5350" t="s">
        <v>975</v>
      </c>
      <c r="G5350" t="s">
        <v>10173</v>
      </c>
      <c r="H5350" t="str">
        <f t="shared" si="362"/>
        <v>9499</v>
      </c>
      <c r="I5350" t="s">
        <v>31</v>
      </c>
    </row>
    <row r="5351" spans="1:11" x14ac:dyDescent="0.3">
      <c r="A5351" t="str">
        <f>"65270096"</f>
        <v>65270096</v>
      </c>
      <c r="B5351" t="s">
        <v>10174</v>
      </c>
      <c r="C5351" t="str">
        <f>"706"</f>
        <v>706</v>
      </c>
      <c r="D5351" t="s">
        <v>28</v>
      </c>
      <c r="E5351" t="s">
        <v>83</v>
      </c>
      <c r="F5351" t="s">
        <v>944</v>
      </c>
      <c r="G5351" t="s">
        <v>3232</v>
      </c>
      <c r="H5351" t="str">
        <f t="shared" si="362"/>
        <v>9499</v>
      </c>
      <c r="I5351" t="s">
        <v>31</v>
      </c>
    </row>
    <row r="5352" spans="1:11" x14ac:dyDescent="0.3">
      <c r="A5352" t="str">
        <f>"60042583"</f>
        <v>60042583</v>
      </c>
      <c r="B5352" t="s">
        <v>10175</v>
      </c>
      <c r="C5352" t="str">
        <f t="shared" ref="C5352:C5357" si="363">"736"</f>
        <v>736</v>
      </c>
      <c r="D5352" t="s">
        <v>22</v>
      </c>
      <c r="E5352" t="s">
        <v>29</v>
      </c>
      <c r="F5352" t="s">
        <v>195</v>
      </c>
      <c r="G5352" t="s">
        <v>10176</v>
      </c>
      <c r="H5352" t="str">
        <f>"94"</f>
        <v>94</v>
      </c>
      <c r="I5352" t="s">
        <v>1016</v>
      </c>
    </row>
    <row r="5353" spans="1:11" x14ac:dyDescent="0.3">
      <c r="A5353" t="str">
        <f>"63459558"</f>
        <v>63459558</v>
      </c>
      <c r="B5353" t="s">
        <v>10177</v>
      </c>
      <c r="C5353" t="str">
        <f t="shared" si="363"/>
        <v>736</v>
      </c>
      <c r="D5353" t="s">
        <v>22</v>
      </c>
      <c r="E5353" t="s">
        <v>83</v>
      </c>
      <c r="F5353" t="s">
        <v>409</v>
      </c>
      <c r="G5353" t="s">
        <v>10178</v>
      </c>
      <c r="H5353" t="str">
        <f>"94996"</f>
        <v>94996</v>
      </c>
      <c r="I5353" t="s">
        <v>47</v>
      </c>
    </row>
    <row r="5354" spans="1:11" x14ac:dyDescent="0.3">
      <c r="A5354" t="str">
        <f>"49563327"</f>
        <v>49563327</v>
      </c>
      <c r="B5354" t="s">
        <v>10179</v>
      </c>
      <c r="C5354" t="str">
        <f t="shared" si="363"/>
        <v>736</v>
      </c>
      <c r="D5354" t="s">
        <v>22</v>
      </c>
      <c r="E5354" t="s">
        <v>29</v>
      </c>
      <c r="F5354" t="s">
        <v>29</v>
      </c>
      <c r="G5354" t="s">
        <v>10180</v>
      </c>
      <c r="H5354" t="str">
        <f>"94996"</f>
        <v>94996</v>
      </c>
      <c r="I5354" t="s">
        <v>47</v>
      </c>
    </row>
    <row r="5355" spans="1:11" x14ac:dyDescent="0.3">
      <c r="A5355" t="str">
        <f>"61716936"</f>
        <v>61716936</v>
      </c>
      <c r="B5355" t="s">
        <v>10181</v>
      </c>
      <c r="C5355" t="str">
        <f t="shared" si="363"/>
        <v>736</v>
      </c>
      <c r="D5355" t="s">
        <v>22</v>
      </c>
      <c r="E5355" t="s">
        <v>23</v>
      </c>
      <c r="F5355" t="s">
        <v>23</v>
      </c>
      <c r="G5355" t="s">
        <v>330</v>
      </c>
      <c r="H5355" t="str">
        <f>"94996"</f>
        <v>94996</v>
      </c>
      <c r="I5355" t="s">
        <v>47</v>
      </c>
    </row>
    <row r="5356" spans="1:11" x14ac:dyDescent="0.3">
      <c r="A5356" t="str">
        <f>"70640513"</f>
        <v>70640513</v>
      </c>
      <c r="B5356" t="s">
        <v>10182</v>
      </c>
      <c r="C5356" t="str">
        <f t="shared" si="363"/>
        <v>736</v>
      </c>
      <c r="D5356" t="s">
        <v>22</v>
      </c>
      <c r="E5356" t="s">
        <v>29</v>
      </c>
      <c r="F5356" t="s">
        <v>38</v>
      </c>
      <c r="G5356" t="s">
        <v>10183</v>
      </c>
      <c r="H5356" t="str">
        <f>"9499"</f>
        <v>9499</v>
      </c>
      <c r="I5356" t="s">
        <v>31</v>
      </c>
    </row>
    <row r="5357" spans="1:11" x14ac:dyDescent="0.3">
      <c r="A5357" t="str">
        <f>"61704024"</f>
        <v>61704024</v>
      </c>
      <c r="B5357" t="s">
        <v>10184</v>
      </c>
      <c r="C5357" t="str">
        <f t="shared" si="363"/>
        <v>736</v>
      </c>
      <c r="D5357" t="s">
        <v>22</v>
      </c>
      <c r="E5357" t="s">
        <v>52</v>
      </c>
      <c r="F5357" t="s">
        <v>951</v>
      </c>
      <c r="G5357" t="s">
        <v>10185</v>
      </c>
      <c r="H5357" t="str">
        <f>"9499"</f>
        <v>9499</v>
      </c>
      <c r="I5357" t="s">
        <v>31</v>
      </c>
    </row>
    <row r="5358" spans="1:11" x14ac:dyDescent="0.3">
      <c r="A5358" t="str">
        <f>"02921472"</f>
        <v>02921472</v>
      </c>
      <c r="B5358" t="s">
        <v>10186</v>
      </c>
      <c r="C5358" t="str">
        <f>"706"</f>
        <v>706</v>
      </c>
      <c r="D5358" t="s">
        <v>28</v>
      </c>
      <c r="E5358" t="s">
        <v>23</v>
      </c>
      <c r="F5358" t="s">
        <v>24</v>
      </c>
      <c r="G5358" t="s">
        <v>10187</v>
      </c>
      <c r="H5358" t="str">
        <f>"9499"</f>
        <v>9499</v>
      </c>
      <c r="I5358" t="s">
        <v>31</v>
      </c>
    </row>
    <row r="5359" spans="1:11" x14ac:dyDescent="0.3">
      <c r="A5359" t="str">
        <f>"47933844"</f>
        <v>47933844</v>
      </c>
      <c r="B5359" t="s">
        <v>10188</v>
      </c>
      <c r="C5359" t="str">
        <f>"706"</f>
        <v>706</v>
      </c>
      <c r="D5359" t="s">
        <v>28</v>
      </c>
      <c r="E5359" t="s">
        <v>83</v>
      </c>
      <c r="F5359" t="s">
        <v>5486</v>
      </c>
      <c r="G5359" t="s">
        <v>5486</v>
      </c>
      <c r="H5359" t="str">
        <f>"94991"</f>
        <v>94991</v>
      </c>
      <c r="I5359" t="s">
        <v>433</v>
      </c>
    </row>
    <row r="5360" spans="1:11" x14ac:dyDescent="0.3">
      <c r="A5360" t="str">
        <f>"26540711"</f>
        <v>26540711</v>
      </c>
      <c r="B5360" t="s">
        <v>10189</v>
      </c>
      <c r="C5360" t="str">
        <f>"706"</f>
        <v>706</v>
      </c>
      <c r="D5360" t="s">
        <v>28</v>
      </c>
      <c r="E5360" t="s">
        <v>52</v>
      </c>
      <c r="F5360" t="s">
        <v>94</v>
      </c>
      <c r="G5360" t="s">
        <v>10190</v>
      </c>
      <c r="H5360" t="str">
        <f>"9499"</f>
        <v>9499</v>
      </c>
      <c r="I5360" t="s">
        <v>31</v>
      </c>
    </row>
    <row r="5361" spans="1:9" x14ac:dyDescent="0.3">
      <c r="A5361" t="str">
        <f>"01438981"</f>
        <v>01438981</v>
      </c>
      <c r="B5361" t="s">
        <v>10191</v>
      </c>
      <c r="C5361" t="str">
        <f>"706"</f>
        <v>706</v>
      </c>
      <c r="D5361" t="s">
        <v>28</v>
      </c>
      <c r="E5361" t="s">
        <v>52</v>
      </c>
      <c r="F5361" t="s">
        <v>488</v>
      </c>
      <c r="G5361" t="s">
        <v>10192</v>
      </c>
      <c r="H5361" t="str">
        <f>"94993"</f>
        <v>94993</v>
      </c>
      <c r="I5361" t="s">
        <v>50</v>
      </c>
    </row>
    <row r="5362" spans="1:9" x14ac:dyDescent="0.3">
      <c r="A5362" t="str">
        <f>"70928681"</f>
        <v>70928681</v>
      </c>
      <c r="B5362" t="s">
        <v>10193</v>
      </c>
      <c r="C5362" t="str">
        <f t="shared" ref="C5362:C5391" si="364">"736"</f>
        <v>736</v>
      </c>
      <c r="D5362" t="s">
        <v>22</v>
      </c>
      <c r="E5362" t="s">
        <v>29</v>
      </c>
      <c r="F5362" t="s">
        <v>29</v>
      </c>
      <c r="G5362" t="s">
        <v>10194</v>
      </c>
      <c r="H5362" t="str">
        <f>"94996"</f>
        <v>94996</v>
      </c>
      <c r="I5362" t="s">
        <v>47</v>
      </c>
    </row>
    <row r="5363" spans="1:9" x14ac:dyDescent="0.3">
      <c r="A5363" t="str">
        <f>"71232362"</f>
        <v>71232362</v>
      </c>
      <c r="B5363" t="s">
        <v>10195</v>
      </c>
      <c r="C5363" t="str">
        <f t="shared" si="364"/>
        <v>736</v>
      </c>
      <c r="D5363" t="s">
        <v>22</v>
      </c>
      <c r="E5363" t="s">
        <v>23</v>
      </c>
      <c r="F5363" t="s">
        <v>688</v>
      </c>
      <c r="G5363" t="s">
        <v>10196</v>
      </c>
      <c r="H5363" t="str">
        <f>"94996"</f>
        <v>94996</v>
      </c>
      <c r="I5363" t="s">
        <v>47</v>
      </c>
    </row>
    <row r="5364" spans="1:9" x14ac:dyDescent="0.3">
      <c r="A5364" t="str">
        <f>"46308938"</f>
        <v>46308938</v>
      </c>
      <c r="B5364" t="s">
        <v>10197</v>
      </c>
      <c r="C5364" t="str">
        <f t="shared" si="364"/>
        <v>736</v>
      </c>
      <c r="D5364" t="s">
        <v>22</v>
      </c>
      <c r="E5364" t="s">
        <v>23</v>
      </c>
      <c r="F5364" t="s">
        <v>23</v>
      </c>
      <c r="G5364" t="s">
        <v>280</v>
      </c>
      <c r="H5364" t="str">
        <f>"94996"</f>
        <v>94996</v>
      </c>
      <c r="I5364" t="s">
        <v>47</v>
      </c>
    </row>
    <row r="5365" spans="1:9" x14ac:dyDescent="0.3">
      <c r="A5365" t="str">
        <f>"64422453"</f>
        <v>64422453</v>
      </c>
      <c r="B5365" t="s">
        <v>10198</v>
      </c>
      <c r="C5365" t="str">
        <f t="shared" si="364"/>
        <v>736</v>
      </c>
      <c r="D5365" t="s">
        <v>22</v>
      </c>
      <c r="E5365" t="s">
        <v>83</v>
      </c>
      <c r="F5365" t="s">
        <v>83</v>
      </c>
      <c r="G5365" t="s">
        <v>767</v>
      </c>
      <c r="H5365" t="str">
        <f>"94996"</f>
        <v>94996</v>
      </c>
      <c r="I5365" t="s">
        <v>47</v>
      </c>
    </row>
    <row r="5366" spans="1:9" x14ac:dyDescent="0.3">
      <c r="A5366" t="str">
        <f>"62182790"</f>
        <v>62182790</v>
      </c>
      <c r="B5366" t="s">
        <v>10199</v>
      </c>
      <c r="C5366" t="str">
        <f t="shared" si="364"/>
        <v>736</v>
      </c>
      <c r="D5366" t="s">
        <v>22</v>
      </c>
      <c r="E5366" t="s">
        <v>23</v>
      </c>
      <c r="F5366" t="s">
        <v>23</v>
      </c>
      <c r="G5366" t="s">
        <v>10200</v>
      </c>
      <c r="H5366" t="str">
        <f>"9499"</f>
        <v>9499</v>
      </c>
      <c r="I5366" t="s">
        <v>31</v>
      </c>
    </row>
    <row r="5367" spans="1:9" x14ac:dyDescent="0.3">
      <c r="A5367" t="str">
        <f>"63415682"</f>
        <v>63415682</v>
      </c>
      <c r="B5367" t="s">
        <v>10201</v>
      </c>
      <c r="C5367" t="str">
        <f t="shared" si="364"/>
        <v>736</v>
      </c>
      <c r="D5367" t="s">
        <v>22</v>
      </c>
      <c r="E5367" t="s">
        <v>83</v>
      </c>
      <c r="F5367" t="s">
        <v>83</v>
      </c>
      <c r="G5367" t="s">
        <v>767</v>
      </c>
      <c r="H5367" t="str">
        <f>"94993"</f>
        <v>94993</v>
      </c>
      <c r="I5367" t="s">
        <v>50</v>
      </c>
    </row>
    <row r="5368" spans="1:9" x14ac:dyDescent="0.3">
      <c r="A5368" t="str">
        <f>"62181891"</f>
        <v>62181891</v>
      </c>
      <c r="B5368" t="s">
        <v>10202</v>
      </c>
      <c r="C5368" t="str">
        <f t="shared" si="364"/>
        <v>736</v>
      </c>
      <c r="D5368" t="s">
        <v>22</v>
      </c>
      <c r="E5368" t="s">
        <v>23</v>
      </c>
      <c r="F5368" t="s">
        <v>23</v>
      </c>
      <c r="G5368" t="s">
        <v>10203</v>
      </c>
      <c r="H5368" t="str">
        <f>"9499"</f>
        <v>9499</v>
      </c>
      <c r="I5368" t="s">
        <v>31</v>
      </c>
    </row>
    <row r="5369" spans="1:9" x14ac:dyDescent="0.3">
      <c r="A5369" t="str">
        <f>"62181475"</f>
        <v>62181475</v>
      </c>
      <c r="B5369" t="s">
        <v>10204</v>
      </c>
      <c r="C5369" t="str">
        <f t="shared" si="364"/>
        <v>736</v>
      </c>
      <c r="D5369" t="s">
        <v>22</v>
      </c>
      <c r="E5369" t="s">
        <v>23</v>
      </c>
      <c r="F5369" t="s">
        <v>23</v>
      </c>
      <c r="G5369" t="s">
        <v>6417</v>
      </c>
      <c r="H5369" t="str">
        <f>"9499"</f>
        <v>9499</v>
      </c>
      <c r="I5369" t="s">
        <v>31</v>
      </c>
    </row>
    <row r="5370" spans="1:9" x14ac:dyDescent="0.3">
      <c r="A5370" t="str">
        <f>"67028225"</f>
        <v>67028225</v>
      </c>
      <c r="B5370" t="s">
        <v>10205</v>
      </c>
      <c r="C5370" t="str">
        <f t="shared" si="364"/>
        <v>736</v>
      </c>
      <c r="D5370" t="s">
        <v>22</v>
      </c>
      <c r="E5370" t="s">
        <v>23</v>
      </c>
      <c r="F5370" t="s">
        <v>23</v>
      </c>
      <c r="G5370" t="s">
        <v>10206</v>
      </c>
      <c r="H5370" t="str">
        <f t="shared" ref="H5370:H5391" si="365">"94996"</f>
        <v>94996</v>
      </c>
      <c r="I5370" t="s">
        <v>47</v>
      </c>
    </row>
    <row r="5371" spans="1:9" x14ac:dyDescent="0.3">
      <c r="A5371" t="str">
        <f>"70925402"</f>
        <v>70925402</v>
      </c>
      <c r="B5371" t="s">
        <v>10207</v>
      </c>
      <c r="C5371" t="str">
        <f t="shared" si="364"/>
        <v>736</v>
      </c>
      <c r="D5371" t="s">
        <v>22</v>
      </c>
      <c r="E5371" t="s">
        <v>52</v>
      </c>
      <c r="F5371" t="s">
        <v>488</v>
      </c>
      <c r="G5371" t="s">
        <v>10208</v>
      </c>
      <c r="H5371" t="str">
        <f t="shared" si="365"/>
        <v>94996</v>
      </c>
      <c r="I5371" t="s">
        <v>47</v>
      </c>
    </row>
    <row r="5372" spans="1:9" x14ac:dyDescent="0.3">
      <c r="A5372" t="str">
        <f>"62831704"</f>
        <v>62831704</v>
      </c>
      <c r="B5372" t="s">
        <v>10209</v>
      </c>
      <c r="C5372" t="str">
        <f t="shared" si="364"/>
        <v>736</v>
      </c>
      <c r="D5372" t="s">
        <v>22</v>
      </c>
      <c r="E5372" t="s">
        <v>52</v>
      </c>
      <c r="F5372" t="s">
        <v>488</v>
      </c>
      <c r="G5372" t="s">
        <v>10208</v>
      </c>
      <c r="H5372" t="str">
        <f t="shared" si="365"/>
        <v>94996</v>
      </c>
      <c r="I5372" t="s">
        <v>47</v>
      </c>
    </row>
    <row r="5373" spans="1:9" x14ac:dyDescent="0.3">
      <c r="A5373" t="str">
        <f>"62334417"</f>
        <v>62334417</v>
      </c>
      <c r="B5373" t="s">
        <v>10210</v>
      </c>
      <c r="C5373" t="str">
        <f t="shared" si="364"/>
        <v>736</v>
      </c>
      <c r="D5373" t="s">
        <v>22</v>
      </c>
      <c r="E5373" t="s">
        <v>29</v>
      </c>
      <c r="F5373" t="s">
        <v>1796</v>
      </c>
      <c r="G5373" t="s">
        <v>5326</v>
      </c>
      <c r="H5373" t="str">
        <f t="shared" si="365"/>
        <v>94996</v>
      </c>
      <c r="I5373" t="s">
        <v>47</v>
      </c>
    </row>
    <row r="5374" spans="1:9" x14ac:dyDescent="0.3">
      <c r="A5374" t="str">
        <f>"62182030"</f>
        <v>62182030</v>
      </c>
      <c r="B5374" t="s">
        <v>10211</v>
      </c>
      <c r="C5374" t="str">
        <f t="shared" si="364"/>
        <v>736</v>
      </c>
      <c r="D5374" t="s">
        <v>22</v>
      </c>
      <c r="E5374" t="s">
        <v>23</v>
      </c>
      <c r="F5374" t="s">
        <v>23</v>
      </c>
      <c r="G5374" t="s">
        <v>10212</v>
      </c>
      <c r="H5374" t="str">
        <f t="shared" si="365"/>
        <v>94996</v>
      </c>
      <c r="I5374" t="s">
        <v>47</v>
      </c>
    </row>
    <row r="5375" spans="1:9" x14ac:dyDescent="0.3">
      <c r="A5375" t="str">
        <f>"71164987"</f>
        <v>71164987</v>
      </c>
      <c r="B5375" t="s">
        <v>10213</v>
      </c>
      <c r="C5375" t="str">
        <f t="shared" si="364"/>
        <v>736</v>
      </c>
      <c r="D5375" t="s">
        <v>22</v>
      </c>
      <c r="E5375" t="s">
        <v>52</v>
      </c>
      <c r="F5375" t="s">
        <v>960</v>
      </c>
      <c r="G5375" t="s">
        <v>10214</v>
      </c>
      <c r="H5375" t="str">
        <f t="shared" si="365"/>
        <v>94996</v>
      </c>
      <c r="I5375" t="s">
        <v>47</v>
      </c>
    </row>
    <row r="5376" spans="1:9" x14ac:dyDescent="0.3">
      <c r="A5376" t="str">
        <f>"65326491"</f>
        <v>65326491</v>
      </c>
      <c r="B5376" t="s">
        <v>10215</v>
      </c>
      <c r="C5376" t="str">
        <f t="shared" si="364"/>
        <v>736</v>
      </c>
      <c r="D5376" t="s">
        <v>22</v>
      </c>
      <c r="E5376" t="s">
        <v>52</v>
      </c>
      <c r="F5376" t="s">
        <v>488</v>
      </c>
      <c r="G5376" t="s">
        <v>10208</v>
      </c>
      <c r="H5376" t="str">
        <f t="shared" si="365"/>
        <v>94996</v>
      </c>
      <c r="I5376" t="s">
        <v>47</v>
      </c>
    </row>
    <row r="5377" spans="1:9" x14ac:dyDescent="0.3">
      <c r="A5377" t="str">
        <f>"68726589"</f>
        <v>68726589</v>
      </c>
      <c r="B5377" t="s">
        <v>10216</v>
      </c>
      <c r="C5377" t="str">
        <f t="shared" si="364"/>
        <v>736</v>
      </c>
      <c r="D5377" t="s">
        <v>22</v>
      </c>
      <c r="E5377" t="s">
        <v>23</v>
      </c>
      <c r="F5377" t="s">
        <v>23</v>
      </c>
      <c r="G5377" t="s">
        <v>10217</v>
      </c>
      <c r="H5377" t="str">
        <f t="shared" si="365"/>
        <v>94996</v>
      </c>
      <c r="I5377" t="s">
        <v>47</v>
      </c>
    </row>
    <row r="5378" spans="1:9" x14ac:dyDescent="0.3">
      <c r="A5378" t="str">
        <f>"75038358"</f>
        <v>75038358</v>
      </c>
      <c r="B5378" t="s">
        <v>10218</v>
      </c>
      <c r="C5378" t="str">
        <f t="shared" si="364"/>
        <v>736</v>
      </c>
      <c r="D5378" t="s">
        <v>22</v>
      </c>
      <c r="E5378" t="s">
        <v>29</v>
      </c>
      <c r="F5378" t="s">
        <v>1796</v>
      </c>
      <c r="G5378" t="s">
        <v>10219</v>
      </c>
      <c r="H5378" t="str">
        <f t="shared" si="365"/>
        <v>94996</v>
      </c>
      <c r="I5378" t="s">
        <v>47</v>
      </c>
    </row>
    <row r="5379" spans="1:9" x14ac:dyDescent="0.3">
      <c r="A5379" t="str">
        <f>"75013258"</f>
        <v>75013258</v>
      </c>
      <c r="B5379" t="s">
        <v>10220</v>
      </c>
      <c r="C5379" t="str">
        <f t="shared" si="364"/>
        <v>736</v>
      </c>
      <c r="D5379" t="s">
        <v>22</v>
      </c>
      <c r="E5379" t="s">
        <v>29</v>
      </c>
      <c r="F5379" t="s">
        <v>1121</v>
      </c>
      <c r="G5379" t="s">
        <v>10221</v>
      </c>
      <c r="H5379" t="str">
        <f t="shared" si="365"/>
        <v>94996</v>
      </c>
      <c r="I5379" t="s">
        <v>47</v>
      </c>
    </row>
    <row r="5380" spans="1:9" x14ac:dyDescent="0.3">
      <c r="A5380" t="str">
        <f>"75013304"</f>
        <v>75013304</v>
      </c>
      <c r="B5380" t="s">
        <v>10222</v>
      </c>
      <c r="C5380" t="str">
        <f t="shared" si="364"/>
        <v>736</v>
      </c>
      <c r="D5380" t="s">
        <v>22</v>
      </c>
      <c r="E5380" t="s">
        <v>83</v>
      </c>
      <c r="F5380" t="s">
        <v>1425</v>
      </c>
      <c r="G5380" t="s">
        <v>10223</v>
      </c>
      <c r="H5380" t="str">
        <f t="shared" si="365"/>
        <v>94996</v>
      </c>
      <c r="I5380" t="s">
        <v>47</v>
      </c>
    </row>
    <row r="5381" spans="1:9" x14ac:dyDescent="0.3">
      <c r="A5381" t="str">
        <f>"70803986"</f>
        <v>70803986</v>
      </c>
      <c r="B5381" t="s">
        <v>10224</v>
      </c>
      <c r="C5381" t="str">
        <f t="shared" si="364"/>
        <v>736</v>
      </c>
      <c r="D5381" t="s">
        <v>22</v>
      </c>
      <c r="E5381" t="s">
        <v>52</v>
      </c>
      <c r="F5381" t="s">
        <v>857</v>
      </c>
      <c r="G5381" t="s">
        <v>10225</v>
      </c>
      <c r="H5381" t="str">
        <f t="shared" si="365"/>
        <v>94996</v>
      </c>
      <c r="I5381" t="s">
        <v>47</v>
      </c>
    </row>
    <row r="5382" spans="1:9" x14ac:dyDescent="0.3">
      <c r="A5382" t="str">
        <f>"73214507"</f>
        <v>73214507</v>
      </c>
      <c r="B5382" t="s">
        <v>10226</v>
      </c>
      <c r="C5382" t="str">
        <f t="shared" si="364"/>
        <v>736</v>
      </c>
      <c r="D5382" t="s">
        <v>22</v>
      </c>
      <c r="E5382" t="s">
        <v>29</v>
      </c>
      <c r="F5382" t="s">
        <v>2532</v>
      </c>
      <c r="G5382" t="s">
        <v>10227</v>
      </c>
      <c r="H5382" t="str">
        <f t="shared" si="365"/>
        <v>94996</v>
      </c>
      <c r="I5382" t="s">
        <v>47</v>
      </c>
    </row>
    <row r="5383" spans="1:9" x14ac:dyDescent="0.3">
      <c r="A5383" t="str">
        <f>"75833620"</f>
        <v>75833620</v>
      </c>
      <c r="B5383" t="s">
        <v>10228</v>
      </c>
      <c r="C5383" t="str">
        <f t="shared" si="364"/>
        <v>736</v>
      </c>
      <c r="D5383" t="s">
        <v>22</v>
      </c>
      <c r="E5383" t="s">
        <v>52</v>
      </c>
      <c r="F5383" t="s">
        <v>94</v>
      </c>
      <c r="G5383" t="s">
        <v>10229</v>
      </c>
      <c r="H5383" t="str">
        <f t="shared" si="365"/>
        <v>94996</v>
      </c>
      <c r="I5383" t="s">
        <v>47</v>
      </c>
    </row>
    <row r="5384" spans="1:9" x14ac:dyDescent="0.3">
      <c r="A5384" t="str">
        <f>"62334409"</f>
        <v>62334409</v>
      </c>
      <c r="B5384" t="s">
        <v>10230</v>
      </c>
      <c r="C5384" t="str">
        <f t="shared" si="364"/>
        <v>736</v>
      </c>
      <c r="D5384" t="s">
        <v>22</v>
      </c>
      <c r="E5384" t="s">
        <v>29</v>
      </c>
      <c r="F5384" t="s">
        <v>195</v>
      </c>
      <c r="G5384" t="s">
        <v>10231</v>
      </c>
      <c r="H5384" t="str">
        <f t="shared" si="365"/>
        <v>94996</v>
      </c>
      <c r="I5384" t="s">
        <v>47</v>
      </c>
    </row>
    <row r="5385" spans="1:9" x14ac:dyDescent="0.3">
      <c r="A5385" t="str">
        <f>"70910421"</f>
        <v>70910421</v>
      </c>
      <c r="B5385" t="s">
        <v>10232</v>
      </c>
      <c r="C5385" t="str">
        <f t="shared" si="364"/>
        <v>736</v>
      </c>
      <c r="D5385" t="s">
        <v>22</v>
      </c>
      <c r="E5385" t="s">
        <v>52</v>
      </c>
      <c r="F5385" t="s">
        <v>362</v>
      </c>
      <c r="G5385" t="s">
        <v>4257</v>
      </c>
      <c r="H5385" t="str">
        <f t="shared" si="365"/>
        <v>94996</v>
      </c>
      <c r="I5385" t="s">
        <v>47</v>
      </c>
    </row>
    <row r="5386" spans="1:9" x14ac:dyDescent="0.3">
      <c r="A5386" t="str">
        <f>"65793064"</f>
        <v>65793064</v>
      </c>
      <c r="B5386" t="s">
        <v>10233</v>
      </c>
      <c r="C5386" t="str">
        <f t="shared" si="364"/>
        <v>736</v>
      </c>
      <c r="D5386" t="s">
        <v>22</v>
      </c>
      <c r="E5386" t="s">
        <v>23</v>
      </c>
      <c r="F5386" t="s">
        <v>23</v>
      </c>
      <c r="G5386" t="s">
        <v>10234</v>
      </c>
      <c r="H5386" t="str">
        <f t="shared" si="365"/>
        <v>94996</v>
      </c>
      <c r="I5386" t="s">
        <v>47</v>
      </c>
    </row>
    <row r="5387" spans="1:9" x14ac:dyDescent="0.3">
      <c r="A5387" t="str">
        <f>"65325753"</f>
        <v>65325753</v>
      </c>
      <c r="B5387" t="s">
        <v>10235</v>
      </c>
      <c r="C5387" t="str">
        <f t="shared" si="364"/>
        <v>736</v>
      </c>
      <c r="D5387" t="s">
        <v>22</v>
      </c>
      <c r="E5387" t="s">
        <v>52</v>
      </c>
      <c r="F5387" t="s">
        <v>951</v>
      </c>
      <c r="G5387" t="s">
        <v>9388</v>
      </c>
      <c r="H5387" t="str">
        <f t="shared" si="365"/>
        <v>94996</v>
      </c>
      <c r="I5387" t="s">
        <v>47</v>
      </c>
    </row>
    <row r="5388" spans="1:9" x14ac:dyDescent="0.3">
      <c r="A5388" t="str">
        <f>"62334654"</f>
        <v>62334654</v>
      </c>
      <c r="B5388" t="s">
        <v>10236</v>
      </c>
      <c r="C5388" t="str">
        <f t="shared" si="364"/>
        <v>736</v>
      </c>
      <c r="D5388" t="s">
        <v>22</v>
      </c>
      <c r="E5388" t="s">
        <v>29</v>
      </c>
      <c r="F5388" t="s">
        <v>29</v>
      </c>
      <c r="G5388" t="s">
        <v>10237</v>
      </c>
      <c r="H5388" t="str">
        <f t="shared" si="365"/>
        <v>94996</v>
      </c>
      <c r="I5388" t="s">
        <v>47</v>
      </c>
    </row>
    <row r="5389" spans="1:9" x14ac:dyDescent="0.3">
      <c r="A5389" t="str">
        <f>"71171401"</f>
        <v>71171401</v>
      </c>
      <c r="B5389" t="s">
        <v>10238</v>
      </c>
      <c r="C5389" t="str">
        <f t="shared" si="364"/>
        <v>736</v>
      </c>
      <c r="D5389" t="s">
        <v>22</v>
      </c>
      <c r="E5389" t="s">
        <v>29</v>
      </c>
      <c r="F5389" t="s">
        <v>250</v>
      </c>
      <c r="G5389" t="s">
        <v>3364</v>
      </c>
      <c r="H5389" t="str">
        <f t="shared" si="365"/>
        <v>94996</v>
      </c>
      <c r="I5389" t="s">
        <v>47</v>
      </c>
    </row>
    <row r="5390" spans="1:9" x14ac:dyDescent="0.3">
      <c r="A5390" t="str">
        <f>"70806667"</f>
        <v>70806667</v>
      </c>
      <c r="B5390" t="s">
        <v>10239</v>
      </c>
      <c r="C5390" t="str">
        <f t="shared" si="364"/>
        <v>736</v>
      </c>
      <c r="D5390" t="s">
        <v>22</v>
      </c>
      <c r="E5390" t="s">
        <v>52</v>
      </c>
      <c r="F5390" t="s">
        <v>65</v>
      </c>
      <c r="G5390" t="s">
        <v>10240</v>
      </c>
      <c r="H5390" t="str">
        <f t="shared" si="365"/>
        <v>94996</v>
      </c>
      <c r="I5390" t="s">
        <v>47</v>
      </c>
    </row>
    <row r="5391" spans="1:9" x14ac:dyDescent="0.3">
      <c r="A5391" t="str">
        <f>"75036584"</f>
        <v>75036584</v>
      </c>
      <c r="B5391" t="s">
        <v>10241</v>
      </c>
      <c r="C5391" t="str">
        <f t="shared" si="364"/>
        <v>736</v>
      </c>
      <c r="D5391" t="s">
        <v>22</v>
      </c>
      <c r="E5391" t="s">
        <v>52</v>
      </c>
      <c r="F5391" t="s">
        <v>379</v>
      </c>
      <c r="G5391" t="s">
        <v>10242</v>
      </c>
      <c r="H5391" t="str">
        <f t="shared" si="365"/>
        <v>94996</v>
      </c>
      <c r="I5391" t="s">
        <v>47</v>
      </c>
    </row>
    <row r="5392" spans="1:9" x14ac:dyDescent="0.3">
      <c r="A5392" t="str">
        <f>"01303112"</f>
        <v>01303112</v>
      </c>
      <c r="B5392" t="s">
        <v>10243</v>
      </c>
      <c r="C5392" t="str">
        <f>"706"</f>
        <v>706</v>
      </c>
      <c r="D5392" t="s">
        <v>28</v>
      </c>
      <c r="E5392" t="s">
        <v>83</v>
      </c>
      <c r="F5392" t="s">
        <v>83</v>
      </c>
      <c r="G5392" t="s">
        <v>547</v>
      </c>
      <c r="H5392" t="str">
        <f>"94993"</f>
        <v>94993</v>
      </c>
      <c r="I5392" t="s">
        <v>50</v>
      </c>
    </row>
    <row r="5393" spans="1:9" x14ac:dyDescent="0.3">
      <c r="A5393" t="str">
        <f>"00536865"</f>
        <v>00536865</v>
      </c>
      <c r="B5393" t="s">
        <v>10244</v>
      </c>
      <c r="C5393" t="str">
        <f>"706"</f>
        <v>706</v>
      </c>
      <c r="D5393" t="s">
        <v>28</v>
      </c>
      <c r="E5393" t="s">
        <v>83</v>
      </c>
      <c r="F5393" t="s">
        <v>409</v>
      </c>
      <c r="G5393" t="s">
        <v>410</v>
      </c>
      <c r="H5393" t="str">
        <f>"93110"</f>
        <v>93110</v>
      </c>
      <c r="I5393" t="s">
        <v>92</v>
      </c>
    </row>
    <row r="5394" spans="1:9" x14ac:dyDescent="0.3">
      <c r="A5394" t="str">
        <f>"19854901"</f>
        <v>19854901</v>
      </c>
      <c r="B5394" t="s">
        <v>10245</v>
      </c>
      <c r="C5394" t="str">
        <f>"736"</f>
        <v>736</v>
      </c>
      <c r="D5394" t="s">
        <v>22</v>
      </c>
      <c r="E5394" t="s">
        <v>23</v>
      </c>
      <c r="F5394" t="s">
        <v>245</v>
      </c>
      <c r="G5394" t="s">
        <v>7315</v>
      </c>
      <c r="H5394" t="str">
        <f>"94991"</f>
        <v>94991</v>
      </c>
      <c r="I5394" t="s">
        <v>433</v>
      </c>
    </row>
    <row r="5395" spans="1:9" x14ac:dyDescent="0.3">
      <c r="A5395" t="str">
        <f>"71245928"</f>
        <v>71245928</v>
      </c>
      <c r="B5395" t="s">
        <v>10246</v>
      </c>
      <c r="C5395" t="str">
        <f>"736"</f>
        <v>736</v>
      </c>
      <c r="D5395" t="s">
        <v>22</v>
      </c>
      <c r="E5395" t="s">
        <v>23</v>
      </c>
      <c r="F5395" t="s">
        <v>245</v>
      </c>
      <c r="G5395" t="s">
        <v>7315</v>
      </c>
      <c r="H5395" t="str">
        <f>"94991"</f>
        <v>94991</v>
      </c>
      <c r="I5395" t="s">
        <v>433</v>
      </c>
    </row>
    <row r="5396" spans="1:9" x14ac:dyDescent="0.3">
      <c r="A5396" t="str">
        <f>"47934824"</f>
        <v>47934824</v>
      </c>
      <c r="B5396" t="s">
        <v>10247</v>
      </c>
      <c r="C5396" t="str">
        <f>"706"</f>
        <v>706</v>
      </c>
      <c r="D5396" t="s">
        <v>28</v>
      </c>
      <c r="E5396" t="s">
        <v>83</v>
      </c>
      <c r="F5396" t="s">
        <v>83</v>
      </c>
      <c r="G5396" t="s">
        <v>83</v>
      </c>
      <c r="H5396" t="str">
        <f>"93110"</f>
        <v>93110</v>
      </c>
      <c r="I5396" t="s">
        <v>92</v>
      </c>
    </row>
    <row r="5397" spans="1:9" x14ac:dyDescent="0.3">
      <c r="A5397" t="str">
        <f>"47935359"</f>
        <v>47935359</v>
      </c>
      <c r="B5397" t="s">
        <v>10248</v>
      </c>
      <c r="C5397" t="str">
        <f>"706"</f>
        <v>706</v>
      </c>
      <c r="D5397" t="s">
        <v>28</v>
      </c>
      <c r="E5397" t="s">
        <v>83</v>
      </c>
      <c r="F5397" t="s">
        <v>1718</v>
      </c>
      <c r="G5397" t="s">
        <v>10249</v>
      </c>
      <c r="H5397" t="str">
        <f>"93190"</f>
        <v>93190</v>
      </c>
      <c r="I5397" t="s">
        <v>59</v>
      </c>
    </row>
    <row r="5398" spans="1:9" x14ac:dyDescent="0.3">
      <c r="A5398" t="str">
        <f>"70925658"</f>
        <v>70925658</v>
      </c>
      <c r="B5398" t="s">
        <v>10250</v>
      </c>
      <c r="C5398" t="str">
        <f t="shared" ref="C5398:C5419" si="366">"736"</f>
        <v>736</v>
      </c>
      <c r="D5398" t="s">
        <v>22</v>
      </c>
      <c r="E5398" t="s">
        <v>23</v>
      </c>
      <c r="F5398" t="s">
        <v>23</v>
      </c>
      <c r="G5398" t="s">
        <v>10251</v>
      </c>
      <c r="H5398" t="str">
        <f>"94996"</f>
        <v>94996</v>
      </c>
      <c r="I5398" t="s">
        <v>47</v>
      </c>
    </row>
    <row r="5399" spans="1:9" x14ac:dyDescent="0.3">
      <c r="A5399" t="str">
        <f>"75037360"</f>
        <v>75037360</v>
      </c>
      <c r="B5399" t="s">
        <v>10252</v>
      </c>
      <c r="C5399" t="str">
        <f t="shared" si="366"/>
        <v>736</v>
      </c>
      <c r="D5399" t="s">
        <v>22</v>
      </c>
      <c r="E5399" t="s">
        <v>23</v>
      </c>
      <c r="F5399" t="s">
        <v>107</v>
      </c>
      <c r="G5399" t="s">
        <v>4002</v>
      </c>
      <c r="H5399" t="str">
        <f>"9499"</f>
        <v>9499</v>
      </c>
      <c r="I5399" t="s">
        <v>31</v>
      </c>
    </row>
    <row r="5400" spans="1:9" x14ac:dyDescent="0.3">
      <c r="A5400" t="str">
        <f>"64123227"</f>
        <v>64123227</v>
      </c>
      <c r="B5400" t="s">
        <v>10253</v>
      </c>
      <c r="C5400" t="str">
        <f t="shared" si="366"/>
        <v>736</v>
      </c>
      <c r="D5400" t="s">
        <v>22</v>
      </c>
      <c r="E5400" t="s">
        <v>29</v>
      </c>
      <c r="F5400" t="s">
        <v>195</v>
      </c>
      <c r="G5400" t="s">
        <v>6196</v>
      </c>
      <c r="H5400" t="str">
        <f>"9499"</f>
        <v>9499</v>
      </c>
      <c r="I5400" t="s">
        <v>31</v>
      </c>
    </row>
    <row r="5401" spans="1:9" x14ac:dyDescent="0.3">
      <c r="A5401" t="str">
        <f>"65828194"</f>
        <v>65828194</v>
      </c>
      <c r="B5401" t="s">
        <v>10254</v>
      </c>
      <c r="C5401" t="str">
        <f t="shared" si="366"/>
        <v>736</v>
      </c>
      <c r="D5401" t="s">
        <v>22</v>
      </c>
      <c r="E5401" t="s">
        <v>83</v>
      </c>
      <c r="F5401" t="s">
        <v>83</v>
      </c>
      <c r="G5401" t="s">
        <v>767</v>
      </c>
      <c r="H5401" t="str">
        <f>"94996"</f>
        <v>94996</v>
      </c>
      <c r="I5401" t="s">
        <v>47</v>
      </c>
    </row>
    <row r="5402" spans="1:9" x14ac:dyDescent="0.3">
      <c r="A5402" t="str">
        <f>"75118424"</f>
        <v>75118424</v>
      </c>
      <c r="B5402" t="s">
        <v>10255</v>
      </c>
      <c r="C5402" t="str">
        <f t="shared" si="366"/>
        <v>736</v>
      </c>
      <c r="D5402" t="s">
        <v>22</v>
      </c>
      <c r="E5402" t="s">
        <v>83</v>
      </c>
      <c r="F5402" t="s">
        <v>480</v>
      </c>
      <c r="G5402" t="s">
        <v>9476</v>
      </c>
      <c r="H5402" t="str">
        <f>"94996"</f>
        <v>94996</v>
      </c>
      <c r="I5402" t="s">
        <v>47</v>
      </c>
    </row>
    <row r="5403" spans="1:9" x14ac:dyDescent="0.3">
      <c r="A5403" t="str">
        <f>"71152652"</f>
        <v>71152652</v>
      </c>
      <c r="B5403" t="s">
        <v>10256</v>
      </c>
      <c r="C5403" t="str">
        <f t="shared" si="366"/>
        <v>736</v>
      </c>
      <c r="D5403" t="s">
        <v>22</v>
      </c>
      <c r="E5403" t="s">
        <v>23</v>
      </c>
      <c r="F5403" t="s">
        <v>1418</v>
      </c>
      <c r="G5403" t="s">
        <v>9541</v>
      </c>
      <c r="H5403" t="str">
        <f>"94993"</f>
        <v>94993</v>
      </c>
      <c r="I5403" t="s">
        <v>50</v>
      </c>
    </row>
    <row r="5404" spans="1:9" x14ac:dyDescent="0.3">
      <c r="A5404" t="str">
        <f>"71153225"</f>
        <v>71153225</v>
      </c>
      <c r="B5404" t="s">
        <v>10257</v>
      </c>
      <c r="C5404" t="str">
        <f t="shared" si="366"/>
        <v>736</v>
      </c>
      <c r="D5404" t="s">
        <v>22</v>
      </c>
      <c r="E5404" t="s">
        <v>52</v>
      </c>
      <c r="F5404" t="s">
        <v>234</v>
      </c>
      <c r="G5404" t="s">
        <v>10258</v>
      </c>
      <c r="H5404" t="str">
        <f>"94996"</f>
        <v>94996</v>
      </c>
      <c r="I5404" t="s">
        <v>47</v>
      </c>
    </row>
    <row r="5405" spans="1:9" x14ac:dyDescent="0.3">
      <c r="A5405" t="str">
        <f>"71158405"</f>
        <v>71158405</v>
      </c>
      <c r="B5405" t="s">
        <v>10259</v>
      </c>
      <c r="C5405" t="str">
        <f t="shared" si="366"/>
        <v>736</v>
      </c>
      <c r="D5405" t="s">
        <v>22</v>
      </c>
      <c r="E5405" t="s">
        <v>23</v>
      </c>
      <c r="F5405" t="s">
        <v>1885</v>
      </c>
      <c r="G5405" t="s">
        <v>10260</v>
      </c>
      <c r="H5405" t="str">
        <f>"9499"</f>
        <v>9499</v>
      </c>
      <c r="I5405" t="s">
        <v>31</v>
      </c>
    </row>
    <row r="5406" spans="1:9" x14ac:dyDescent="0.3">
      <c r="A5406" t="str">
        <f>"71154141"</f>
        <v>71154141</v>
      </c>
      <c r="B5406" t="s">
        <v>10261</v>
      </c>
      <c r="C5406" t="str">
        <f t="shared" si="366"/>
        <v>736</v>
      </c>
      <c r="D5406" t="s">
        <v>22</v>
      </c>
      <c r="E5406" t="s">
        <v>23</v>
      </c>
      <c r="F5406" t="s">
        <v>141</v>
      </c>
      <c r="G5406" t="s">
        <v>10262</v>
      </c>
      <c r="H5406" t="str">
        <f>"9499"</f>
        <v>9499</v>
      </c>
      <c r="I5406" t="s">
        <v>31</v>
      </c>
    </row>
    <row r="5407" spans="1:9" x14ac:dyDescent="0.3">
      <c r="A5407" t="str">
        <f>"73214434"</f>
        <v>73214434</v>
      </c>
      <c r="B5407" t="s">
        <v>10263</v>
      </c>
      <c r="C5407" t="str">
        <f t="shared" si="366"/>
        <v>736</v>
      </c>
      <c r="D5407" t="s">
        <v>22</v>
      </c>
      <c r="E5407" t="s">
        <v>29</v>
      </c>
      <c r="F5407" t="s">
        <v>38</v>
      </c>
      <c r="G5407" t="s">
        <v>3993</v>
      </c>
      <c r="H5407" t="str">
        <f t="shared" ref="H5407:H5417" si="367">"94996"</f>
        <v>94996</v>
      </c>
      <c r="I5407" t="s">
        <v>47</v>
      </c>
    </row>
    <row r="5408" spans="1:9" x14ac:dyDescent="0.3">
      <c r="A5408" t="str">
        <f>"71213953"</f>
        <v>71213953</v>
      </c>
      <c r="B5408" t="s">
        <v>10264</v>
      </c>
      <c r="C5408" t="str">
        <f t="shared" si="366"/>
        <v>736</v>
      </c>
      <c r="D5408" t="s">
        <v>22</v>
      </c>
      <c r="E5408" t="s">
        <v>52</v>
      </c>
      <c r="F5408" t="s">
        <v>379</v>
      </c>
      <c r="G5408" t="s">
        <v>10242</v>
      </c>
      <c r="H5408" t="str">
        <f t="shared" si="367"/>
        <v>94996</v>
      </c>
      <c r="I5408" t="s">
        <v>47</v>
      </c>
    </row>
    <row r="5409" spans="1:9" x14ac:dyDescent="0.3">
      <c r="A5409" t="str">
        <f>"71208232"</f>
        <v>71208232</v>
      </c>
      <c r="B5409" t="s">
        <v>10265</v>
      </c>
      <c r="C5409" t="str">
        <f t="shared" si="366"/>
        <v>736</v>
      </c>
      <c r="D5409" t="s">
        <v>22</v>
      </c>
      <c r="E5409" t="s">
        <v>52</v>
      </c>
      <c r="F5409" t="s">
        <v>52</v>
      </c>
      <c r="G5409" t="s">
        <v>10266</v>
      </c>
      <c r="H5409" t="str">
        <f t="shared" si="367"/>
        <v>94996</v>
      </c>
      <c r="I5409" t="s">
        <v>47</v>
      </c>
    </row>
    <row r="5410" spans="1:9" x14ac:dyDescent="0.3">
      <c r="A5410" t="str">
        <f>"71190473"</f>
        <v>71190473</v>
      </c>
      <c r="B5410" t="s">
        <v>10267</v>
      </c>
      <c r="C5410" t="str">
        <f t="shared" si="366"/>
        <v>736</v>
      </c>
      <c r="D5410" t="s">
        <v>22</v>
      </c>
      <c r="E5410" t="s">
        <v>52</v>
      </c>
      <c r="F5410" t="s">
        <v>362</v>
      </c>
      <c r="G5410" t="s">
        <v>4257</v>
      </c>
      <c r="H5410" t="str">
        <f t="shared" si="367"/>
        <v>94996</v>
      </c>
      <c r="I5410" t="s">
        <v>47</v>
      </c>
    </row>
    <row r="5411" spans="1:9" x14ac:dyDescent="0.3">
      <c r="A5411" t="str">
        <f>"66184266"</f>
        <v>66184266</v>
      </c>
      <c r="B5411" t="s">
        <v>10268</v>
      </c>
      <c r="C5411" t="str">
        <f t="shared" si="366"/>
        <v>736</v>
      </c>
      <c r="D5411" t="s">
        <v>22</v>
      </c>
      <c r="E5411" t="s">
        <v>29</v>
      </c>
      <c r="F5411" t="s">
        <v>29</v>
      </c>
      <c r="G5411" t="s">
        <v>76</v>
      </c>
      <c r="H5411" t="str">
        <f t="shared" si="367"/>
        <v>94996</v>
      </c>
      <c r="I5411" t="s">
        <v>47</v>
      </c>
    </row>
    <row r="5412" spans="1:9" x14ac:dyDescent="0.3">
      <c r="A5412" t="str">
        <f>"86552872"</f>
        <v>86552872</v>
      </c>
      <c r="B5412" t="s">
        <v>10269</v>
      </c>
      <c r="C5412" t="str">
        <f t="shared" si="366"/>
        <v>736</v>
      </c>
      <c r="D5412" t="s">
        <v>22</v>
      </c>
      <c r="E5412" t="s">
        <v>23</v>
      </c>
      <c r="F5412" t="s">
        <v>23</v>
      </c>
      <c r="G5412" t="s">
        <v>10251</v>
      </c>
      <c r="H5412" t="str">
        <f t="shared" si="367"/>
        <v>94996</v>
      </c>
      <c r="I5412" t="s">
        <v>47</v>
      </c>
    </row>
    <row r="5413" spans="1:9" x14ac:dyDescent="0.3">
      <c r="A5413" t="str">
        <f>"18188052"</f>
        <v>18188052</v>
      </c>
      <c r="B5413" t="s">
        <v>10270</v>
      </c>
      <c r="C5413" t="str">
        <f t="shared" si="366"/>
        <v>736</v>
      </c>
      <c r="D5413" t="s">
        <v>22</v>
      </c>
      <c r="E5413" t="s">
        <v>83</v>
      </c>
      <c r="F5413" t="s">
        <v>83</v>
      </c>
      <c r="G5413" t="s">
        <v>767</v>
      </c>
      <c r="H5413" t="str">
        <f t="shared" si="367"/>
        <v>94996</v>
      </c>
      <c r="I5413" t="s">
        <v>47</v>
      </c>
    </row>
    <row r="5414" spans="1:9" x14ac:dyDescent="0.3">
      <c r="A5414" t="str">
        <f>"70820139"</f>
        <v>70820139</v>
      </c>
      <c r="B5414" t="s">
        <v>10271</v>
      </c>
      <c r="C5414" t="str">
        <f t="shared" si="366"/>
        <v>736</v>
      </c>
      <c r="D5414" t="s">
        <v>22</v>
      </c>
      <c r="E5414" t="s">
        <v>83</v>
      </c>
      <c r="F5414" t="s">
        <v>83</v>
      </c>
      <c r="G5414" t="s">
        <v>767</v>
      </c>
      <c r="H5414" t="str">
        <f t="shared" si="367"/>
        <v>94996</v>
      </c>
      <c r="I5414" t="s">
        <v>47</v>
      </c>
    </row>
    <row r="5415" spans="1:9" x14ac:dyDescent="0.3">
      <c r="A5415" t="str">
        <f>"62830392"</f>
        <v>62830392</v>
      </c>
      <c r="B5415" t="s">
        <v>10272</v>
      </c>
      <c r="C5415" t="str">
        <f t="shared" si="366"/>
        <v>736</v>
      </c>
      <c r="D5415" t="s">
        <v>22</v>
      </c>
      <c r="E5415" t="s">
        <v>52</v>
      </c>
      <c r="F5415" t="s">
        <v>52</v>
      </c>
      <c r="G5415" t="s">
        <v>439</v>
      </c>
      <c r="H5415" t="str">
        <f t="shared" si="367"/>
        <v>94996</v>
      </c>
      <c r="I5415" t="s">
        <v>47</v>
      </c>
    </row>
    <row r="5416" spans="1:9" x14ac:dyDescent="0.3">
      <c r="A5416" t="str">
        <f>"64124070"</f>
        <v>64124070</v>
      </c>
      <c r="B5416" t="s">
        <v>10273</v>
      </c>
      <c r="C5416" t="str">
        <f t="shared" si="366"/>
        <v>736</v>
      </c>
      <c r="D5416" t="s">
        <v>22</v>
      </c>
      <c r="E5416" t="s">
        <v>29</v>
      </c>
      <c r="F5416" t="s">
        <v>29</v>
      </c>
      <c r="G5416" t="s">
        <v>76</v>
      </c>
      <c r="H5416" t="str">
        <f t="shared" si="367"/>
        <v>94996</v>
      </c>
      <c r="I5416" t="s">
        <v>47</v>
      </c>
    </row>
    <row r="5417" spans="1:9" x14ac:dyDescent="0.3">
      <c r="A5417" t="str">
        <f>"62181017"</f>
        <v>62181017</v>
      </c>
      <c r="B5417" t="s">
        <v>10274</v>
      </c>
      <c r="C5417" t="str">
        <f t="shared" si="366"/>
        <v>736</v>
      </c>
      <c r="D5417" t="s">
        <v>22</v>
      </c>
      <c r="E5417" t="s">
        <v>23</v>
      </c>
      <c r="F5417" t="s">
        <v>23</v>
      </c>
      <c r="G5417" t="s">
        <v>10251</v>
      </c>
      <c r="H5417" t="str">
        <f t="shared" si="367"/>
        <v>94996</v>
      </c>
      <c r="I5417" t="s">
        <v>47</v>
      </c>
    </row>
    <row r="5418" spans="1:9" x14ac:dyDescent="0.3">
      <c r="A5418" t="str">
        <f>"75012766"</f>
        <v>75012766</v>
      </c>
      <c r="B5418" t="s">
        <v>10275</v>
      </c>
      <c r="C5418" t="str">
        <f t="shared" si="366"/>
        <v>736</v>
      </c>
      <c r="D5418" t="s">
        <v>22</v>
      </c>
      <c r="E5418" t="s">
        <v>52</v>
      </c>
      <c r="F5418" t="s">
        <v>514</v>
      </c>
      <c r="G5418" t="s">
        <v>10276</v>
      </c>
      <c r="H5418" t="str">
        <f>"9499"</f>
        <v>9499</v>
      </c>
      <c r="I5418" t="s">
        <v>31</v>
      </c>
    </row>
    <row r="5419" spans="1:9" x14ac:dyDescent="0.3">
      <c r="A5419" t="str">
        <f>"47930021"</f>
        <v>47930021</v>
      </c>
      <c r="B5419" t="s">
        <v>10277</v>
      </c>
      <c r="C5419" t="str">
        <f t="shared" si="366"/>
        <v>736</v>
      </c>
      <c r="D5419" t="s">
        <v>22</v>
      </c>
      <c r="E5419" t="s">
        <v>83</v>
      </c>
      <c r="F5419" t="s">
        <v>944</v>
      </c>
      <c r="G5419" t="s">
        <v>10278</v>
      </c>
      <c r="H5419" t="str">
        <f>"93110"</f>
        <v>93110</v>
      </c>
      <c r="I5419" t="s">
        <v>92</v>
      </c>
    </row>
    <row r="5420" spans="1:9" x14ac:dyDescent="0.3">
      <c r="A5420" t="str">
        <f>"02445158"</f>
        <v>02445158</v>
      </c>
      <c r="B5420" t="s">
        <v>10279</v>
      </c>
      <c r="C5420" t="str">
        <f>"706"</f>
        <v>706</v>
      </c>
      <c r="D5420" t="s">
        <v>28</v>
      </c>
      <c r="E5420" t="s">
        <v>29</v>
      </c>
      <c r="F5420" t="s">
        <v>29</v>
      </c>
      <c r="G5420" t="s">
        <v>29</v>
      </c>
      <c r="H5420" t="str">
        <f>"9499"</f>
        <v>9499</v>
      </c>
      <c r="I5420" t="s">
        <v>31</v>
      </c>
    </row>
    <row r="5421" spans="1:9" x14ac:dyDescent="0.3">
      <c r="A5421" t="str">
        <f>"62180479"</f>
        <v>62180479</v>
      </c>
      <c r="B5421" t="s">
        <v>10280</v>
      </c>
      <c r="C5421" t="str">
        <f>"736"</f>
        <v>736</v>
      </c>
      <c r="D5421" t="s">
        <v>22</v>
      </c>
      <c r="E5421" t="s">
        <v>23</v>
      </c>
      <c r="F5421" t="s">
        <v>23</v>
      </c>
      <c r="G5421" t="s">
        <v>678</v>
      </c>
      <c r="H5421" t="str">
        <f>"931"</f>
        <v>931</v>
      </c>
      <c r="I5421" t="s">
        <v>26</v>
      </c>
    </row>
    <row r="5422" spans="1:9" x14ac:dyDescent="0.3">
      <c r="A5422" t="str">
        <f>"26999447"</f>
        <v>26999447</v>
      </c>
      <c r="B5422" t="s">
        <v>10281</v>
      </c>
      <c r="C5422" t="str">
        <f t="shared" ref="C5422:C5433" si="368">"706"</f>
        <v>706</v>
      </c>
      <c r="D5422" t="s">
        <v>28</v>
      </c>
      <c r="E5422" t="s">
        <v>23</v>
      </c>
      <c r="F5422" t="s">
        <v>23</v>
      </c>
      <c r="G5422" t="s">
        <v>10282</v>
      </c>
      <c r="H5422" t="str">
        <f>"9499"</f>
        <v>9499</v>
      </c>
      <c r="I5422" t="s">
        <v>31</v>
      </c>
    </row>
    <row r="5423" spans="1:9" x14ac:dyDescent="0.3">
      <c r="A5423" t="str">
        <f>"22899341"</f>
        <v>22899341</v>
      </c>
      <c r="B5423" t="s">
        <v>10283</v>
      </c>
      <c r="C5423" t="str">
        <f t="shared" si="368"/>
        <v>706</v>
      </c>
      <c r="D5423" t="s">
        <v>28</v>
      </c>
      <c r="E5423" t="s">
        <v>83</v>
      </c>
      <c r="F5423" t="s">
        <v>83</v>
      </c>
      <c r="G5423" t="s">
        <v>10284</v>
      </c>
      <c r="H5423" t="str">
        <f>"94120"</f>
        <v>94120</v>
      </c>
      <c r="I5423" t="s">
        <v>43</v>
      </c>
    </row>
    <row r="5424" spans="1:9" x14ac:dyDescent="0.3">
      <c r="A5424" t="str">
        <f>"07674805"</f>
        <v>07674805</v>
      </c>
      <c r="B5424" t="s">
        <v>10285</v>
      </c>
      <c r="C5424" t="str">
        <f t="shared" si="368"/>
        <v>706</v>
      </c>
      <c r="D5424" t="s">
        <v>28</v>
      </c>
      <c r="E5424" t="s">
        <v>52</v>
      </c>
      <c r="F5424" t="s">
        <v>52</v>
      </c>
      <c r="G5424" t="s">
        <v>5829</v>
      </c>
      <c r="H5424" t="str">
        <f>"9499"</f>
        <v>9499</v>
      </c>
      <c r="I5424" t="s">
        <v>31</v>
      </c>
    </row>
    <row r="5425" spans="1:10" x14ac:dyDescent="0.3">
      <c r="A5425" t="str">
        <f>"26631130"</f>
        <v>26631130</v>
      </c>
      <c r="B5425" t="s">
        <v>10286</v>
      </c>
      <c r="C5425" t="str">
        <f t="shared" si="368"/>
        <v>706</v>
      </c>
      <c r="D5425" t="s">
        <v>28</v>
      </c>
      <c r="E5425" t="s">
        <v>52</v>
      </c>
      <c r="F5425" t="s">
        <v>612</v>
      </c>
      <c r="G5425" t="s">
        <v>10287</v>
      </c>
      <c r="H5425" t="str">
        <f>"90030"</f>
        <v>90030</v>
      </c>
      <c r="I5425" t="s">
        <v>1252</v>
      </c>
    </row>
    <row r="5426" spans="1:10" x14ac:dyDescent="0.3">
      <c r="A5426" t="str">
        <f>"27008673"</f>
        <v>27008673</v>
      </c>
      <c r="B5426" t="s">
        <v>10288</v>
      </c>
      <c r="C5426" t="str">
        <f t="shared" si="368"/>
        <v>706</v>
      </c>
      <c r="D5426" t="s">
        <v>28</v>
      </c>
      <c r="E5426" t="s">
        <v>29</v>
      </c>
      <c r="F5426" t="s">
        <v>38</v>
      </c>
      <c r="G5426" t="s">
        <v>10289</v>
      </c>
      <c r="H5426" t="str">
        <f>"9499"</f>
        <v>9499</v>
      </c>
      <c r="I5426" t="s">
        <v>31</v>
      </c>
    </row>
    <row r="5427" spans="1:10" x14ac:dyDescent="0.3">
      <c r="A5427" t="str">
        <f>"26626063"</f>
        <v>26626063</v>
      </c>
      <c r="B5427" t="s">
        <v>10290</v>
      </c>
      <c r="C5427" t="str">
        <f t="shared" si="368"/>
        <v>706</v>
      </c>
      <c r="D5427" t="s">
        <v>28</v>
      </c>
      <c r="E5427" t="s">
        <v>29</v>
      </c>
      <c r="F5427" t="s">
        <v>3480</v>
      </c>
      <c r="G5427" t="s">
        <v>10291</v>
      </c>
      <c r="H5427" t="str">
        <f>"9499"</f>
        <v>9499</v>
      </c>
      <c r="I5427" t="s">
        <v>31</v>
      </c>
    </row>
    <row r="5428" spans="1:10" x14ac:dyDescent="0.3">
      <c r="A5428" t="str">
        <f>"17211719"</f>
        <v>17211719</v>
      </c>
      <c r="B5428" t="s">
        <v>10292</v>
      </c>
      <c r="C5428" t="str">
        <f t="shared" si="368"/>
        <v>706</v>
      </c>
      <c r="D5428" t="s">
        <v>28</v>
      </c>
      <c r="E5428" t="s">
        <v>83</v>
      </c>
      <c r="F5428" t="s">
        <v>83</v>
      </c>
      <c r="G5428" t="s">
        <v>10293</v>
      </c>
      <c r="H5428" t="str">
        <f>"9499"</f>
        <v>9499</v>
      </c>
      <c r="I5428" t="s">
        <v>31</v>
      </c>
    </row>
    <row r="5429" spans="1:10" x14ac:dyDescent="0.3">
      <c r="A5429" t="str">
        <f>"22061045"</f>
        <v>22061045</v>
      </c>
      <c r="B5429" t="s">
        <v>10294</v>
      </c>
      <c r="C5429" t="str">
        <f t="shared" si="368"/>
        <v>706</v>
      </c>
      <c r="D5429" t="s">
        <v>28</v>
      </c>
      <c r="E5429" t="s">
        <v>23</v>
      </c>
      <c r="F5429" t="s">
        <v>23</v>
      </c>
      <c r="G5429" t="s">
        <v>10295</v>
      </c>
      <c r="H5429" t="str">
        <f>"9499"</f>
        <v>9499</v>
      </c>
      <c r="I5429" t="s">
        <v>31</v>
      </c>
    </row>
    <row r="5430" spans="1:10" x14ac:dyDescent="0.3">
      <c r="A5430" t="str">
        <f>"67727832"</f>
        <v>67727832</v>
      </c>
      <c r="B5430" t="s">
        <v>10296</v>
      </c>
      <c r="C5430" t="str">
        <f t="shared" si="368"/>
        <v>706</v>
      </c>
      <c r="D5430" t="s">
        <v>28</v>
      </c>
      <c r="E5430" t="s">
        <v>29</v>
      </c>
      <c r="F5430" t="s">
        <v>1121</v>
      </c>
      <c r="G5430" t="s">
        <v>10297</v>
      </c>
      <c r="H5430" t="str">
        <f>"9499"</f>
        <v>9499</v>
      </c>
      <c r="I5430" t="s">
        <v>31</v>
      </c>
    </row>
    <row r="5431" spans="1:10" x14ac:dyDescent="0.3">
      <c r="A5431" t="str">
        <f>"26569736"</f>
        <v>26569736</v>
      </c>
      <c r="B5431" t="s">
        <v>10298</v>
      </c>
      <c r="C5431" t="str">
        <f t="shared" si="368"/>
        <v>706</v>
      </c>
      <c r="D5431" t="s">
        <v>28</v>
      </c>
      <c r="E5431" t="s">
        <v>23</v>
      </c>
      <c r="F5431" t="s">
        <v>23</v>
      </c>
      <c r="G5431" t="s">
        <v>10299</v>
      </c>
      <c r="H5431" t="str">
        <f>"93120"</f>
        <v>93120</v>
      </c>
      <c r="I5431" t="s">
        <v>54</v>
      </c>
    </row>
    <row r="5432" spans="1:10" x14ac:dyDescent="0.3">
      <c r="A5432" t="str">
        <f>"22736166"</f>
        <v>22736166</v>
      </c>
      <c r="B5432" t="s">
        <v>10300</v>
      </c>
      <c r="C5432" t="str">
        <f t="shared" si="368"/>
        <v>706</v>
      </c>
      <c r="D5432" t="s">
        <v>28</v>
      </c>
      <c r="E5432" t="s">
        <v>29</v>
      </c>
      <c r="F5432" t="s">
        <v>45</v>
      </c>
      <c r="G5432" t="s">
        <v>10301</v>
      </c>
      <c r="H5432" t="str">
        <f>"9499"</f>
        <v>9499</v>
      </c>
      <c r="I5432" t="s">
        <v>31</v>
      </c>
    </row>
    <row r="5433" spans="1:10" x14ac:dyDescent="0.3">
      <c r="A5433" t="str">
        <f>"06925685"</f>
        <v>06925685</v>
      </c>
      <c r="B5433" t="s">
        <v>10302</v>
      </c>
      <c r="C5433" t="str">
        <f t="shared" si="368"/>
        <v>706</v>
      </c>
      <c r="D5433" t="s">
        <v>28</v>
      </c>
      <c r="E5433" t="s">
        <v>29</v>
      </c>
      <c r="F5433" t="s">
        <v>195</v>
      </c>
      <c r="G5433" t="s">
        <v>10303</v>
      </c>
      <c r="H5433" t="str">
        <f>"90010"</f>
        <v>90010</v>
      </c>
      <c r="I5433" t="s">
        <v>2014</v>
      </c>
    </row>
    <row r="5434" spans="1:10" x14ac:dyDescent="0.3">
      <c r="A5434" t="str">
        <f>"66597293"</f>
        <v>66597293</v>
      </c>
      <c r="B5434" t="s">
        <v>10304</v>
      </c>
      <c r="C5434" t="str">
        <f>"736"</f>
        <v>736</v>
      </c>
      <c r="D5434" t="s">
        <v>22</v>
      </c>
      <c r="E5434" t="s">
        <v>23</v>
      </c>
      <c r="F5434" t="s">
        <v>23</v>
      </c>
      <c r="G5434" t="s">
        <v>3873</v>
      </c>
      <c r="H5434" t="str">
        <f>"94120"</f>
        <v>94120</v>
      </c>
      <c r="I5434" t="s">
        <v>43</v>
      </c>
    </row>
    <row r="5435" spans="1:10" x14ac:dyDescent="0.3">
      <c r="A5435" t="str">
        <f>"08546631"</f>
        <v>08546631</v>
      </c>
      <c r="B5435" t="s">
        <v>10305</v>
      </c>
      <c r="C5435" t="str">
        <f t="shared" ref="C5435:C5444" si="369">"706"</f>
        <v>706</v>
      </c>
      <c r="D5435" t="s">
        <v>28</v>
      </c>
      <c r="E5435" t="s">
        <v>52</v>
      </c>
      <c r="F5435" t="s">
        <v>1625</v>
      </c>
      <c r="G5435" t="s">
        <v>10306</v>
      </c>
      <c r="H5435" t="str">
        <f>"93190"</f>
        <v>93190</v>
      </c>
      <c r="I5435" t="s">
        <v>59</v>
      </c>
    </row>
    <row r="5436" spans="1:10" x14ac:dyDescent="0.3">
      <c r="A5436" t="str">
        <f>"19558554"</f>
        <v>19558554</v>
      </c>
      <c r="B5436" t="s">
        <v>10307</v>
      </c>
      <c r="C5436" t="str">
        <f t="shared" si="369"/>
        <v>706</v>
      </c>
      <c r="D5436" t="s">
        <v>28</v>
      </c>
      <c r="E5436" t="s">
        <v>83</v>
      </c>
      <c r="F5436" t="s">
        <v>175</v>
      </c>
      <c r="G5436" t="s">
        <v>10308</v>
      </c>
      <c r="H5436" t="str">
        <f>"93120"</f>
        <v>93120</v>
      </c>
      <c r="I5436" t="s">
        <v>54</v>
      </c>
      <c r="J5436" t="s">
        <v>622</v>
      </c>
    </row>
    <row r="5437" spans="1:10" x14ac:dyDescent="0.3">
      <c r="A5437" t="str">
        <f>"03364496"</f>
        <v>03364496</v>
      </c>
      <c r="B5437" t="s">
        <v>10309</v>
      </c>
      <c r="C5437" t="str">
        <f t="shared" si="369"/>
        <v>706</v>
      </c>
      <c r="D5437" t="s">
        <v>28</v>
      </c>
      <c r="E5437" t="s">
        <v>83</v>
      </c>
      <c r="F5437" t="s">
        <v>473</v>
      </c>
      <c r="G5437" t="s">
        <v>10078</v>
      </c>
      <c r="H5437" t="str">
        <f>"9499"</f>
        <v>9499</v>
      </c>
      <c r="I5437" t="s">
        <v>31</v>
      </c>
    </row>
    <row r="5438" spans="1:10" x14ac:dyDescent="0.3">
      <c r="A5438" t="str">
        <f>"26552001"</f>
        <v>26552001</v>
      </c>
      <c r="B5438" t="s">
        <v>10310</v>
      </c>
      <c r="C5438" t="str">
        <f t="shared" si="369"/>
        <v>706</v>
      </c>
      <c r="D5438" t="s">
        <v>28</v>
      </c>
      <c r="E5438" t="s">
        <v>52</v>
      </c>
      <c r="F5438" t="s">
        <v>379</v>
      </c>
      <c r="G5438" t="s">
        <v>3940</v>
      </c>
      <c r="H5438" t="str">
        <f>"93110"</f>
        <v>93110</v>
      </c>
      <c r="I5438" t="s">
        <v>92</v>
      </c>
    </row>
    <row r="5439" spans="1:10" x14ac:dyDescent="0.3">
      <c r="A5439" t="str">
        <f>"04248431"</f>
        <v>04248431</v>
      </c>
      <c r="B5439" t="s">
        <v>10311</v>
      </c>
      <c r="C5439" t="str">
        <f t="shared" si="369"/>
        <v>706</v>
      </c>
      <c r="D5439" t="s">
        <v>28</v>
      </c>
      <c r="E5439" t="s">
        <v>23</v>
      </c>
      <c r="F5439" t="s">
        <v>107</v>
      </c>
      <c r="G5439" t="s">
        <v>10312</v>
      </c>
      <c r="H5439" t="str">
        <f>"9499"</f>
        <v>9499</v>
      </c>
      <c r="I5439" t="s">
        <v>31</v>
      </c>
    </row>
    <row r="5440" spans="1:10" x14ac:dyDescent="0.3">
      <c r="A5440" t="str">
        <f>"09483977"</f>
        <v>09483977</v>
      </c>
      <c r="B5440" t="s">
        <v>10313</v>
      </c>
      <c r="C5440" t="str">
        <f t="shared" si="369"/>
        <v>706</v>
      </c>
      <c r="D5440" t="s">
        <v>28</v>
      </c>
      <c r="E5440" t="s">
        <v>29</v>
      </c>
      <c r="F5440" t="s">
        <v>29</v>
      </c>
      <c r="G5440" t="s">
        <v>10314</v>
      </c>
      <c r="H5440" t="str">
        <f>"93190"</f>
        <v>93190</v>
      </c>
      <c r="I5440" t="s">
        <v>59</v>
      </c>
    </row>
    <row r="5441" spans="1:9" x14ac:dyDescent="0.3">
      <c r="A5441" t="str">
        <f>"22846883"</f>
        <v>22846883</v>
      </c>
      <c r="B5441" t="s">
        <v>10315</v>
      </c>
      <c r="C5441" t="str">
        <f t="shared" si="369"/>
        <v>706</v>
      </c>
      <c r="D5441" t="s">
        <v>28</v>
      </c>
      <c r="E5441" t="s">
        <v>23</v>
      </c>
      <c r="F5441" t="s">
        <v>23</v>
      </c>
      <c r="G5441" t="s">
        <v>10316</v>
      </c>
      <c r="H5441" t="str">
        <f>"93120"</f>
        <v>93120</v>
      </c>
      <c r="I5441" t="s">
        <v>54</v>
      </c>
    </row>
    <row r="5442" spans="1:9" x14ac:dyDescent="0.3">
      <c r="A5442" t="str">
        <f>"26600790"</f>
        <v>26600790</v>
      </c>
      <c r="B5442" t="s">
        <v>10317</v>
      </c>
      <c r="C5442" t="str">
        <f t="shared" si="369"/>
        <v>706</v>
      </c>
      <c r="D5442" t="s">
        <v>28</v>
      </c>
      <c r="E5442" t="s">
        <v>52</v>
      </c>
      <c r="F5442" t="s">
        <v>234</v>
      </c>
      <c r="G5442" t="s">
        <v>10318</v>
      </c>
      <c r="H5442" t="str">
        <f>"9499"</f>
        <v>9499</v>
      </c>
      <c r="I5442" t="s">
        <v>31</v>
      </c>
    </row>
    <row r="5443" spans="1:9" x14ac:dyDescent="0.3">
      <c r="A5443" t="str">
        <f>"06100911"</f>
        <v>06100911</v>
      </c>
      <c r="B5443" t="s">
        <v>10319</v>
      </c>
      <c r="C5443" t="str">
        <f t="shared" si="369"/>
        <v>706</v>
      </c>
      <c r="D5443" t="s">
        <v>28</v>
      </c>
      <c r="E5443" t="s">
        <v>52</v>
      </c>
      <c r="F5443" t="s">
        <v>52</v>
      </c>
      <c r="G5443" t="s">
        <v>10320</v>
      </c>
      <c r="H5443" t="str">
        <f>"93190"</f>
        <v>93190</v>
      </c>
      <c r="I5443" t="s">
        <v>59</v>
      </c>
    </row>
    <row r="5444" spans="1:9" x14ac:dyDescent="0.3">
      <c r="A5444" t="str">
        <f>"68898355"</f>
        <v>68898355</v>
      </c>
      <c r="B5444" t="s">
        <v>10321</v>
      </c>
      <c r="C5444" t="str">
        <f t="shared" si="369"/>
        <v>706</v>
      </c>
      <c r="D5444" t="s">
        <v>28</v>
      </c>
      <c r="E5444" t="s">
        <v>29</v>
      </c>
      <c r="F5444" t="s">
        <v>1121</v>
      </c>
      <c r="G5444" t="s">
        <v>10322</v>
      </c>
      <c r="H5444" t="str">
        <f>"931"</f>
        <v>931</v>
      </c>
      <c r="I5444" t="s">
        <v>26</v>
      </c>
    </row>
    <row r="5445" spans="1:9" x14ac:dyDescent="0.3">
      <c r="A5445" t="str">
        <f>"70975116"</f>
        <v>70975116</v>
      </c>
      <c r="B5445" t="s">
        <v>10323</v>
      </c>
      <c r="C5445" t="str">
        <f>"736"</f>
        <v>736</v>
      </c>
      <c r="D5445" t="s">
        <v>22</v>
      </c>
      <c r="E5445" t="s">
        <v>23</v>
      </c>
      <c r="F5445" t="s">
        <v>23</v>
      </c>
      <c r="G5445" t="s">
        <v>204</v>
      </c>
      <c r="H5445" t="str">
        <f>"93190"</f>
        <v>93190</v>
      </c>
      <c r="I5445" t="s">
        <v>59</v>
      </c>
    </row>
    <row r="5446" spans="1:9" x14ac:dyDescent="0.3">
      <c r="A5446" t="str">
        <f>"05379318"</f>
        <v>05379318</v>
      </c>
      <c r="B5446" t="s">
        <v>10324</v>
      </c>
      <c r="C5446" t="str">
        <f>"706"</f>
        <v>706</v>
      </c>
      <c r="D5446" t="s">
        <v>28</v>
      </c>
      <c r="E5446" t="s">
        <v>29</v>
      </c>
      <c r="F5446" t="s">
        <v>653</v>
      </c>
      <c r="G5446" t="s">
        <v>5878</v>
      </c>
      <c r="H5446" t="str">
        <f>"9319"</f>
        <v>9319</v>
      </c>
      <c r="I5446" t="s">
        <v>59</v>
      </c>
    </row>
    <row r="5447" spans="1:9" x14ac:dyDescent="0.3">
      <c r="A5447" t="str">
        <f>"22884653"</f>
        <v>22884653</v>
      </c>
      <c r="B5447" t="s">
        <v>10325</v>
      </c>
      <c r="C5447" t="str">
        <f>"706"</f>
        <v>706</v>
      </c>
      <c r="D5447" t="s">
        <v>28</v>
      </c>
      <c r="E5447" t="s">
        <v>29</v>
      </c>
      <c r="F5447" t="s">
        <v>195</v>
      </c>
      <c r="G5447" t="s">
        <v>2090</v>
      </c>
      <c r="H5447" t="str">
        <f>"94999"</f>
        <v>94999</v>
      </c>
      <c r="I5447" t="s">
        <v>202</v>
      </c>
    </row>
    <row r="5448" spans="1:9" x14ac:dyDescent="0.3">
      <c r="A5448" t="str">
        <f>"19400446"</f>
        <v>19400446</v>
      </c>
      <c r="B5448" t="s">
        <v>10326</v>
      </c>
      <c r="C5448" t="str">
        <f>"118"</f>
        <v>118</v>
      </c>
      <c r="D5448" t="s">
        <v>337</v>
      </c>
      <c r="E5448" t="s">
        <v>52</v>
      </c>
      <c r="F5448" t="s">
        <v>2736</v>
      </c>
      <c r="G5448" t="s">
        <v>10327</v>
      </c>
      <c r="H5448" t="str">
        <f>"94996"</f>
        <v>94996</v>
      </c>
      <c r="I5448" t="s">
        <v>47</v>
      </c>
    </row>
    <row r="5449" spans="1:9" x14ac:dyDescent="0.3">
      <c r="A5449" t="str">
        <f>"70876185"</f>
        <v>70876185</v>
      </c>
      <c r="B5449" t="s">
        <v>10328</v>
      </c>
      <c r="C5449" t="str">
        <f t="shared" ref="C5449:C5470" si="370">"706"</f>
        <v>706</v>
      </c>
      <c r="D5449" t="s">
        <v>28</v>
      </c>
      <c r="E5449" t="s">
        <v>23</v>
      </c>
      <c r="F5449" t="s">
        <v>24</v>
      </c>
      <c r="G5449" t="s">
        <v>10329</v>
      </c>
      <c r="H5449" t="str">
        <f>"9499"</f>
        <v>9499</v>
      </c>
      <c r="I5449" t="s">
        <v>31</v>
      </c>
    </row>
    <row r="5450" spans="1:9" x14ac:dyDescent="0.3">
      <c r="A5450" t="str">
        <f>"22740538"</f>
        <v>22740538</v>
      </c>
      <c r="B5450" t="s">
        <v>10330</v>
      </c>
      <c r="C5450" t="str">
        <f t="shared" si="370"/>
        <v>706</v>
      </c>
      <c r="D5450" t="s">
        <v>28</v>
      </c>
      <c r="E5450" t="s">
        <v>52</v>
      </c>
      <c r="F5450" t="s">
        <v>951</v>
      </c>
      <c r="G5450" t="s">
        <v>8687</v>
      </c>
      <c r="H5450" t="str">
        <f>"94999"</f>
        <v>94999</v>
      </c>
      <c r="I5450" t="s">
        <v>202</v>
      </c>
    </row>
    <row r="5451" spans="1:9" x14ac:dyDescent="0.3">
      <c r="A5451" t="str">
        <f>"26609789"</f>
        <v>26609789</v>
      </c>
      <c r="B5451" t="s">
        <v>10331</v>
      </c>
      <c r="C5451" t="str">
        <f t="shared" si="370"/>
        <v>706</v>
      </c>
      <c r="D5451" t="s">
        <v>28</v>
      </c>
      <c r="E5451" t="s">
        <v>52</v>
      </c>
      <c r="F5451" t="s">
        <v>65</v>
      </c>
      <c r="G5451" t="s">
        <v>10332</v>
      </c>
      <c r="H5451" t="str">
        <f>"9499"</f>
        <v>9499</v>
      </c>
      <c r="I5451" t="s">
        <v>31</v>
      </c>
    </row>
    <row r="5452" spans="1:9" x14ac:dyDescent="0.3">
      <c r="A5452" t="str">
        <f>"04927141"</f>
        <v>04927141</v>
      </c>
      <c r="B5452" t="s">
        <v>10333</v>
      </c>
      <c r="C5452" t="str">
        <f t="shared" si="370"/>
        <v>706</v>
      </c>
      <c r="D5452" t="s">
        <v>28</v>
      </c>
      <c r="E5452" t="s">
        <v>23</v>
      </c>
      <c r="F5452" t="s">
        <v>3526</v>
      </c>
      <c r="G5452" t="s">
        <v>10334</v>
      </c>
      <c r="H5452" t="str">
        <f>"9499"</f>
        <v>9499</v>
      </c>
      <c r="I5452" t="s">
        <v>31</v>
      </c>
    </row>
    <row r="5453" spans="1:9" x14ac:dyDescent="0.3">
      <c r="A5453" t="str">
        <f>"22834206"</f>
        <v>22834206</v>
      </c>
      <c r="B5453" t="s">
        <v>10335</v>
      </c>
      <c r="C5453" t="str">
        <f t="shared" si="370"/>
        <v>706</v>
      </c>
      <c r="D5453" t="s">
        <v>28</v>
      </c>
      <c r="E5453" t="s">
        <v>23</v>
      </c>
      <c r="F5453" t="s">
        <v>3526</v>
      </c>
      <c r="G5453" t="s">
        <v>10336</v>
      </c>
      <c r="H5453" t="str">
        <f>"9499"</f>
        <v>9499</v>
      </c>
      <c r="I5453" t="s">
        <v>31</v>
      </c>
    </row>
    <row r="5454" spans="1:9" x14ac:dyDescent="0.3">
      <c r="A5454" t="str">
        <f>"08814490"</f>
        <v>08814490</v>
      </c>
      <c r="B5454" t="s">
        <v>10337</v>
      </c>
      <c r="C5454" t="str">
        <f t="shared" si="370"/>
        <v>706</v>
      </c>
      <c r="D5454" t="s">
        <v>28</v>
      </c>
      <c r="E5454" t="s">
        <v>83</v>
      </c>
      <c r="F5454" t="s">
        <v>83</v>
      </c>
      <c r="G5454" t="s">
        <v>9190</v>
      </c>
      <c r="H5454" t="str">
        <f>"9499"</f>
        <v>9499</v>
      </c>
      <c r="I5454" t="s">
        <v>31</v>
      </c>
    </row>
    <row r="5455" spans="1:9" x14ac:dyDescent="0.3">
      <c r="A5455" t="str">
        <f>"09822500"</f>
        <v>09822500</v>
      </c>
      <c r="B5455" t="s">
        <v>10338</v>
      </c>
      <c r="C5455" t="str">
        <f t="shared" si="370"/>
        <v>706</v>
      </c>
      <c r="D5455" t="s">
        <v>28</v>
      </c>
      <c r="E5455" t="s">
        <v>52</v>
      </c>
      <c r="F5455" t="s">
        <v>52</v>
      </c>
      <c r="G5455" t="s">
        <v>53</v>
      </c>
      <c r="H5455" t="str">
        <f>"93190"</f>
        <v>93190</v>
      </c>
      <c r="I5455" t="s">
        <v>59</v>
      </c>
    </row>
    <row r="5456" spans="1:9" x14ac:dyDescent="0.3">
      <c r="A5456" t="str">
        <f>"22757627"</f>
        <v>22757627</v>
      </c>
      <c r="B5456" t="s">
        <v>10339</v>
      </c>
      <c r="C5456" t="str">
        <f t="shared" si="370"/>
        <v>706</v>
      </c>
      <c r="D5456" t="s">
        <v>28</v>
      </c>
      <c r="E5456" t="s">
        <v>52</v>
      </c>
      <c r="F5456" t="s">
        <v>113</v>
      </c>
      <c r="G5456" t="s">
        <v>570</v>
      </c>
      <c r="H5456" t="str">
        <f>"93120"</f>
        <v>93120</v>
      </c>
      <c r="I5456" t="s">
        <v>54</v>
      </c>
    </row>
    <row r="5457" spans="1:9" x14ac:dyDescent="0.3">
      <c r="A5457" t="str">
        <f>"61715913"</f>
        <v>61715913</v>
      </c>
      <c r="B5457" t="s">
        <v>10340</v>
      </c>
      <c r="C5457" t="str">
        <f t="shared" si="370"/>
        <v>706</v>
      </c>
      <c r="D5457" t="s">
        <v>28</v>
      </c>
      <c r="E5457" t="s">
        <v>23</v>
      </c>
      <c r="F5457" t="s">
        <v>23</v>
      </c>
      <c r="G5457" t="s">
        <v>204</v>
      </c>
      <c r="H5457" t="str">
        <f>"93120"</f>
        <v>93120</v>
      </c>
      <c r="I5457" t="s">
        <v>54</v>
      </c>
    </row>
    <row r="5458" spans="1:9" x14ac:dyDescent="0.3">
      <c r="A5458" t="str">
        <f>"09049801"</f>
        <v>09049801</v>
      </c>
      <c r="B5458" t="s">
        <v>10341</v>
      </c>
      <c r="C5458" t="str">
        <f t="shared" si="370"/>
        <v>706</v>
      </c>
      <c r="D5458" t="s">
        <v>28</v>
      </c>
      <c r="E5458" t="s">
        <v>23</v>
      </c>
      <c r="F5458" t="s">
        <v>24</v>
      </c>
      <c r="G5458" t="s">
        <v>10342</v>
      </c>
      <c r="H5458" t="str">
        <f>"93120"</f>
        <v>93120</v>
      </c>
      <c r="I5458" t="s">
        <v>54</v>
      </c>
    </row>
    <row r="5459" spans="1:9" x14ac:dyDescent="0.3">
      <c r="A5459" t="str">
        <f>"21850445"</f>
        <v>21850445</v>
      </c>
      <c r="B5459" t="s">
        <v>10343</v>
      </c>
      <c r="C5459" t="str">
        <f t="shared" si="370"/>
        <v>706</v>
      </c>
      <c r="D5459" t="s">
        <v>28</v>
      </c>
      <c r="E5459" t="s">
        <v>29</v>
      </c>
      <c r="F5459" t="s">
        <v>1266</v>
      </c>
      <c r="G5459" t="s">
        <v>10344</v>
      </c>
      <c r="H5459" t="str">
        <f>"93190"</f>
        <v>93190</v>
      </c>
      <c r="I5459" t="s">
        <v>59</v>
      </c>
    </row>
    <row r="5460" spans="1:9" x14ac:dyDescent="0.3">
      <c r="A5460" t="str">
        <f>"19858124"</f>
        <v>19858124</v>
      </c>
      <c r="B5460" t="s">
        <v>10345</v>
      </c>
      <c r="C5460" t="str">
        <f t="shared" si="370"/>
        <v>706</v>
      </c>
      <c r="D5460" t="s">
        <v>28</v>
      </c>
      <c r="E5460" t="s">
        <v>29</v>
      </c>
      <c r="F5460" t="s">
        <v>1266</v>
      </c>
      <c r="G5460" t="s">
        <v>10346</v>
      </c>
      <c r="H5460" t="str">
        <f>"93120"</f>
        <v>93120</v>
      </c>
      <c r="I5460" t="s">
        <v>54</v>
      </c>
    </row>
    <row r="5461" spans="1:9" x14ac:dyDescent="0.3">
      <c r="A5461" t="str">
        <f>"65270061"</f>
        <v>65270061</v>
      </c>
      <c r="B5461" t="s">
        <v>10347</v>
      </c>
      <c r="C5461" t="str">
        <f t="shared" si="370"/>
        <v>706</v>
      </c>
      <c r="D5461" t="s">
        <v>28</v>
      </c>
      <c r="E5461" t="s">
        <v>83</v>
      </c>
      <c r="F5461" t="s">
        <v>1042</v>
      </c>
      <c r="G5461" t="s">
        <v>10348</v>
      </c>
      <c r="H5461" t="str">
        <f>"9499"</f>
        <v>9499</v>
      </c>
      <c r="I5461" t="s">
        <v>31</v>
      </c>
    </row>
    <row r="5462" spans="1:9" x14ac:dyDescent="0.3">
      <c r="A5462" t="str">
        <f>"63415704"</f>
        <v>63415704</v>
      </c>
      <c r="B5462" t="s">
        <v>10349</v>
      </c>
      <c r="C5462" t="str">
        <f t="shared" si="370"/>
        <v>706</v>
      </c>
      <c r="D5462" t="s">
        <v>28</v>
      </c>
      <c r="E5462" t="s">
        <v>83</v>
      </c>
      <c r="F5462" t="s">
        <v>873</v>
      </c>
      <c r="G5462" t="s">
        <v>10350</v>
      </c>
      <c r="H5462" t="str">
        <f>"9499"</f>
        <v>9499</v>
      </c>
      <c r="I5462" t="s">
        <v>31</v>
      </c>
    </row>
    <row r="5463" spans="1:9" x14ac:dyDescent="0.3">
      <c r="A5463" t="str">
        <f>"64439887"</f>
        <v>64439887</v>
      </c>
      <c r="B5463" t="s">
        <v>10351</v>
      </c>
      <c r="C5463" t="str">
        <f t="shared" si="370"/>
        <v>706</v>
      </c>
      <c r="D5463" t="s">
        <v>28</v>
      </c>
      <c r="E5463" t="s">
        <v>83</v>
      </c>
      <c r="F5463" t="s">
        <v>944</v>
      </c>
      <c r="G5463" t="s">
        <v>10352</v>
      </c>
      <c r="H5463" t="str">
        <f>"931"</f>
        <v>931</v>
      </c>
      <c r="I5463" t="s">
        <v>26</v>
      </c>
    </row>
    <row r="5464" spans="1:9" x14ac:dyDescent="0.3">
      <c r="A5464" t="str">
        <f>"65765982"</f>
        <v>65765982</v>
      </c>
      <c r="B5464" t="s">
        <v>10353</v>
      </c>
      <c r="C5464" t="str">
        <f t="shared" si="370"/>
        <v>706</v>
      </c>
      <c r="D5464" t="s">
        <v>28</v>
      </c>
      <c r="E5464" t="s">
        <v>83</v>
      </c>
      <c r="F5464" t="s">
        <v>873</v>
      </c>
      <c r="G5464" t="s">
        <v>4100</v>
      </c>
      <c r="H5464" t="str">
        <f>"93120"</f>
        <v>93120</v>
      </c>
      <c r="I5464" t="s">
        <v>54</v>
      </c>
    </row>
    <row r="5465" spans="1:9" x14ac:dyDescent="0.3">
      <c r="A5465" t="str">
        <f>"26529793"</f>
        <v>26529793</v>
      </c>
      <c r="B5465" t="s">
        <v>10354</v>
      </c>
      <c r="C5465" t="str">
        <f t="shared" si="370"/>
        <v>706</v>
      </c>
      <c r="D5465" t="s">
        <v>28</v>
      </c>
      <c r="E5465" t="s">
        <v>83</v>
      </c>
      <c r="F5465" t="s">
        <v>8507</v>
      </c>
      <c r="G5465" t="s">
        <v>10355</v>
      </c>
      <c r="H5465" t="str">
        <f>"9499"</f>
        <v>9499</v>
      </c>
      <c r="I5465" t="s">
        <v>31</v>
      </c>
    </row>
    <row r="5466" spans="1:9" x14ac:dyDescent="0.3">
      <c r="A5466" t="str">
        <f>"49158023"</f>
        <v>49158023</v>
      </c>
      <c r="B5466" t="s">
        <v>10356</v>
      </c>
      <c r="C5466" t="str">
        <f t="shared" si="370"/>
        <v>706</v>
      </c>
      <c r="D5466" t="s">
        <v>28</v>
      </c>
      <c r="E5466" t="s">
        <v>23</v>
      </c>
      <c r="F5466" t="s">
        <v>23</v>
      </c>
      <c r="G5466" t="s">
        <v>204</v>
      </c>
      <c r="H5466" t="str">
        <f>"93120"</f>
        <v>93120</v>
      </c>
      <c r="I5466" t="s">
        <v>54</v>
      </c>
    </row>
    <row r="5467" spans="1:9" x14ac:dyDescent="0.3">
      <c r="A5467" t="str">
        <f>"68728239"</f>
        <v>68728239</v>
      </c>
      <c r="B5467" t="s">
        <v>10357</v>
      </c>
      <c r="C5467" t="str">
        <f t="shared" si="370"/>
        <v>706</v>
      </c>
      <c r="D5467" t="s">
        <v>28</v>
      </c>
      <c r="E5467" t="s">
        <v>52</v>
      </c>
      <c r="F5467" t="s">
        <v>52</v>
      </c>
      <c r="G5467" t="s">
        <v>10358</v>
      </c>
      <c r="H5467" t="str">
        <f>"93120"</f>
        <v>93120</v>
      </c>
      <c r="I5467" t="s">
        <v>54</v>
      </c>
    </row>
    <row r="5468" spans="1:9" x14ac:dyDescent="0.3">
      <c r="A5468" t="str">
        <f>"19613873"</f>
        <v>19613873</v>
      </c>
      <c r="B5468" t="s">
        <v>10359</v>
      </c>
      <c r="C5468" t="str">
        <f t="shared" si="370"/>
        <v>706</v>
      </c>
      <c r="D5468" t="s">
        <v>28</v>
      </c>
      <c r="E5468" t="s">
        <v>52</v>
      </c>
      <c r="F5468" t="s">
        <v>52</v>
      </c>
      <c r="G5468" t="s">
        <v>769</v>
      </c>
      <c r="H5468" t="str">
        <f>"9499"</f>
        <v>9499</v>
      </c>
      <c r="I5468" t="s">
        <v>31</v>
      </c>
    </row>
    <row r="5469" spans="1:9" x14ac:dyDescent="0.3">
      <c r="A5469" t="str">
        <f>"06877630"</f>
        <v>06877630</v>
      </c>
      <c r="B5469" t="s">
        <v>10360</v>
      </c>
      <c r="C5469" t="str">
        <f t="shared" si="370"/>
        <v>706</v>
      </c>
      <c r="D5469" t="s">
        <v>28</v>
      </c>
      <c r="E5469" t="s">
        <v>23</v>
      </c>
      <c r="F5469" t="s">
        <v>23</v>
      </c>
      <c r="G5469" t="s">
        <v>10361</v>
      </c>
      <c r="H5469" t="str">
        <f>"9499"</f>
        <v>9499</v>
      </c>
      <c r="I5469" t="s">
        <v>31</v>
      </c>
    </row>
    <row r="5470" spans="1:9" x14ac:dyDescent="0.3">
      <c r="A5470" t="str">
        <f>"08463654"</f>
        <v>08463654</v>
      </c>
      <c r="B5470" t="s">
        <v>10362</v>
      </c>
      <c r="C5470" t="str">
        <f t="shared" si="370"/>
        <v>706</v>
      </c>
      <c r="D5470" t="s">
        <v>28</v>
      </c>
      <c r="E5470" t="s">
        <v>29</v>
      </c>
      <c r="F5470" t="s">
        <v>195</v>
      </c>
      <c r="G5470" t="s">
        <v>10363</v>
      </c>
      <c r="H5470" t="str">
        <f>"9499"</f>
        <v>9499</v>
      </c>
      <c r="I5470" t="s">
        <v>31</v>
      </c>
    </row>
    <row r="5471" spans="1:9" x14ac:dyDescent="0.3">
      <c r="A5471" t="str">
        <f>"06517200"</f>
        <v>06517200</v>
      </c>
      <c r="B5471" t="s">
        <v>10364</v>
      </c>
      <c r="C5471" t="str">
        <f t="shared" ref="C5471:C5482" si="371">"736"</f>
        <v>736</v>
      </c>
      <c r="D5471" t="s">
        <v>22</v>
      </c>
      <c r="E5471" t="s">
        <v>83</v>
      </c>
      <c r="F5471" t="s">
        <v>183</v>
      </c>
      <c r="G5471" t="s">
        <v>2214</v>
      </c>
      <c r="H5471" t="str">
        <f>"9311"</f>
        <v>9311</v>
      </c>
      <c r="I5471" t="s">
        <v>92</v>
      </c>
    </row>
    <row r="5472" spans="1:9" x14ac:dyDescent="0.3">
      <c r="A5472" t="str">
        <f>"72553251"</f>
        <v>72553251</v>
      </c>
      <c r="B5472" t="s">
        <v>10365</v>
      </c>
      <c r="C5472" t="str">
        <f t="shared" si="371"/>
        <v>736</v>
      </c>
      <c r="D5472" t="s">
        <v>22</v>
      </c>
      <c r="E5472" t="s">
        <v>23</v>
      </c>
      <c r="F5472" t="s">
        <v>1492</v>
      </c>
      <c r="G5472" t="s">
        <v>7860</v>
      </c>
      <c r="H5472" t="str">
        <f>"93110"</f>
        <v>93110</v>
      </c>
      <c r="I5472" t="s">
        <v>92</v>
      </c>
    </row>
    <row r="5473" spans="1:20" x14ac:dyDescent="0.3">
      <c r="A5473" t="str">
        <f>"68730373"</f>
        <v>68730373</v>
      </c>
      <c r="B5473" t="s">
        <v>10366</v>
      </c>
      <c r="C5473" t="str">
        <f t="shared" si="371"/>
        <v>736</v>
      </c>
      <c r="D5473" t="s">
        <v>22</v>
      </c>
      <c r="E5473" t="s">
        <v>23</v>
      </c>
      <c r="F5473" t="s">
        <v>975</v>
      </c>
      <c r="G5473" t="s">
        <v>7775</v>
      </c>
      <c r="H5473" t="str">
        <f>"93110"</f>
        <v>93110</v>
      </c>
      <c r="I5473" t="s">
        <v>92</v>
      </c>
    </row>
    <row r="5474" spans="1:20" x14ac:dyDescent="0.3">
      <c r="A5474" t="str">
        <f>"70914494"</f>
        <v>70914494</v>
      </c>
      <c r="B5474" t="s">
        <v>10367</v>
      </c>
      <c r="C5474" t="str">
        <f t="shared" si="371"/>
        <v>736</v>
      </c>
      <c r="D5474" t="s">
        <v>22</v>
      </c>
      <c r="E5474" t="s">
        <v>23</v>
      </c>
      <c r="F5474" t="s">
        <v>24</v>
      </c>
      <c r="G5474" t="s">
        <v>9590</v>
      </c>
      <c r="H5474" t="str">
        <f>"93110"</f>
        <v>93110</v>
      </c>
      <c r="I5474" t="s">
        <v>92</v>
      </c>
    </row>
    <row r="5475" spans="1:20" x14ac:dyDescent="0.3">
      <c r="A5475" t="str">
        <f>"72020911"</f>
        <v>72020911</v>
      </c>
      <c r="B5475" t="s">
        <v>10368</v>
      </c>
      <c r="C5475" t="str">
        <f t="shared" si="371"/>
        <v>736</v>
      </c>
      <c r="D5475" t="s">
        <v>22</v>
      </c>
      <c r="E5475" t="s">
        <v>29</v>
      </c>
      <c r="F5475" t="s">
        <v>38</v>
      </c>
      <c r="G5475" t="s">
        <v>5934</v>
      </c>
      <c r="H5475" t="str">
        <f>"93110"</f>
        <v>93110</v>
      </c>
      <c r="I5475" t="s">
        <v>92</v>
      </c>
    </row>
    <row r="5476" spans="1:20" x14ac:dyDescent="0.3">
      <c r="A5476" t="str">
        <f>"71187952"</f>
        <v>71187952</v>
      </c>
      <c r="B5476" t="s">
        <v>10369</v>
      </c>
      <c r="C5476" t="str">
        <f t="shared" si="371"/>
        <v>736</v>
      </c>
      <c r="D5476" t="s">
        <v>22</v>
      </c>
      <c r="E5476" t="s">
        <v>29</v>
      </c>
      <c r="F5476" t="s">
        <v>29</v>
      </c>
      <c r="G5476" t="s">
        <v>3917</v>
      </c>
      <c r="H5476" t="str">
        <f>"93110"</f>
        <v>93110</v>
      </c>
      <c r="I5476" t="s">
        <v>92</v>
      </c>
    </row>
    <row r="5477" spans="1:20" x14ac:dyDescent="0.3">
      <c r="A5477" t="str">
        <f>"05572843"</f>
        <v>05572843</v>
      </c>
      <c r="B5477" t="s">
        <v>10370</v>
      </c>
      <c r="C5477" t="str">
        <f t="shared" si="371"/>
        <v>736</v>
      </c>
      <c r="D5477" t="s">
        <v>22</v>
      </c>
      <c r="E5477" t="s">
        <v>29</v>
      </c>
      <c r="F5477" t="s">
        <v>29</v>
      </c>
      <c r="G5477" t="s">
        <v>9401</v>
      </c>
      <c r="H5477" t="str">
        <f>"93120"</f>
        <v>93120</v>
      </c>
      <c r="I5477" t="s">
        <v>54</v>
      </c>
    </row>
    <row r="5478" spans="1:20" x14ac:dyDescent="0.3">
      <c r="A5478" t="str">
        <f>"08171718"</f>
        <v>08171718</v>
      </c>
      <c r="B5478" t="s">
        <v>10371</v>
      </c>
      <c r="C5478" t="str">
        <f t="shared" si="371"/>
        <v>736</v>
      </c>
      <c r="D5478" t="s">
        <v>22</v>
      </c>
      <c r="E5478" t="s">
        <v>52</v>
      </c>
      <c r="F5478" t="s">
        <v>113</v>
      </c>
      <c r="G5478" t="s">
        <v>3976</v>
      </c>
      <c r="H5478" t="str">
        <f>"93110"</f>
        <v>93110</v>
      </c>
      <c r="I5478" t="s">
        <v>92</v>
      </c>
    </row>
    <row r="5479" spans="1:20" x14ac:dyDescent="0.3">
      <c r="A5479" t="str">
        <f>"75038544"</f>
        <v>75038544</v>
      </c>
      <c r="B5479" t="s">
        <v>10372</v>
      </c>
      <c r="C5479" t="str">
        <f t="shared" si="371"/>
        <v>736</v>
      </c>
      <c r="D5479" t="s">
        <v>22</v>
      </c>
      <c r="E5479" t="s">
        <v>23</v>
      </c>
      <c r="F5479" t="s">
        <v>24</v>
      </c>
      <c r="G5479" t="s">
        <v>7908</v>
      </c>
      <c r="H5479" t="str">
        <f>"85510"</f>
        <v>85510</v>
      </c>
      <c r="I5479" t="s">
        <v>759</v>
      </c>
    </row>
    <row r="5480" spans="1:20" x14ac:dyDescent="0.3">
      <c r="A5480" t="str">
        <f>"75138930"</f>
        <v>75138930</v>
      </c>
      <c r="B5480" t="s">
        <v>10373</v>
      </c>
      <c r="C5480" t="str">
        <f t="shared" si="371"/>
        <v>736</v>
      </c>
      <c r="D5480" t="s">
        <v>22</v>
      </c>
      <c r="E5480" t="s">
        <v>29</v>
      </c>
      <c r="F5480" t="s">
        <v>195</v>
      </c>
      <c r="G5480" t="s">
        <v>10374</v>
      </c>
      <c r="H5480" t="str">
        <f>"85510"</f>
        <v>85510</v>
      </c>
      <c r="I5480" t="s">
        <v>759</v>
      </c>
    </row>
    <row r="5481" spans="1:20" x14ac:dyDescent="0.3">
      <c r="A5481" t="str">
        <f>"70935742"</f>
        <v>70935742</v>
      </c>
      <c r="B5481" t="s">
        <v>10375</v>
      </c>
      <c r="C5481" t="str">
        <f t="shared" si="371"/>
        <v>736</v>
      </c>
      <c r="D5481" t="s">
        <v>22</v>
      </c>
      <c r="E5481" t="s">
        <v>23</v>
      </c>
      <c r="F5481" t="s">
        <v>107</v>
      </c>
      <c r="G5481" t="s">
        <v>9596</v>
      </c>
      <c r="H5481" t="str">
        <f>"85510"</f>
        <v>85510</v>
      </c>
      <c r="I5481" t="s">
        <v>759</v>
      </c>
    </row>
    <row r="5482" spans="1:20" x14ac:dyDescent="0.3">
      <c r="A5482" t="str">
        <f>"49156951"</f>
        <v>49156951</v>
      </c>
      <c r="B5482" t="s">
        <v>10376</v>
      </c>
      <c r="C5482" t="str">
        <f t="shared" si="371"/>
        <v>736</v>
      </c>
      <c r="D5482" t="s">
        <v>22</v>
      </c>
      <c r="E5482" t="s">
        <v>23</v>
      </c>
      <c r="F5482" t="s">
        <v>23</v>
      </c>
      <c r="G5482" t="s">
        <v>6963</v>
      </c>
      <c r="H5482" t="str">
        <f>"93110"</f>
        <v>93110</v>
      </c>
      <c r="I5482" t="s">
        <v>92</v>
      </c>
    </row>
    <row r="5483" spans="1:20" x14ac:dyDescent="0.3">
      <c r="A5483" t="str">
        <f>"19821344"</f>
        <v>19821344</v>
      </c>
      <c r="B5483" t="s">
        <v>10377</v>
      </c>
      <c r="C5483" t="str">
        <f>"706"</f>
        <v>706</v>
      </c>
      <c r="D5483" t="s">
        <v>28</v>
      </c>
      <c r="E5483" t="s">
        <v>23</v>
      </c>
      <c r="F5483" t="s">
        <v>23</v>
      </c>
      <c r="G5483" t="s">
        <v>10378</v>
      </c>
      <c r="H5483" t="str">
        <f>"9499"</f>
        <v>9499</v>
      </c>
      <c r="I5483" t="s">
        <v>31</v>
      </c>
    </row>
    <row r="5484" spans="1:20" x14ac:dyDescent="0.3">
      <c r="A5484" t="str">
        <f>"22897275"</f>
        <v>22897275</v>
      </c>
      <c r="B5484" t="s">
        <v>10379</v>
      </c>
      <c r="C5484" t="str">
        <f>"706"</f>
        <v>706</v>
      </c>
      <c r="D5484" t="s">
        <v>28</v>
      </c>
      <c r="E5484" t="s">
        <v>29</v>
      </c>
      <c r="F5484" t="s">
        <v>775</v>
      </c>
      <c r="G5484" t="s">
        <v>10380</v>
      </c>
      <c r="H5484" t="str">
        <f>"9499"</f>
        <v>9499</v>
      </c>
      <c r="I5484" t="s">
        <v>31</v>
      </c>
    </row>
    <row r="5485" spans="1:20" x14ac:dyDescent="0.3">
      <c r="A5485" t="str">
        <f>"22901361"</f>
        <v>22901361</v>
      </c>
      <c r="B5485" t="s">
        <v>10381</v>
      </c>
      <c r="C5485" t="str">
        <f>"706"</f>
        <v>706</v>
      </c>
      <c r="D5485" t="s">
        <v>28</v>
      </c>
      <c r="E5485" t="s">
        <v>52</v>
      </c>
      <c r="F5485" t="s">
        <v>927</v>
      </c>
      <c r="G5485" t="s">
        <v>5052</v>
      </c>
      <c r="H5485" t="str">
        <f>"9499"</f>
        <v>9499</v>
      </c>
      <c r="I5485" t="s">
        <v>31</v>
      </c>
    </row>
    <row r="5486" spans="1:20" x14ac:dyDescent="0.3">
      <c r="A5486" t="str">
        <f>"26587262"</f>
        <v>26587262</v>
      </c>
      <c r="B5486" t="s">
        <v>10382</v>
      </c>
      <c r="C5486" t="str">
        <f>"706"</f>
        <v>706</v>
      </c>
      <c r="D5486" t="s">
        <v>28</v>
      </c>
      <c r="E5486" t="s">
        <v>83</v>
      </c>
      <c r="F5486" t="s">
        <v>83</v>
      </c>
      <c r="G5486" t="s">
        <v>10383</v>
      </c>
      <c r="H5486" t="str">
        <f>"9499"</f>
        <v>9499</v>
      </c>
      <c r="I5486" t="s">
        <v>31</v>
      </c>
    </row>
    <row r="5487" spans="1:20" x14ac:dyDescent="0.3">
      <c r="A5487" t="str">
        <f>"29232872"</f>
        <v>29232872</v>
      </c>
      <c r="B5487" t="s">
        <v>10384</v>
      </c>
      <c r="C5487" t="str">
        <f>"141"</f>
        <v>141</v>
      </c>
      <c r="D5487" t="s">
        <v>112</v>
      </c>
      <c r="E5487" t="s">
        <v>52</v>
      </c>
      <c r="F5487" t="s">
        <v>864</v>
      </c>
      <c r="G5487" t="s">
        <v>10385</v>
      </c>
      <c r="H5487" t="str">
        <f>"016"</f>
        <v>016</v>
      </c>
      <c r="I5487" t="s">
        <v>2350</v>
      </c>
      <c r="J5487" t="s">
        <v>258</v>
      </c>
      <c r="K5487" t="s">
        <v>2267</v>
      </c>
      <c r="L5487" t="s">
        <v>902</v>
      </c>
      <c r="M5487" t="s">
        <v>237</v>
      </c>
      <c r="N5487" t="s">
        <v>424</v>
      </c>
      <c r="O5487" t="s">
        <v>146</v>
      </c>
      <c r="P5487" t="s">
        <v>10386</v>
      </c>
      <c r="Q5487" t="s">
        <v>4428</v>
      </c>
      <c r="R5487" t="s">
        <v>4656</v>
      </c>
      <c r="S5487" t="s">
        <v>116</v>
      </c>
      <c r="T5487" t="s">
        <v>126</v>
      </c>
    </row>
    <row r="5488" spans="1:20" x14ac:dyDescent="0.3">
      <c r="A5488" t="str">
        <f>"47934883"</f>
        <v>47934883</v>
      </c>
      <c r="B5488" t="s">
        <v>10387</v>
      </c>
      <c r="C5488" t="str">
        <f t="shared" ref="C5488:C5533" si="372">"706"</f>
        <v>706</v>
      </c>
      <c r="D5488" t="s">
        <v>28</v>
      </c>
      <c r="E5488" t="s">
        <v>83</v>
      </c>
      <c r="F5488" t="s">
        <v>83</v>
      </c>
      <c r="G5488" t="s">
        <v>5839</v>
      </c>
      <c r="H5488" t="str">
        <f>"910"</f>
        <v>910</v>
      </c>
      <c r="I5488" t="s">
        <v>10388</v>
      </c>
    </row>
    <row r="5489" spans="1:9" x14ac:dyDescent="0.3">
      <c r="A5489" t="str">
        <f>"10826017"</f>
        <v>10826017</v>
      </c>
      <c r="B5489" t="s">
        <v>10389</v>
      </c>
      <c r="C5489" t="str">
        <f t="shared" si="372"/>
        <v>706</v>
      </c>
      <c r="D5489" t="s">
        <v>28</v>
      </c>
      <c r="E5489" t="s">
        <v>23</v>
      </c>
      <c r="F5489" t="s">
        <v>23</v>
      </c>
      <c r="G5489" t="s">
        <v>10390</v>
      </c>
      <c r="H5489" t="str">
        <f>"94991"</f>
        <v>94991</v>
      </c>
      <c r="I5489" t="s">
        <v>433</v>
      </c>
    </row>
    <row r="5490" spans="1:9" x14ac:dyDescent="0.3">
      <c r="A5490" t="str">
        <f>"07760086"</f>
        <v>07760086</v>
      </c>
      <c r="B5490" t="s">
        <v>10391</v>
      </c>
      <c r="C5490" t="str">
        <f t="shared" si="372"/>
        <v>706</v>
      </c>
      <c r="D5490" t="s">
        <v>28</v>
      </c>
      <c r="E5490" t="s">
        <v>29</v>
      </c>
      <c r="F5490" t="s">
        <v>1266</v>
      </c>
      <c r="G5490" t="s">
        <v>1430</v>
      </c>
      <c r="H5490" t="str">
        <f>"93190"</f>
        <v>93190</v>
      </c>
      <c r="I5490" t="s">
        <v>59</v>
      </c>
    </row>
    <row r="5491" spans="1:9" x14ac:dyDescent="0.3">
      <c r="A5491" t="str">
        <f>"17095735"</f>
        <v>17095735</v>
      </c>
      <c r="B5491" t="s">
        <v>10392</v>
      </c>
      <c r="C5491" t="str">
        <f t="shared" si="372"/>
        <v>706</v>
      </c>
      <c r="D5491" t="s">
        <v>28</v>
      </c>
      <c r="E5491" t="s">
        <v>29</v>
      </c>
      <c r="F5491" t="s">
        <v>653</v>
      </c>
      <c r="G5491" t="s">
        <v>1652</v>
      </c>
      <c r="H5491" t="str">
        <f>"94991"</f>
        <v>94991</v>
      </c>
      <c r="I5491" t="s">
        <v>433</v>
      </c>
    </row>
    <row r="5492" spans="1:9" x14ac:dyDescent="0.3">
      <c r="A5492" t="str">
        <f>"63414252"</f>
        <v>63414252</v>
      </c>
      <c r="B5492" t="s">
        <v>10393</v>
      </c>
      <c r="C5492" t="str">
        <f t="shared" si="372"/>
        <v>706</v>
      </c>
      <c r="D5492" t="s">
        <v>28</v>
      </c>
      <c r="E5492" t="s">
        <v>83</v>
      </c>
      <c r="F5492" t="s">
        <v>83</v>
      </c>
      <c r="G5492" t="s">
        <v>346</v>
      </c>
      <c r="H5492" t="str">
        <f>"9499"</f>
        <v>9499</v>
      </c>
      <c r="I5492" t="s">
        <v>31</v>
      </c>
    </row>
    <row r="5493" spans="1:9" x14ac:dyDescent="0.3">
      <c r="A5493" t="str">
        <f>"05743141"</f>
        <v>05743141</v>
      </c>
      <c r="B5493" t="s">
        <v>10394</v>
      </c>
      <c r="C5493" t="str">
        <f t="shared" si="372"/>
        <v>706</v>
      </c>
      <c r="D5493" t="s">
        <v>28</v>
      </c>
      <c r="E5493" t="s">
        <v>23</v>
      </c>
      <c r="F5493" t="s">
        <v>710</v>
      </c>
      <c r="G5493" t="s">
        <v>10395</v>
      </c>
      <c r="H5493" t="str">
        <f>"93190"</f>
        <v>93190</v>
      </c>
      <c r="I5493" t="s">
        <v>59</v>
      </c>
    </row>
    <row r="5494" spans="1:9" x14ac:dyDescent="0.3">
      <c r="A5494" t="str">
        <f>"27026566"</f>
        <v>27026566</v>
      </c>
      <c r="B5494" t="s">
        <v>10396</v>
      </c>
      <c r="C5494" t="str">
        <f t="shared" si="372"/>
        <v>706</v>
      </c>
      <c r="D5494" t="s">
        <v>28</v>
      </c>
      <c r="E5494" t="s">
        <v>23</v>
      </c>
      <c r="F5494" t="s">
        <v>23</v>
      </c>
      <c r="G5494" t="s">
        <v>10397</v>
      </c>
      <c r="H5494" t="str">
        <f>"93110"</f>
        <v>93110</v>
      </c>
      <c r="I5494" t="s">
        <v>92</v>
      </c>
    </row>
    <row r="5495" spans="1:9" x14ac:dyDescent="0.3">
      <c r="A5495" t="str">
        <f>"10704205"</f>
        <v>10704205</v>
      </c>
      <c r="B5495" t="s">
        <v>10398</v>
      </c>
      <c r="C5495" t="str">
        <f t="shared" si="372"/>
        <v>706</v>
      </c>
      <c r="D5495" t="s">
        <v>28</v>
      </c>
      <c r="E5495" t="s">
        <v>23</v>
      </c>
      <c r="F5495" t="s">
        <v>141</v>
      </c>
      <c r="G5495" t="s">
        <v>10399</v>
      </c>
      <c r="H5495" t="str">
        <f>"9499"</f>
        <v>9499</v>
      </c>
      <c r="I5495" t="s">
        <v>31</v>
      </c>
    </row>
    <row r="5496" spans="1:9" x14ac:dyDescent="0.3">
      <c r="A5496" t="str">
        <f>"10913246"</f>
        <v>10913246</v>
      </c>
      <c r="B5496" t="s">
        <v>10400</v>
      </c>
      <c r="C5496" t="str">
        <f t="shared" si="372"/>
        <v>706</v>
      </c>
      <c r="D5496" t="s">
        <v>28</v>
      </c>
      <c r="E5496" t="s">
        <v>23</v>
      </c>
      <c r="F5496" t="s">
        <v>23</v>
      </c>
      <c r="G5496" t="s">
        <v>10401</v>
      </c>
      <c r="H5496" t="str">
        <f>"9499"</f>
        <v>9499</v>
      </c>
      <c r="I5496" t="s">
        <v>31</v>
      </c>
    </row>
    <row r="5497" spans="1:9" x14ac:dyDescent="0.3">
      <c r="A5497" t="str">
        <f>"06701507"</f>
        <v>06701507</v>
      </c>
      <c r="B5497" t="s">
        <v>10402</v>
      </c>
      <c r="C5497" t="str">
        <f t="shared" si="372"/>
        <v>706</v>
      </c>
      <c r="D5497" t="s">
        <v>28</v>
      </c>
      <c r="E5497" t="s">
        <v>29</v>
      </c>
      <c r="F5497" t="s">
        <v>1590</v>
      </c>
      <c r="G5497" t="s">
        <v>10403</v>
      </c>
      <c r="H5497" t="str">
        <f>"9499"</f>
        <v>9499</v>
      </c>
      <c r="I5497" t="s">
        <v>31</v>
      </c>
    </row>
    <row r="5498" spans="1:9" x14ac:dyDescent="0.3">
      <c r="A5498" t="str">
        <f>"04728971"</f>
        <v>04728971</v>
      </c>
      <c r="B5498" t="s">
        <v>10404</v>
      </c>
      <c r="C5498" t="str">
        <f t="shared" si="372"/>
        <v>706</v>
      </c>
      <c r="D5498" t="s">
        <v>28</v>
      </c>
      <c r="E5498" t="s">
        <v>23</v>
      </c>
      <c r="F5498" t="s">
        <v>23</v>
      </c>
      <c r="G5498" t="s">
        <v>10405</v>
      </c>
      <c r="H5498" t="str">
        <f>"93190"</f>
        <v>93190</v>
      </c>
      <c r="I5498" t="s">
        <v>59</v>
      </c>
    </row>
    <row r="5499" spans="1:9" x14ac:dyDescent="0.3">
      <c r="A5499" t="str">
        <f>"06658466"</f>
        <v>06658466</v>
      </c>
      <c r="B5499" t="s">
        <v>10406</v>
      </c>
      <c r="C5499" t="str">
        <f t="shared" si="372"/>
        <v>706</v>
      </c>
      <c r="D5499" t="s">
        <v>28</v>
      </c>
      <c r="E5499" t="s">
        <v>52</v>
      </c>
      <c r="F5499" t="s">
        <v>488</v>
      </c>
      <c r="G5499" t="s">
        <v>10407</v>
      </c>
      <c r="H5499" t="str">
        <f>"9499"</f>
        <v>9499</v>
      </c>
      <c r="I5499" t="s">
        <v>31</v>
      </c>
    </row>
    <row r="5500" spans="1:9" x14ac:dyDescent="0.3">
      <c r="A5500" t="str">
        <f>"21457140"</f>
        <v>21457140</v>
      </c>
      <c r="B5500" t="s">
        <v>10408</v>
      </c>
      <c r="C5500" t="str">
        <f t="shared" si="372"/>
        <v>706</v>
      </c>
      <c r="D5500" t="s">
        <v>28</v>
      </c>
      <c r="E5500" t="s">
        <v>29</v>
      </c>
      <c r="F5500" t="s">
        <v>1004</v>
      </c>
      <c r="G5500" t="s">
        <v>10409</v>
      </c>
      <c r="H5500" t="str">
        <f>"8559"</f>
        <v>8559</v>
      </c>
      <c r="I5500" t="s">
        <v>115</v>
      </c>
    </row>
    <row r="5501" spans="1:9" x14ac:dyDescent="0.3">
      <c r="A5501" t="str">
        <f>"26612615"</f>
        <v>26612615</v>
      </c>
      <c r="B5501" t="s">
        <v>10410</v>
      </c>
      <c r="C5501" t="str">
        <f t="shared" si="372"/>
        <v>706</v>
      </c>
      <c r="D5501" t="s">
        <v>28</v>
      </c>
      <c r="E5501" t="s">
        <v>23</v>
      </c>
      <c r="F5501" t="s">
        <v>23</v>
      </c>
      <c r="G5501" t="s">
        <v>10411</v>
      </c>
      <c r="H5501" t="str">
        <f>"94999"</f>
        <v>94999</v>
      </c>
      <c r="I5501" t="s">
        <v>202</v>
      </c>
    </row>
    <row r="5502" spans="1:9" x14ac:dyDescent="0.3">
      <c r="A5502" t="str">
        <f>"67025145"</f>
        <v>67025145</v>
      </c>
      <c r="B5502" t="s">
        <v>10412</v>
      </c>
      <c r="C5502" t="str">
        <f t="shared" si="372"/>
        <v>706</v>
      </c>
      <c r="D5502" t="s">
        <v>28</v>
      </c>
      <c r="E5502" t="s">
        <v>23</v>
      </c>
      <c r="F5502" t="s">
        <v>23</v>
      </c>
      <c r="G5502" t="s">
        <v>91</v>
      </c>
      <c r="H5502" t="str">
        <f>"931"</f>
        <v>931</v>
      </c>
      <c r="I5502" t="s">
        <v>26</v>
      </c>
    </row>
    <row r="5503" spans="1:9" x14ac:dyDescent="0.3">
      <c r="A5503" t="str">
        <f>"22884980"</f>
        <v>22884980</v>
      </c>
      <c r="B5503" t="s">
        <v>10413</v>
      </c>
      <c r="C5503" t="str">
        <f t="shared" si="372"/>
        <v>706</v>
      </c>
      <c r="D5503" t="s">
        <v>28</v>
      </c>
      <c r="E5503" t="s">
        <v>52</v>
      </c>
      <c r="F5503" t="s">
        <v>234</v>
      </c>
      <c r="G5503" t="s">
        <v>10414</v>
      </c>
      <c r="H5503" t="str">
        <f>"90010"</f>
        <v>90010</v>
      </c>
      <c r="I5503" t="s">
        <v>2014</v>
      </c>
    </row>
    <row r="5504" spans="1:9" x14ac:dyDescent="0.3">
      <c r="A5504" t="str">
        <f>"05741408"</f>
        <v>05741408</v>
      </c>
      <c r="B5504" t="s">
        <v>10415</v>
      </c>
      <c r="C5504" t="str">
        <f t="shared" si="372"/>
        <v>706</v>
      </c>
      <c r="D5504" t="s">
        <v>28</v>
      </c>
      <c r="E5504" t="s">
        <v>23</v>
      </c>
      <c r="F5504" t="s">
        <v>23</v>
      </c>
      <c r="G5504" t="s">
        <v>10206</v>
      </c>
      <c r="H5504" t="str">
        <f>"90010"</f>
        <v>90010</v>
      </c>
      <c r="I5504" t="s">
        <v>2014</v>
      </c>
    </row>
    <row r="5505" spans="1:9" x14ac:dyDescent="0.3">
      <c r="A5505" t="str">
        <f>"22769641"</f>
        <v>22769641</v>
      </c>
      <c r="B5505" t="s">
        <v>10416</v>
      </c>
      <c r="C5505" t="str">
        <f t="shared" si="372"/>
        <v>706</v>
      </c>
      <c r="D5505" t="s">
        <v>28</v>
      </c>
      <c r="E5505" t="s">
        <v>29</v>
      </c>
      <c r="F5505" t="s">
        <v>195</v>
      </c>
      <c r="G5505" t="s">
        <v>9472</v>
      </c>
      <c r="H5505" t="str">
        <f>"90010"</f>
        <v>90010</v>
      </c>
      <c r="I5505" t="s">
        <v>2014</v>
      </c>
    </row>
    <row r="5506" spans="1:9" x14ac:dyDescent="0.3">
      <c r="A5506" t="str">
        <f>"48472166"</f>
        <v>48472166</v>
      </c>
      <c r="B5506" t="s">
        <v>10417</v>
      </c>
      <c r="C5506" t="str">
        <f t="shared" si="372"/>
        <v>706</v>
      </c>
      <c r="D5506" t="s">
        <v>28</v>
      </c>
      <c r="E5506" t="s">
        <v>23</v>
      </c>
      <c r="F5506" t="s">
        <v>23</v>
      </c>
      <c r="G5506" t="s">
        <v>10418</v>
      </c>
      <c r="H5506" t="str">
        <f>"9499"</f>
        <v>9499</v>
      </c>
      <c r="I5506" t="s">
        <v>31</v>
      </c>
    </row>
    <row r="5507" spans="1:9" x14ac:dyDescent="0.3">
      <c r="A5507" t="str">
        <f>"47935197"</f>
        <v>47935197</v>
      </c>
      <c r="B5507" t="s">
        <v>10419</v>
      </c>
      <c r="C5507" t="str">
        <f t="shared" si="372"/>
        <v>706</v>
      </c>
      <c r="D5507" t="s">
        <v>28</v>
      </c>
      <c r="E5507" t="s">
        <v>83</v>
      </c>
      <c r="F5507" t="s">
        <v>83</v>
      </c>
      <c r="G5507" t="s">
        <v>10420</v>
      </c>
      <c r="H5507" t="str">
        <f>"9499"</f>
        <v>9499</v>
      </c>
      <c r="I5507" t="s">
        <v>31</v>
      </c>
    </row>
    <row r="5508" spans="1:9" x14ac:dyDescent="0.3">
      <c r="A5508" t="str">
        <f>"26523132"</f>
        <v>26523132</v>
      </c>
      <c r="B5508" t="s">
        <v>10421</v>
      </c>
      <c r="C5508" t="str">
        <f t="shared" si="372"/>
        <v>706</v>
      </c>
      <c r="D5508" t="s">
        <v>28</v>
      </c>
      <c r="E5508" t="s">
        <v>83</v>
      </c>
      <c r="F5508" t="s">
        <v>83</v>
      </c>
      <c r="G5508" t="s">
        <v>10422</v>
      </c>
      <c r="H5508" t="str">
        <f>"9499"</f>
        <v>9499</v>
      </c>
      <c r="I5508" t="s">
        <v>31</v>
      </c>
    </row>
    <row r="5509" spans="1:9" x14ac:dyDescent="0.3">
      <c r="A5509" t="str">
        <f>"26543851"</f>
        <v>26543851</v>
      </c>
      <c r="B5509" t="s">
        <v>10423</v>
      </c>
      <c r="C5509" t="str">
        <f t="shared" si="372"/>
        <v>706</v>
      </c>
      <c r="D5509" t="s">
        <v>28</v>
      </c>
      <c r="E5509" t="s">
        <v>52</v>
      </c>
      <c r="F5509" t="s">
        <v>52</v>
      </c>
      <c r="G5509" t="s">
        <v>10424</v>
      </c>
      <c r="H5509" t="str">
        <f>"9499"</f>
        <v>9499</v>
      </c>
      <c r="I5509" t="s">
        <v>31</v>
      </c>
    </row>
    <row r="5510" spans="1:9" x14ac:dyDescent="0.3">
      <c r="A5510" t="str">
        <f>"01775430"</f>
        <v>01775430</v>
      </c>
      <c r="B5510" t="s">
        <v>10425</v>
      </c>
      <c r="C5510" t="str">
        <f t="shared" si="372"/>
        <v>706</v>
      </c>
      <c r="D5510" t="s">
        <v>28</v>
      </c>
      <c r="E5510" t="s">
        <v>52</v>
      </c>
      <c r="F5510" t="s">
        <v>379</v>
      </c>
      <c r="G5510" t="s">
        <v>10426</v>
      </c>
      <c r="H5510" t="str">
        <f>"90010"</f>
        <v>90010</v>
      </c>
      <c r="I5510" t="s">
        <v>2014</v>
      </c>
    </row>
    <row r="5511" spans="1:9" x14ac:dyDescent="0.3">
      <c r="A5511" t="str">
        <f>"21153582"</f>
        <v>21153582</v>
      </c>
      <c r="B5511" t="s">
        <v>10427</v>
      </c>
      <c r="C5511" t="str">
        <f t="shared" si="372"/>
        <v>706</v>
      </c>
      <c r="D5511" t="s">
        <v>28</v>
      </c>
      <c r="E5511" t="s">
        <v>29</v>
      </c>
      <c r="F5511" t="s">
        <v>195</v>
      </c>
      <c r="G5511" t="s">
        <v>10428</v>
      </c>
      <c r="H5511" t="str">
        <f>"93120"</f>
        <v>93120</v>
      </c>
      <c r="I5511" t="s">
        <v>54</v>
      </c>
    </row>
    <row r="5512" spans="1:9" x14ac:dyDescent="0.3">
      <c r="A5512" t="str">
        <f>"02429918"</f>
        <v>02429918</v>
      </c>
      <c r="B5512" t="s">
        <v>10429</v>
      </c>
      <c r="C5512" t="str">
        <f t="shared" si="372"/>
        <v>706</v>
      </c>
      <c r="D5512" t="s">
        <v>28</v>
      </c>
      <c r="E5512" t="s">
        <v>23</v>
      </c>
      <c r="F5512" t="s">
        <v>23</v>
      </c>
      <c r="G5512" t="s">
        <v>10430</v>
      </c>
      <c r="H5512" t="str">
        <f>"90010"</f>
        <v>90010</v>
      </c>
      <c r="I5512" t="s">
        <v>2014</v>
      </c>
    </row>
    <row r="5513" spans="1:9" x14ac:dyDescent="0.3">
      <c r="A5513" t="str">
        <f>"02831112"</f>
        <v>02831112</v>
      </c>
      <c r="B5513" t="s">
        <v>10431</v>
      </c>
      <c r="C5513" t="str">
        <f t="shared" si="372"/>
        <v>706</v>
      </c>
      <c r="D5513" t="s">
        <v>28</v>
      </c>
      <c r="E5513" t="s">
        <v>83</v>
      </c>
      <c r="F5513" t="s">
        <v>537</v>
      </c>
      <c r="G5513" t="s">
        <v>10432</v>
      </c>
      <c r="H5513" t="str">
        <f>"9499"</f>
        <v>9499</v>
      </c>
      <c r="I5513" t="s">
        <v>31</v>
      </c>
    </row>
    <row r="5514" spans="1:9" x14ac:dyDescent="0.3">
      <c r="A5514" t="str">
        <f>"27053229"</f>
        <v>27053229</v>
      </c>
      <c r="B5514" t="s">
        <v>10433</v>
      </c>
      <c r="C5514" t="str">
        <f t="shared" si="372"/>
        <v>706</v>
      </c>
      <c r="D5514" t="s">
        <v>28</v>
      </c>
      <c r="E5514" t="s">
        <v>52</v>
      </c>
      <c r="F5514" t="s">
        <v>631</v>
      </c>
      <c r="G5514" t="s">
        <v>1007</v>
      </c>
      <c r="H5514" t="str">
        <f>"90010"</f>
        <v>90010</v>
      </c>
      <c r="I5514" t="s">
        <v>2014</v>
      </c>
    </row>
    <row r="5515" spans="1:9" x14ac:dyDescent="0.3">
      <c r="A5515" t="str">
        <f>"22845402"</f>
        <v>22845402</v>
      </c>
      <c r="B5515" t="s">
        <v>10434</v>
      </c>
      <c r="C5515" t="str">
        <f t="shared" si="372"/>
        <v>706</v>
      </c>
      <c r="D5515" t="s">
        <v>28</v>
      </c>
      <c r="E5515" t="s">
        <v>52</v>
      </c>
      <c r="F5515" t="s">
        <v>1229</v>
      </c>
      <c r="G5515" t="s">
        <v>10435</v>
      </c>
      <c r="H5515" t="str">
        <f>"90010"</f>
        <v>90010</v>
      </c>
      <c r="I5515" t="s">
        <v>2014</v>
      </c>
    </row>
    <row r="5516" spans="1:9" x14ac:dyDescent="0.3">
      <c r="A5516" t="str">
        <f>"65765052"</f>
        <v>65765052</v>
      </c>
      <c r="B5516" t="s">
        <v>10436</v>
      </c>
      <c r="C5516" t="str">
        <f t="shared" si="372"/>
        <v>706</v>
      </c>
      <c r="D5516" t="s">
        <v>28</v>
      </c>
      <c r="E5516" t="s">
        <v>83</v>
      </c>
      <c r="F5516" t="s">
        <v>537</v>
      </c>
      <c r="G5516" t="s">
        <v>4340</v>
      </c>
      <c r="H5516" t="str">
        <f>"9499"</f>
        <v>9499</v>
      </c>
      <c r="I5516" t="s">
        <v>31</v>
      </c>
    </row>
    <row r="5517" spans="1:9" x14ac:dyDescent="0.3">
      <c r="A5517" t="str">
        <f>"26516705"</f>
        <v>26516705</v>
      </c>
      <c r="B5517" t="s">
        <v>10437</v>
      </c>
      <c r="C5517" t="str">
        <f t="shared" si="372"/>
        <v>706</v>
      </c>
      <c r="D5517" t="s">
        <v>28</v>
      </c>
      <c r="E5517" t="s">
        <v>52</v>
      </c>
      <c r="F5517" t="s">
        <v>406</v>
      </c>
      <c r="G5517" t="s">
        <v>9983</v>
      </c>
      <c r="H5517" t="str">
        <f>"9499"</f>
        <v>9499</v>
      </c>
      <c r="I5517" t="s">
        <v>31</v>
      </c>
    </row>
    <row r="5518" spans="1:9" x14ac:dyDescent="0.3">
      <c r="A5518" t="str">
        <f>"22683062"</f>
        <v>22683062</v>
      </c>
      <c r="B5518" t="s">
        <v>10438</v>
      </c>
      <c r="C5518" t="str">
        <f t="shared" si="372"/>
        <v>706</v>
      </c>
      <c r="D5518" t="s">
        <v>28</v>
      </c>
      <c r="E5518" t="s">
        <v>83</v>
      </c>
      <c r="F5518" t="s">
        <v>175</v>
      </c>
      <c r="G5518" t="s">
        <v>2672</v>
      </c>
      <c r="H5518" t="str">
        <f>"9499"</f>
        <v>9499</v>
      </c>
      <c r="I5518" t="s">
        <v>31</v>
      </c>
    </row>
    <row r="5519" spans="1:9" x14ac:dyDescent="0.3">
      <c r="A5519" t="str">
        <f>"26662388"</f>
        <v>26662388</v>
      </c>
      <c r="B5519" t="s">
        <v>10439</v>
      </c>
      <c r="C5519" t="str">
        <f t="shared" si="372"/>
        <v>706</v>
      </c>
      <c r="D5519" t="s">
        <v>28</v>
      </c>
      <c r="E5519" t="s">
        <v>23</v>
      </c>
      <c r="F5519" t="s">
        <v>23</v>
      </c>
      <c r="G5519" t="s">
        <v>10440</v>
      </c>
      <c r="H5519" t="str">
        <f>"9499"</f>
        <v>9499</v>
      </c>
      <c r="I5519" t="s">
        <v>31</v>
      </c>
    </row>
    <row r="5520" spans="1:9" x14ac:dyDescent="0.3">
      <c r="A5520" t="str">
        <f>"22856528"</f>
        <v>22856528</v>
      </c>
      <c r="B5520" t="s">
        <v>10441</v>
      </c>
      <c r="C5520" t="str">
        <f t="shared" si="372"/>
        <v>706</v>
      </c>
      <c r="D5520" t="s">
        <v>28</v>
      </c>
      <c r="E5520" t="s">
        <v>83</v>
      </c>
      <c r="F5520" t="s">
        <v>83</v>
      </c>
      <c r="G5520" t="s">
        <v>10422</v>
      </c>
      <c r="H5520" t="str">
        <f>"90010"</f>
        <v>90010</v>
      </c>
      <c r="I5520" t="s">
        <v>2014</v>
      </c>
    </row>
    <row r="5521" spans="1:10" x14ac:dyDescent="0.3">
      <c r="A5521" t="str">
        <f>"11775301"</f>
        <v>11775301</v>
      </c>
      <c r="B5521" t="s">
        <v>10442</v>
      </c>
      <c r="C5521" t="str">
        <f t="shared" si="372"/>
        <v>706</v>
      </c>
      <c r="D5521" t="s">
        <v>28</v>
      </c>
      <c r="E5521" t="s">
        <v>83</v>
      </c>
      <c r="F5521" t="s">
        <v>183</v>
      </c>
      <c r="G5521" t="s">
        <v>10443</v>
      </c>
      <c r="H5521" t="str">
        <f>"90010"</f>
        <v>90010</v>
      </c>
      <c r="I5521" t="s">
        <v>2014</v>
      </c>
    </row>
    <row r="5522" spans="1:10" x14ac:dyDescent="0.3">
      <c r="A5522" t="str">
        <f>"11978643"</f>
        <v>11978643</v>
      </c>
      <c r="B5522" t="s">
        <v>10444</v>
      </c>
      <c r="C5522" t="str">
        <f t="shared" si="372"/>
        <v>706</v>
      </c>
      <c r="D5522" t="s">
        <v>28</v>
      </c>
      <c r="E5522" t="s">
        <v>29</v>
      </c>
      <c r="F5522" t="s">
        <v>195</v>
      </c>
      <c r="G5522" t="s">
        <v>899</v>
      </c>
      <c r="H5522" t="str">
        <f>"9499"</f>
        <v>9499</v>
      </c>
      <c r="I5522" t="s">
        <v>31</v>
      </c>
    </row>
    <row r="5523" spans="1:10" x14ac:dyDescent="0.3">
      <c r="A5523" t="str">
        <f>"06659161"</f>
        <v>06659161</v>
      </c>
      <c r="B5523" t="s">
        <v>10445</v>
      </c>
      <c r="C5523" t="str">
        <f t="shared" si="372"/>
        <v>706</v>
      </c>
      <c r="D5523" t="s">
        <v>28</v>
      </c>
      <c r="E5523" t="s">
        <v>52</v>
      </c>
      <c r="F5523" t="s">
        <v>927</v>
      </c>
      <c r="G5523" t="s">
        <v>5052</v>
      </c>
      <c r="H5523" t="str">
        <f>"90010"</f>
        <v>90010</v>
      </c>
      <c r="I5523" t="s">
        <v>2014</v>
      </c>
    </row>
    <row r="5524" spans="1:10" x14ac:dyDescent="0.3">
      <c r="A5524" t="str">
        <f>"67028322"</f>
        <v>67028322</v>
      </c>
      <c r="B5524" t="s">
        <v>10446</v>
      </c>
      <c r="C5524" t="str">
        <f t="shared" si="372"/>
        <v>706</v>
      </c>
      <c r="D5524" t="s">
        <v>28</v>
      </c>
      <c r="E5524" t="s">
        <v>23</v>
      </c>
      <c r="F5524" t="s">
        <v>23</v>
      </c>
      <c r="G5524" t="s">
        <v>23</v>
      </c>
      <c r="H5524" t="str">
        <f>"931"</f>
        <v>931</v>
      </c>
      <c r="I5524" t="s">
        <v>26</v>
      </c>
    </row>
    <row r="5525" spans="1:10" x14ac:dyDescent="0.3">
      <c r="A5525" t="str">
        <f>"22822071"</f>
        <v>22822071</v>
      </c>
      <c r="B5525" t="s">
        <v>10447</v>
      </c>
      <c r="C5525" t="str">
        <f t="shared" si="372"/>
        <v>706</v>
      </c>
      <c r="D5525" t="s">
        <v>28</v>
      </c>
      <c r="E5525" t="s">
        <v>52</v>
      </c>
      <c r="F5525" t="s">
        <v>344</v>
      </c>
      <c r="G5525" t="s">
        <v>10448</v>
      </c>
      <c r="H5525" t="str">
        <f>"8552"</f>
        <v>8552</v>
      </c>
      <c r="I5525" t="s">
        <v>10449</v>
      </c>
    </row>
    <row r="5526" spans="1:10" x14ac:dyDescent="0.3">
      <c r="A5526" t="str">
        <f>"26643898"</f>
        <v>26643898</v>
      </c>
      <c r="B5526" t="s">
        <v>10450</v>
      </c>
      <c r="C5526" t="str">
        <f t="shared" si="372"/>
        <v>706</v>
      </c>
      <c r="D5526" t="s">
        <v>28</v>
      </c>
      <c r="E5526" t="s">
        <v>83</v>
      </c>
      <c r="F5526" t="s">
        <v>991</v>
      </c>
      <c r="G5526" t="s">
        <v>10451</v>
      </c>
      <c r="H5526" t="str">
        <f>"93110"</f>
        <v>93110</v>
      </c>
      <c r="I5526" t="s">
        <v>92</v>
      </c>
    </row>
    <row r="5527" spans="1:10" x14ac:dyDescent="0.3">
      <c r="A5527" t="str">
        <f>"02202123"</f>
        <v>02202123</v>
      </c>
      <c r="B5527" t="s">
        <v>10452</v>
      </c>
      <c r="C5527" t="str">
        <f t="shared" si="372"/>
        <v>706</v>
      </c>
      <c r="D5527" t="s">
        <v>28</v>
      </c>
      <c r="E5527" t="s">
        <v>23</v>
      </c>
      <c r="F5527" t="s">
        <v>23</v>
      </c>
      <c r="G5527" t="s">
        <v>10453</v>
      </c>
      <c r="H5527" t="str">
        <f>"9499"</f>
        <v>9499</v>
      </c>
      <c r="I5527" t="s">
        <v>31</v>
      </c>
    </row>
    <row r="5528" spans="1:10" x14ac:dyDescent="0.3">
      <c r="A5528" t="str">
        <f>"70238448"</f>
        <v>70238448</v>
      </c>
      <c r="B5528" t="s">
        <v>10454</v>
      </c>
      <c r="C5528" t="str">
        <f t="shared" si="372"/>
        <v>706</v>
      </c>
      <c r="D5528" t="s">
        <v>28</v>
      </c>
      <c r="E5528" t="s">
        <v>29</v>
      </c>
      <c r="F5528" t="s">
        <v>29</v>
      </c>
      <c r="G5528" t="s">
        <v>10455</v>
      </c>
      <c r="H5528" t="str">
        <f>"93290"</f>
        <v>93290</v>
      </c>
      <c r="I5528" t="s">
        <v>126</v>
      </c>
    </row>
    <row r="5529" spans="1:10" x14ac:dyDescent="0.3">
      <c r="A5529" t="str">
        <f>"18188028"</f>
        <v>18188028</v>
      </c>
      <c r="B5529" t="s">
        <v>10456</v>
      </c>
      <c r="C5529" t="str">
        <f t="shared" si="372"/>
        <v>706</v>
      </c>
      <c r="D5529" t="s">
        <v>28</v>
      </c>
      <c r="E5529" t="s">
        <v>83</v>
      </c>
      <c r="F5529" t="s">
        <v>83</v>
      </c>
      <c r="G5529" t="s">
        <v>10457</v>
      </c>
      <c r="H5529" t="str">
        <f>"9312"</f>
        <v>9312</v>
      </c>
      <c r="I5529" t="s">
        <v>54</v>
      </c>
    </row>
    <row r="5530" spans="1:10" x14ac:dyDescent="0.3">
      <c r="A5530" t="str">
        <f>"26533316"</f>
        <v>26533316</v>
      </c>
      <c r="B5530" t="s">
        <v>10458</v>
      </c>
      <c r="C5530" t="str">
        <f t="shared" si="372"/>
        <v>706</v>
      </c>
      <c r="D5530" t="s">
        <v>28</v>
      </c>
      <c r="E5530" t="s">
        <v>83</v>
      </c>
      <c r="F5530" t="s">
        <v>183</v>
      </c>
      <c r="G5530" t="s">
        <v>10459</v>
      </c>
      <c r="H5530" t="str">
        <f>"931"</f>
        <v>931</v>
      </c>
      <c r="I5530" t="s">
        <v>26</v>
      </c>
    </row>
    <row r="5531" spans="1:10" x14ac:dyDescent="0.3">
      <c r="A5531" t="str">
        <f>"22694315"</f>
        <v>22694315</v>
      </c>
      <c r="B5531" t="s">
        <v>10460</v>
      </c>
      <c r="C5531" t="str">
        <f t="shared" si="372"/>
        <v>706</v>
      </c>
      <c r="D5531" t="s">
        <v>28</v>
      </c>
      <c r="E5531" t="s">
        <v>52</v>
      </c>
      <c r="F5531" t="s">
        <v>864</v>
      </c>
      <c r="G5531" t="s">
        <v>10461</v>
      </c>
      <c r="H5531" t="str">
        <f>"93110"</f>
        <v>93110</v>
      </c>
      <c r="I5531" t="s">
        <v>92</v>
      </c>
    </row>
    <row r="5532" spans="1:10" x14ac:dyDescent="0.3">
      <c r="A5532" t="str">
        <f>"17332303"</f>
        <v>17332303</v>
      </c>
      <c r="B5532" t="s">
        <v>10462</v>
      </c>
      <c r="C5532" t="str">
        <f t="shared" si="372"/>
        <v>706</v>
      </c>
      <c r="D5532" t="s">
        <v>28</v>
      </c>
      <c r="E5532" t="s">
        <v>23</v>
      </c>
      <c r="F5532" t="s">
        <v>23</v>
      </c>
      <c r="G5532" t="s">
        <v>10463</v>
      </c>
      <c r="H5532" t="str">
        <f>"93190"</f>
        <v>93190</v>
      </c>
      <c r="I5532" t="s">
        <v>59</v>
      </c>
    </row>
    <row r="5533" spans="1:10" x14ac:dyDescent="0.3">
      <c r="A5533" t="str">
        <f>"22364668"</f>
        <v>22364668</v>
      </c>
      <c r="B5533" t="s">
        <v>10464</v>
      </c>
      <c r="C5533" t="str">
        <f t="shared" si="372"/>
        <v>706</v>
      </c>
      <c r="D5533" t="s">
        <v>28</v>
      </c>
      <c r="E5533" t="s">
        <v>52</v>
      </c>
      <c r="F5533" t="s">
        <v>1765</v>
      </c>
      <c r="G5533" t="s">
        <v>10465</v>
      </c>
      <c r="H5533" t="str">
        <f>"9499"</f>
        <v>9499</v>
      </c>
      <c r="I5533" t="s">
        <v>31</v>
      </c>
    </row>
    <row r="5534" spans="1:10" x14ac:dyDescent="0.3">
      <c r="A5534" t="str">
        <f>"25554026"</f>
        <v>25554026</v>
      </c>
      <c r="B5534" t="s">
        <v>10466</v>
      </c>
      <c r="C5534" t="str">
        <f>"141"</f>
        <v>141</v>
      </c>
      <c r="D5534" t="s">
        <v>112</v>
      </c>
      <c r="E5534" t="s">
        <v>52</v>
      </c>
      <c r="F5534" t="s">
        <v>52</v>
      </c>
      <c r="G5534" t="s">
        <v>2561</v>
      </c>
      <c r="H5534" t="str">
        <f>"9499"</f>
        <v>9499</v>
      </c>
      <c r="I5534" t="s">
        <v>31</v>
      </c>
    </row>
    <row r="5535" spans="1:10" x14ac:dyDescent="0.3">
      <c r="A5535" t="str">
        <f>"48491551"</f>
        <v>48491551</v>
      </c>
      <c r="B5535" t="s">
        <v>10467</v>
      </c>
      <c r="C5535" t="str">
        <f>"706"</f>
        <v>706</v>
      </c>
      <c r="D5535" t="s">
        <v>28</v>
      </c>
      <c r="E5535" t="s">
        <v>52</v>
      </c>
      <c r="F5535" t="s">
        <v>631</v>
      </c>
      <c r="G5535" t="s">
        <v>632</v>
      </c>
      <c r="H5535" t="str">
        <f>"9499"</f>
        <v>9499</v>
      </c>
      <c r="I5535" t="s">
        <v>31</v>
      </c>
      <c r="J5535" t="s">
        <v>423</v>
      </c>
    </row>
    <row r="5536" spans="1:10" x14ac:dyDescent="0.3">
      <c r="A5536" t="str">
        <f>"69702012"</f>
        <v>69702012</v>
      </c>
      <c r="B5536" t="s">
        <v>10468</v>
      </c>
      <c r="C5536" t="str">
        <f>"736"</f>
        <v>736</v>
      </c>
      <c r="D5536" t="s">
        <v>22</v>
      </c>
      <c r="E5536" t="s">
        <v>52</v>
      </c>
      <c r="F5536" t="s">
        <v>514</v>
      </c>
      <c r="G5536" t="s">
        <v>10469</v>
      </c>
      <c r="H5536" t="str">
        <f>"931"</f>
        <v>931</v>
      </c>
      <c r="I5536" t="s">
        <v>26</v>
      </c>
    </row>
    <row r="5537" spans="1:9" x14ac:dyDescent="0.3">
      <c r="A5537" t="str">
        <f>"66934575"</f>
        <v>66934575</v>
      </c>
      <c r="B5537" t="s">
        <v>10470</v>
      </c>
      <c r="C5537" t="str">
        <f t="shared" ref="C5537:C5542" si="373">"706"</f>
        <v>706</v>
      </c>
      <c r="D5537" t="s">
        <v>28</v>
      </c>
      <c r="E5537" t="s">
        <v>29</v>
      </c>
      <c r="F5537" t="s">
        <v>195</v>
      </c>
      <c r="G5537" t="s">
        <v>195</v>
      </c>
      <c r="H5537" t="str">
        <f>"9499"</f>
        <v>9499</v>
      </c>
      <c r="I5537" t="s">
        <v>31</v>
      </c>
    </row>
    <row r="5538" spans="1:9" x14ac:dyDescent="0.3">
      <c r="A5538" t="str">
        <f>"02444887"</f>
        <v>02444887</v>
      </c>
      <c r="B5538" t="s">
        <v>10471</v>
      </c>
      <c r="C5538" t="str">
        <f t="shared" si="373"/>
        <v>706</v>
      </c>
      <c r="D5538" t="s">
        <v>28</v>
      </c>
      <c r="E5538" t="s">
        <v>83</v>
      </c>
      <c r="F5538" t="s">
        <v>130</v>
      </c>
      <c r="G5538" t="s">
        <v>10472</v>
      </c>
      <c r="H5538" t="str">
        <f>"9499"</f>
        <v>9499</v>
      </c>
      <c r="I5538" t="s">
        <v>31</v>
      </c>
    </row>
    <row r="5539" spans="1:9" x14ac:dyDescent="0.3">
      <c r="A5539" t="str">
        <f>"22815481"</f>
        <v>22815481</v>
      </c>
      <c r="B5539" t="s">
        <v>10473</v>
      </c>
      <c r="C5539" t="str">
        <f t="shared" si="373"/>
        <v>706</v>
      </c>
      <c r="D5539" t="s">
        <v>28</v>
      </c>
      <c r="E5539" t="s">
        <v>23</v>
      </c>
      <c r="F5539" t="s">
        <v>688</v>
      </c>
      <c r="G5539" t="s">
        <v>10474</v>
      </c>
      <c r="H5539" t="str">
        <f>"9499"</f>
        <v>9499</v>
      </c>
      <c r="I5539" t="s">
        <v>31</v>
      </c>
    </row>
    <row r="5540" spans="1:9" x14ac:dyDescent="0.3">
      <c r="A5540" t="str">
        <f>"69649944"</f>
        <v>69649944</v>
      </c>
      <c r="B5540" t="s">
        <v>10475</v>
      </c>
      <c r="C5540" t="str">
        <f t="shared" si="373"/>
        <v>706</v>
      </c>
      <c r="D5540" t="s">
        <v>28</v>
      </c>
      <c r="E5540" t="s">
        <v>83</v>
      </c>
      <c r="F5540" t="s">
        <v>83</v>
      </c>
      <c r="G5540" t="s">
        <v>5960</v>
      </c>
      <c r="H5540" t="str">
        <f>"9499"</f>
        <v>9499</v>
      </c>
      <c r="I5540" t="s">
        <v>31</v>
      </c>
    </row>
    <row r="5541" spans="1:9" x14ac:dyDescent="0.3">
      <c r="A5541" t="str">
        <f>"26632969"</f>
        <v>26632969</v>
      </c>
      <c r="B5541" t="s">
        <v>10476</v>
      </c>
      <c r="C5541" t="str">
        <f t="shared" si="373"/>
        <v>706</v>
      </c>
      <c r="D5541" t="s">
        <v>28</v>
      </c>
      <c r="E5541" t="s">
        <v>52</v>
      </c>
      <c r="F5541" t="s">
        <v>52</v>
      </c>
      <c r="G5541" t="s">
        <v>10477</v>
      </c>
      <c r="H5541" t="str">
        <f>"93110"</f>
        <v>93110</v>
      </c>
      <c r="I5541" t="s">
        <v>92</v>
      </c>
    </row>
    <row r="5542" spans="1:9" x14ac:dyDescent="0.3">
      <c r="A5542" t="str">
        <f>"27027007"</f>
        <v>27027007</v>
      </c>
      <c r="B5542" t="s">
        <v>10478</v>
      </c>
      <c r="C5542" t="str">
        <f t="shared" si="373"/>
        <v>706</v>
      </c>
      <c r="D5542" t="s">
        <v>28</v>
      </c>
      <c r="E5542" t="s">
        <v>52</v>
      </c>
      <c r="F5542" t="s">
        <v>52</v>
      </c>
      <c r="G5542" t="s">
        <v>10479</v>
      </c>
      <c r="H5542" t="str">
        <f>"9499"</f>
        <v>9499</v>
      </c>
      <c r="I5542" t="s">
        <v>31</v>
      </c>
    </row>
    <row r="5543" spans="1:9" x14ac:dyDescent="0.3">
      <c r="A5543" t="str">
        <f>"70902321"</f>
        <v>70902321</v>
      </c>
      <c r="B5543" t="s">
        <v>10480</v>
      </c>
      <c r="C5543" t="str">
        <f t="shared" ref="C5543:C5591" si="374">"736"</f>
        <v>736</v>
      </c>
      <c r="D5543" t="s">
        <v>22</v>
      </c>
      <c r="E5543" t="s">
        <v>52</v>
      </c>
      <c r="F5543" t="s">
        <v>1170</v>
      </c>
      <c r="G5543" t="s">
        <v>1288</v>
      </c>
      <c r="H5543" t="str">
        <f t="shared" ref="H5543:H5551" si="375">"93110"</f>
        <v>93110</v>
      </c>
      <c r="I5543" t="s">
        <v>92</v>
      </c>
    </row>
    <row r="5544" spans="1:9" x14ac:dyDescent="0.3">
      <c r="A5544" t="str">
        <f>"75020297"</f>
        <v>75020297</v>
      </c>
      <c r="B5544" t="s">
        <v>10481</v>
      </c>
      <c r="C5544" t="str">
        <f t="shared" si="374"/>
        <v>736</v>
      </c>
      <c r="D5544" t="s">
        <v>22</v>
      </c>
      <c r="E5544" t="s">
        <v>52</v>
      </c>
      <c r="F5544" t="s">
        <v>80</v>
      </c>
      <c r="G5544" t="s">
        <v>1761</v>
      </c>
      <c r="H5544" t="str">
        <f t="shared" si="375"/>
        <v>93110</v>
      </c>
      <c r="I5544" t="s">
        <v>92</v>
      </c>
    </row>
    <row r="5545" spans="1:9" x14ac:dyDescent="0.3">
      <c r="A5545" t="str">
        <f>"61703320"</f>
        <v>61703320</v>
      </c>
      <c r="B5545" t="s">
        <v>10482</v>
      </c>
      <c r="C5545" t="str">
        <f t="shared" si="374"/>
        <v>736</v>
      </c>
      <c r="D5545" t="s">
        <v>22</v>
      </c>
      <c r="E5545" t="s">
        <v>52</v>
      </c>
      <c r="F5545" t="s">
        <v>612</v>
      </c>
      <c r="G5545" t="s">
        <v>10483</v>
      </c>
      <c r="H5545" t="str">
        <f t="shared" si="375"/>
        <v>93110</v>
      </c>
      <c r="I5545" t="s">
        <v>92</v>
      </c>
    </row>
    <row r="5546" spans="1:9" x14ac:dyDescent="0.3">
      <c r="A5546" t="str">
        <f>"44004303"</f>
        <v>44004303</v>
      </c>
      <c r="B5546" t="s">
        <v>10484</v>
      </c>
      <c r="C5546" t="str">
        <f t="shared" si="374"/>
        <v>736</v>
      </c>
      <c r="D5546" t="s">
        <v>22</v>
      </c>
      <c r="E5546" t="s">
        <v>23</v>
      </c>
      <c r="F5546" t="s">
        <v>3332</v>
      </c>
      <c r="G5546" t="s">
        <v>10485</v>
      </c>
      <c r="H5546" t="str">
        <f t="shared" si="375"/>
        <v>93110</v>
      </c>
      <c r="I5546" t="s">
        <v>92</v>
      </c>
    </row>
    <row r="5547" spans="1:9" x14ac:dyDescent="0.3">
      <c r="A5547" t="str">
        <f>"47930225"</f>
        <v>47930225</v>
      </c>
      <c r="B5547" t="s">
        <v>10486</v>
      </c>
      <c r="C5547" t="str">
        <f t="shared" si="374"/>
        <v>736</v>
      </c>
      <c r="D5547" t="s">
        <v>22</v>
      </c>
      <c r="E5547" t="s">
        <v>83</v>
      </c>
      <c r="F5547" t="s">
        <v>175</v>
      </c>
      <c r="G5547" t="s">
        <v>10487</v>
      </c>
      <c r="H5547" t="str">
        <f t="shared" si="375"/>
        <v>93110</v>
      </c>
      <c r="I5547" t="s">
        <v>92</v>
      </c>
    </row>
    <row r="5548" spans="1:9" x14ac:dyDescent="0.3">
      <c r="A5548" t="str">
        <f>"00532835"</f>
        <v>00532835</v>
      </c>
      <c r="B5548" t="s">
        <v>10488</v>
      </c>
      <c r="C5548" t="str">
        <f t="shared" si="374"/>
        <v>736</v>
      </c>
      <c r="D5548" t="s">
        <v>22</v>
      </c>
      <c r="E5548" t="s">
        <v>83</v>
      </c>
      <c r="F5548" t="s">
        <v>183</v>
      </c>
      <c r="G5548" t="s">
        <v>10489</v>
      </c>
      <c r="H5548" t="str">
        <f t="shared" si="375"/>
        <v>93110</v>
      </c>
      <c r="I5548" t="s">
        <v>92</v>
      </c>
    </row>
    <row r="5549" spans="1:9" x14ac:dyDescent="0.3">
      <c r="A5549" t="str">
        <f>"62334221"</f>
        <v>62334221</v>
      </c>
      <c r="B5549" t="s">
        <v>10490</v>
      </c>
      <c r="C5549" t="str">
        <f t="shared" si="374"/>
        <v>736</v>
      </c>
      <c r="D5549" t="s">
        <v>22</v>
      </c>
      <c r="E5549" t="s">
        <v>29</v>
      </c>
      <c r="F5549" t="s">
        <v>653</v>
      </c>
      <c r="G5549" t="s">
        <v>10491</v>
      </c>
      <c r="H5549" t="str">
        <f t="shared" si="375"/>
        <v>93110</v>
      </c>
      <c r="I5549" t="s">
        <v>92</v>
      </c>
    </row>
    <row r="5550" spans="1:9" x14ac:dyDescent="0.3">
      <c r="A5550" t="str">
        <f>"64123014"</f>
        <v>64123014</v>
      </c>
      <c r="B5550" t="s">
        <v>10492</v>
      </c>
      <c r="C5550" t="str">
        <f t="shared" si="374"/>
        <v>736</v>
      </c>
      <c r="D5550" t="s">
        <v>22</v>
      </c>
      <c r="E5550" t="s">
        <v>29</v>
      </c>
      <c r="F5550" t="s">
        <v>250</v>
      </c>
      <c r="G5550" t="s">
        <v>10493</v>
      </c>
      <c r="H5550" t="str">
        <f t="shared" si="375"/>
        <v>93110</v>
      </c>
      <c r="I5550" t="s">
        <v>92</v>
      </c>
    </row>
    <row r="5551" spans="1:9" x14ac:dyDescent="0.3">
      <c r="A5551" t="str">
        <f>"65823770"</f>
        <v>65823770</v>
      </c>
      <c r="B5551" t="s">
        <v>10494</v>
      </c>
      <c r="C5551" t="str">
        <f t="shared" si="374"/>
        <v>736</v>
      </c>
      <c r="D5551" t="s">
        <v>22</v>
      </c>
      <c r="E5551" t="s">
        <v>23</v>
      </c>
      <c r="F5551" t="s">
        <v>1555</v>
      </c>
      <c r="G5551" t="s">
        <v>10495</v>
      </c>
      <c r="H5551" t="str">
        <f t="shared" si="375"/>
        <v>93110</v>
      </c>
      <c r="I5551" t="s">
        <v>92</v>
      </c>
    </row>
    <row r="5552" spans="1:9" x14ac:dyDescent="0.3">
      <c r="A5552" t="str">
        <f>"22848410"</f>
        <v>22848410</v>
      </c>
      <c r="B5552" t="s">
        <v>10496</v>
      </c>
      <c r="C5552" t="str">
        <f t="shared" si="374"/>
        <v>736</v>
      </c>
      <c r="D5552" t="s">
        <v>22</v>
      </c>
      <c r="E5552" t="s">
        <v>23</v>
      </c>
      <c r="F5552" t="s">
        <v>23</v>
      </c>
      <c r="G5552" t="s">
        <v>10497</v>
      </c>
      <c r="H5552" t="str">
        <f>"93120"</f>
        <v>93120</v>
      </c>
      <c r="I5552" t="s">
        <v>54</v>
      </c>
    </row>
    <row r="5553" spans="1:10" x14ac:dyDescent="0.3">
      <c r="A5553" t="str">
        <f>"67728294"</f>
        <v>67728294</v>
      </c>
      <c r="B5553" t="s">
        <v>10498</v>
      </c>
      <c r="C5553" t="str">
        <f t="shared" si="374"/>
        <v>736</v>
      </c>
      <c r="D5553" t="s">
        <v>22</v>
      </c>
      <c r="E5553" t="s">
        <v>29</v>
      </c>
      <c r="F5553" t="s">
        <v>1121</v>
      </c>
      <c r="G5553" t="s">
        <v>10322</v>
      </c>
      <c r="H5553" t="str">
        <f t="shared" ref="H5553:H5561" si="376">"93110"</f>
        <v>93110</v>
      </c>
      <c r="I5553" t="s">
        <v>92</v>
      </c>
    </row>
    <row r="5554" spans="1:10" x14ac:dyDescent="0.3">
      <c r="A5554" t="str">
        <f>"47935278"</f>
        <v>47935278</v>
      </c>
      <c r="B5554" t="s">
        <v>10499</v>
      </c>
      <c r="C5554" t="str">
        <f t="shared" si="374"/>
        <v>736</v>
      </c>
      <c r="D5554" t="s">
        <v>22</v>
      </c>
      <c r="E5554" t="s">
        <v>83</v>
      </c>
      <c r="F5554" t="s">
        <v>4274</v>
      </c>
      <c r="G5554" t="s">
        <v>10500</v>
      </c>
      <c r="H5554" t="str">
        <f t="shared" si="376"/>
        <v>93110</v>
      </c>
      <c r="I5554" t="s">
        <v>92</v>
      </c>
    </row>
    <row r="5555" spans="1:10" x14ac:dyDescent="0.3">
      <c r="A5555" t="str">
        <f>"46276637"</f>
        <v>46276637</v>
      </c>
      <c r="B5555" t="s">
        <v>10501</v>
      </c>
      <c r="C5555" t="str">
        <f t="shared" si="374"/>
        <v>736</v>
      </c>
      <c r="D5555" t="s">
        <v>22</v>
      </c>
      <c r="E5555" t="s">
        <v>23</v>
      </c>
      <c r="F5555" t="s">
        <v>23</v>
      </c>
      <c r="G5555" t="s">
        <v>10502</v>
      </c>
      <c r="H5555" t="str">
        <f t="shared" si="376"/>
        <v>93110</v>
      </c>
      <c r="I5555" t="s">
        <v>92</v>
      </c>
    </row>
    <row r="5556" spans="1:10" x14ac:dyDescent="0.3">
      <c r="A5556" t="str">
        <f>"47934654"</f>
        <v>47934654</v>
      </c>
      <c r="B5556" t="s">
        <v>10503</v>
      </c>
      <c r="C5556" t="str">
        <f t="shared" si="374"/>
        <v>736</v>
      </c>
      <c r="D5556" t="s">
        <v>22</v>
      </c>
      <c r="E5556" t="s">
        <v>83</v>
      </c>
      <c r="F5556" t="s">
        <v>230</v>
      </c>
      <c r="G5556" t="s">
        <v>10504</v>
      </c>
      <c r="H5556" t="str">
        <f t="shared" si="376"/>
        <v>93110</v>
      </c>
      <c r="I5556" t="s">
        <v>92</v>
      </c>
    </row>
    <row r="5557" spans="1:10" x14ac:dyDescent="0.3">
      <c r="A5557" t="str">
        <f>"46998471"</f>
        <v>46998471</v>
      </c>
      <c r="B5557" t="s">
        <v>10505</v>
      </c>
      <c r="C5557" t="str">
        <f t="shared" si="374"/>
        <v>736</v>
      </c>
      <c r="D5557" t="s">
        <v>22</v>
      </c>
      <c r="E5557" t="s">
        <v>83</v>
      </c>
      <c r="F5557" t="s">
        <v>83</v>
      </c>
      <c r="G5557" t="s">
        <v>9062</v>
      </c>
      <c r="H5557" t="str">
        <f t="shared" si="376"/>
        <v>93110</v>
      </c>
      <c r="I5557" t="s">
        <v>92</v>
      </c>
    </row>
    <row r="5558" spans="1:10" x14ac:dyDescent="0.3">
      <c r="A5558" t="str">
        <f>"00544078"</f>
        <v>00544078</v>
      </c>
      <c r="B5558" t="s">
        <v>10506</v>
      </c>
      <c r="C5558" t="str">
        <f t="shared" si="374"/>
        <v>736</v>
      </c>
      <c r="D5558" t="s">
        <v>22</v>
      </c>
      <c r="E5558" t="s">
        <v>52</v>
      </c>
      <c r="F5558" t="s">
        <v>234</v>
      </c>
      <c r="G5558" t="s">
        <v>10507</v>
      </c>
      <c r="H5558" t="str">
        <f t="shared" si="376"/>
        <v>93110</v>
      </c>
      <c r="I5558" t="s">
        <v>92</v>
      </c>
    </row>
    <row r="5559" spans="1:10" x14ac:dyDescent="0.3">
      <c r="A5559" t="str">
        <f>"47933631"</f>
        <v>47933631</v>
      </c>
      <c r="B5559" t="s">
        <v>10508</v>
      </c>
      <c r="C5559" t="str">
        <f t="shared" si="374"/>
        <v>736</v>
      </c>
      <c r="D5559" t="s">
        <v>22</v>
      </c>
      <c r="E5559" t="s">
        <v>83</v>
      </c>
      <c r="F5559" t="s">
        <v>409</v>
      </c>
      <c r="G5559" t="s">
        <v>10509</v>
      </c>
      <c r="H5559" t="str">
        <f t="shared" si="376"/>
        <v>93110</v>
      </c>
      <c r="I5559" t="s">
        <v>92</v>
      </c>
    </row>
    <row r="5560" spans="1:10" x14ac:dyDescent="0.3">
      <c r="A5560" t="str">
        <f>"47930101"</f>
        <v>47930101</v>
      </c>
      <c r="B5560" t="s">
        <v>10510</v>
      </c>
      <c r="C5560" t="str">
        <f t="shared" si="374"/>
        <v>736</v>
      </c>
      <c r="D5560" t="s">
        <v>22</v>
      </c>
      <c r="E5560" t="s">
        <v>83</v>
      </c>
      <c r="F5560" t="s">
        <v>1846</v>
      </c>
      <c r="G5560" t="s">
        <v>10511</v>
      </c>
      <c r="H5560" t="str">
        <f t="shared" si="376"/>
        <v>93110</v>
      </c>
      <c r="I5560" t="s">
        <v>92</v>
      </c>
    </row>
    <row r="5561" spans="1:10" x14ac:dyDescent="0.3">
      <c r="A5561" t="str">
        <f>"65792165"</f>
        <v>65792165</v>
      </c>
      <c r="B5561" t="s">
        <v>10512</v>
      </c>
      <c r="C5561" t="str">
        <f t="shared" si="374"/>
        <v>736</v>
      </c>
      <c r="D5561" t="s">
        <v>22</v>
      </c>
      <c r="E5561" t="s">
        <v>23</v>
      </c>
      <c r="F5561" t="s">
        <v>99</v>
      </c>
      <c r="G5561" t="s">
        <v>10513</v>
      </c>
      <c r="H5561" t="str">
        <f t="shared" si="376"/>
        <v>93110</v>
      </c>
      <c r="I5561" t="s">
        <v>92</v>
      </c>
      <c r="J5561" t="s">
        <v>161</v>
      </c>
    </row>
    <row r="5562" spans="1:10" x14ac:dyDescent="0.3">
      <c r="A5562" t="str">
        <f>"14089840"</f>
        <v>14089840</v>
      </c>
      <c r="B5562" t="s">
        <v>10514</v>
      </c>
      <c r="C5562" t="str">
        <f t="shared" si="374"/>
        <v>736</v>
      </c>
      <c r="D5562" t="s">
        <v>22</v>
      </c>
      <c r="E5562" t="s">
        <v>23</v>
      </c>
      <c r="F5562" t="s">
        <v>35</v>
      </c>
      <c r="G5562" t="s">
        <v>5797</v>
      </c>
      <c r="H5562" t="str">
        <f>"93190"</f>
        <v>93190</v>
      </c>
      <c r="I5562" t="s">
        <v>59</v>
      </c>
    </row>
    <row r="5563" spans="1:10" x14ac:dyDescent="0.3">
      <c r="A5563" t="str">
        <f>"42340021"</f>
        <v>42340021</v>
      </c>
      <c r="B5563" t="s">
        <v>10515</v>
      </c>
      <c r="C5563" t="str">
        <f t="shared" si="374"/>
        <v>736</v>
      </c>
      <c r="D5563" t="s">
        <v>22</v>
      </c>
      <c r="E5563" t="s">
        <v>23</v>
      </c>
      <c r="F5563" t="s">
        <v>23</v>
      </c>
      <c r="G5563" t="s">
        <v>10516</v>
      </c>
      <c r="H5563" t="str">
        <f>"93110"</f>
        <v>93110</v>
      </c>
      <c r="I5563" t="s">
        <v>92</v>
      </c>
    </row>
    <row r="5564" spans="1:10" x14ac:dyDescent="0.3">
      <c r="A5564" t="str">
        <f>"63414121"</f>
        <v>63414121</v>
      </c>
      <c r="B5564" t="s">
        <v>10517</v>
      </c>
      <c r="C5564" t="str">
        <f t="shared" si="374"/>
        <v>736</v>
      </c>
      <c r="D5564" t="s">
        <v>22</v>
      </c>
      <c r="E5564" t="s">
        <v>83</v>
      </c>
      <c r="F5564" t="s">
        <v>3361</v>
      </c>
      <c r="G5564" t="s">
        <v>10518</v>
      </c>
      <c r="H5564" t="str">
        <f>"93110"</f>
        <v>93110</v>
      </c>
      <c r="I5564" t="s">
        <v>92</v>
      </c>
    </row>
    <row r="5565" spans="1:10" x14ac:dyDescent="0.3">
      <c r="A5565" t="str">
        <f>"48505919"</f>
        <v>48505919</v>
      </c>
      <c r="B5565" t="s">
        <v>10519</v>
      </c>
      <c r="C5565" t="str">
        <f t="shared" si="374"/>
        <v>736</v>
      </c>
      <c r="D5565" t="s">
        <v>22</v>
      </c>
      <c r="E5565" t="s">
        <v>52</v>
      </c>
      <c r="F5565" t="s">
        <v>52</v>
      </c>
      <c r="G5565" t="s">
        <v>10520</v>
      </c>
      <c r="H5565" t="str">
        <f>"93110"</f>
        <v>93110</v>
      </c>
      <c r="I5565" t="s">
        <v>92</v>
      </c>
    </row>
    <row r="5566" spans="1:10" x14ac:dyDescent="0.3">
      <c r="A5566" t="str">
        <f>"47930152"</f>
        <v>47930152</v>
      </c>
      <c r="B5566" t="s">
        <v>10521</v>
      </c>
      <c r="C5566" t="str">
        <f t="shared" si="374"/>
        <v>736</v>
      </c>
      <c r="D5566" t="s">
        <v>22</v>
      </c>
      <c r="E5566" t="s">
        <v>83</v>
      </c>
      <c r="F5566" t="s">
        <v>130</v>
      </c>
      <c r="G5566" t="s">
        <v>10522</v>
      </c>
      <c r="H5566" t="str">
        <f>"93110"</f>
        <v>93110</v>
      </c>
      <c r="I5566" t="s">
        <v>92</v>
      </c>
      <c r="J5566" t="s">
        <v>161</v>
      </c>
    </row>
    <row r="5567" spans="1:10" x14ac:dyDescent="0.3">
      <c r="A5567" t="str">
        <f>"44117329"</f>
        <v>44117329</v>
      </c>
      <c r="B5567" t="s">
        <v>10523</v>
      </c>
      <c r="C5567" t="str">
        <f t="shared" si="374"/>
        <v>736</v>
      </c>
      <c r="D5567" t="s">
        <v>22</v>
      </c>
      <c r="E5567" t="s">
        <v>23</v>
      </c>
      <c r="F5567" t="s">
        <v>141</v>
      </c>
      <c r="G5567" t="s">
        <v>10524</v>
      </c>
      <c r="H5567" t="str">
        <f>"9311"</f>
        <v>9311</v>
      </c>
      <c r="I5567" t="s">
        <v>92</v>
      </c>
    </row>
    <row r="5568" spans="1:10" x14ac:dyDescent="0.3">
      <c r="A5568" t="str">
        <f>"65338154"</f>
        <v>65338154</v>
      </c>
      <c r="B5568" t="s">
        <v>10525</v>
      </c>
      <c r="C5568" t="str">
        <f t="shared" si="374"/>
        <v>736</v>
      </c>
      <c r="D5568" t="s">
        <v>22</v>
      </c>
      <c r="E5568" t="s">
        <v>83</v>
      </c>
      <c r="F5568" t="s">
        <v>4832</v>
      </c>
      <c r="G5568" t="s">
        <v>10526</v>
      </c>
      <c r="H5568" t="str">
        <f t="shared" ref="H5568:H5573" si="377">"93110"</f>
        <v>93110</v>
      </c>
      <c r="I5568" t="s">
        <v>92</v>
      </c>
    </row>
    <row r="5569" spans="1:9" x14ac:dyDescent="0.3">
      <c r="A5569" t="str">
        <f>"70925372"</f>
        <v>70925372</v>
      </c>
      <c r="B5569" t="s">
        <v>10527</v>
      </c>
      <c r="C5569" t="str">
        <f t="shared" si="374"/>
        <v>736</v>
      </c>
      <c r="D5569" t="s">
        <v>22</v>
      </c>
      <c r="E5569" t="s">
        <v>23</v>
      </c>
      <c r="F5569" t="s">
        <v>24</v>
      </c>
      <c r="G5569" t="s">
        <v>9697</v>
      </c>
      <c r="H5569" t="str">
        <f t="shared" si="377"/>
        <v>93110</v>
      </c>
      <c r="I5569" t="s">
        <v>92</v>
      </c>
    </row>
    <row r="5570" spans="1:9" x14ac:dyDescent="0.3">
      <c r="A5570" t="str">
        <f>"70810818"</f>
        <v>70810818</v>
      </c>
      <c r="B5570" t="s">
        <v>10528</v>
      </c>
      <c r="C5570" t="str">
        <f t="shared" si="374"/>
        <v>736</v>
      </c>
      <c r="D5570" t="s">
        <v>22</v>
      </c>
      <c r="E5570" t="s">
        <v>52</v>
      </c>
      <c r="F5570" t="s">
        <v>274</v>
      </c>
      <c r="G5570" t="s">
        <v>10529</v>
      </c>
      <c r="H5570" t="str">
        <f t="shared" si="377"/>
        <v>93110</v>
      </c>
      <c r="I5570" t="s">
        <v>92</v>
      </c>
    </row>
    <row r="5571" spans="1:9" x14ac:dyDescent="0.3">
      <c r="A5571" t="str">
        <f>"47930527"</f>
        <v>47930527</v>
      </c>
      <c r="B5571" t="s">
        <v>10530</v>
      </c>
      <c r="C5571" t="str">
        <f t="shared" si="374"/>
        <v>736</v>
      </c>
      <c r="D5571" t="s">
        <v>22</v>
      </c>
      <c r="E5571" t="s">
        <v>83</v>
      </c>
      <c r="F5571" t="s">
        <v>1867</v>
      </c>
      <c r="G5571" t="s">
        <v>10531</v>
      </c>
      <c r="H5571" t="str">
        <f t="shared" si="377"/>
        <v>93110</v>
      </c>
      <c r="I5571" t="s">
        <v>92</v>
      </c>
    </row>
    <row r="5572" spans="1:9" x14ac:dyDescent="0.3">
      <c r="A5572" t="str">
        <f>"18189610"</f>
        <v>18189610</v>
      </c>
      <c r="B5572" t="s">
        <v>10532</v>
      </c>
      <c r="C5572" t="str">
        <f t="shared" si="374"/>
        <v>736</v>
      </c>
      <c r="D5572" t="s">
        <v>22</v>
      </c>
      <c r="E5572" t="s">
        <v>83</v>
      </c>
      <c r="F5572" t="s">
        <v>83</v>
      </c>
      <c r="G5572" t="s">
        <v>10533</v>
      </c>
      <c r="H5572" t="str">
        <f t="shared" si="377"/>
        <v>93110</v>
      </c>
      <c r="I5572" t="s">
        <v>92</v>
      </c>
    </row>
    <row r="5573" spans="1:9" x14ac:dyDescent="0.3">
      <c r="A5573" t="str">
        <f>"65828119"</f>
        <v>65828119</v>
      </c>
      <c r="B5573" t="s">
        <v>10534</v>
      </c>
      <c r="C5573" t="str">
        <f t="shared" si="374"/>
        <v>736</v>
      </c>
      <c r="D5573" t="s">
        <v>22</v>
      </c>
      <c r="E5573" t="s">
        <v>83</v>
      </c>
      <c r="F5573" t="s">
        <v>1778</v>
      </c>
      <c r="G5573" t="s">
        <v>10535</v>
      </c>
      <c r="H5573" t="str">
        <f t="shared" si="377"/>
        <v>93110</v>
      </c>
      <c r="I5573" t="s">
        <v>92</v>
      </c>
    </row>
    <row r="5574" spans="1:9" x14ac:dyDescent="0.3">
      <c r="A5574" t="str">
        <f>"70238669"</f>
        <v>70238669</v>
      </c>
      <c r="B5574" t="s">
        <v>10536</v>
      </c>
      <c r="C5574" t="str">
        <f t="shared" si="374"/>
        <v>736</v>
      </c>
      <c r="D5574" t="s">
        <v>22</v>
      </c>
      <c r="E5574" t="s">
        <v>29</v>
      </c>
      <c r="F5574" t="s">
        <v>38</v>
      </c>
      <c r="G5574" t="s">
        <v>10537</v>
      </c>
      <c r="H5574" t="str">
        <f>"931"</f>
        <v>931</v>
      </c>
      <c r="I5574" t="s">
        <v>26</v>
      </c>
    </row>
    <row r="5575" spans="1:9" x14ac:dyDescent="0.3">
      <c r="A5575" t="str">
        <f>"70806721"</f>
        <v>70806721</v>
      </c>
      <c r="B5575" t="s">
        <v>10538</v>
      </c>
      <c r="C5575" t="str">
        <f t="shared" si="374"/>
        <v>736</v>
      </c>
      <c r="D5575" t="s">
        <v>22</v>
      </c>
      <c r="E5575" t="s">
        <v>52</v>
      </c>
      <c r="F5575" t="s">
        <v>379</v>
      </c>
      <c r="G5575" t="s">
        <v>3940</v>
      </c>
      <c r="H5575" t="str">
        <f>"93110"</f>
        <v>93110</v>
      </c>
      <c r="I5575" t="s">
        <v>92</v>
      </c>
    </row>
    <row r="5576" spans="1:9" x14ac:dyDescent="0.3">
      <c r="A5576" t="str">
        <f>"46276335"</f>
        <v>46276335</v>
      </c>
      <c r="B5576" t="s">
        <v>10539</v>
      </c>
      <c r="C5576" t="str">
        <f t="shared" si="374"/>
        <v>736</v>
      </c>
      <c r="D5576" t="s">
        <v>22</v>
      </c>
      <c r="E5576" t="s">
        <v>23</v>
      </c>
      <c r="F5576" t="s">
        <v>23</v>
      </c>
      <c r="G5576" t="s">
        <v>10540</v>
      </c>
      <c r="H5576" t="str">
        <f>"94993"</f>
        <v>94993</v>
      </c>
      <c r="I5576" t="s">
        <v>50</v>
      </c>
    </row>
    <row r="5577" spans="1:9" x14ac:dyDescent="0.3">
      <c r="A5577" t="str">
        <f>"48473901"</f>
        <v>48473901</v>
      </c>
      <c r="B5577" t="s">
        <v>10541</v>
      </c>
      <c r="C5577" t="str">
        <f t="shared" si="374"/>
        <v>736</v>
      </c>
      <c r="D5577" t="s">
        <v>22</v>
      </c>
      <c r="E5577" t="s">
        <v>23</v>
      </c>
      <c r="F5577" t="s">
        <v>695</v>
      </c>
      <c r="G5577" t="s">
        <v>9995</v>
      </c>
      <c r="H5577" t="str">
        <f>"93110"</f>
        <v>93110</v>
      </c>
      <c r="I5577" t="s">
        <v>92</v>
      </c>
    </row>
    <row r="5578" spans="1:9" x14ac:dyDescent="0.3">
      <c r="A5578" t="str">
        <f>"47930136"</f>
        <v>47930136</v>
      </c>
      <c r="B5578" t="s">
        <v>10542</v>
      </c>
      <c r="C5578" t="str">
        <f t="shared" si="374"/>
        <v>736</v>
      </c>
      <c r="D5578" t="s">
        <v>22</v>
      </c>
      <c r="E5578" t="s">
        <v>83</v>
      </c>
      <c r="F5578" t="s">
        <v>2748</v>
      </c>
      <c r="G5578" t="s">
        <v>10543</v>
      </c>
      <c r="H5578" t="str">
        <f>"93110"</f>
        <v>93110</v>
      </c>
      <c r="I5578" t="s">
        <v>92</v>
      </c>
    </row>
    <row r="5579" spans="1:9" x14ac:dyDescent="0.3">
      <c r="A5579" t="str">
        <f>"00531120"</f>
        <v>00531120</v>
      </c>
      <c r="B5579" t="s">
        <v>10544</v>
      </c>
      <c r="C5579" t="str">
        <f t="shared" si="374"/>
        <v>736</v>
      </c>
      <c r="D5579" t="s">
        <v>22</v>
      </c>
      <c r="E5579" t="s">
        <v>52</v>
      </c>
      <c r="F5579" t="s">
        <v>52</v>
      </c>
      <c r="G5579" t="s">
        <v>10545</v>
      </c>
      <c r="H5579" t="str">
        <f>"9311"</f>
        <v>9311</v>
      </c>
      <c r="I5579" t="s">
        <v>92</v>
      </c>
    </row>
    <row r="5580" spans="1:9" x14ac:dyDescent="0.3">
      <c r="A5580" t="str">
        <f>"00531138"</f>
        <v>00531138</v>
      </c>
      <c r="B5580" t="s">
        <v>10546</v>
      </c>
      <c r="C5580" t="str">
        <f t="shared" si="374"/>
        <v>736</v>
      </c>
      <c r="D5580" t="s">
        <v>22</v>
      </c>
      <c r="E5580" t="s">
        <v>52</v>
      </c>
      <c r="F5580" t="s">
        <v>113</v>
      </c>
      <c r="G5580" t="s">
        <v>10547</v>
      </c>
      <c r="H5580" t="str">
        <f>"93110"</f>
        <v>93110</v>
      </c>
      <c r="I5580" t="s">
        <v>92</v>
      </c>
    </row>
    <row r="5581" spans="1:9" x14ac:dyDescent="0.3">
      <c r="A5581" t="str">
        <f>"49157957"</f>
        <v>49157957</v>
      </c>
      <c r="B5581" t="s">
        <v>10548</v>
      </c>
      <c r="C5581" t="str">
        <f t="shared" si="374"/>
        <v>736</v>
      </c>
      <c r="D5581" t="s">
        <v>22</v>
      </c>
      <c r="E5581" t="s">
        <v>23</v>
      </c>
      <c r="F5581" t="s">
        <v>107</v>
      </c>
      <c r="G5581" t="s">
        <v>10549</v>
      </c>
      <c r="H5581" t="str">
        <f>"93110"</f>
        <v>93110</v>
      </c>
      <c r="I5581" t="s">
        <v>92</v>
      </c>
    </row>
    <row r="5582" spans="1:9" x14ac:dyDescent="0.3">
      <c r="A5582" t="str">
        <f>"60042311"</f>
        <v>60042311</v>
      </c>
      <c r="B5582" t="s">
        <v>10550</v>
      </c>
      <c r="C5582" t="str">
        <f t="shared" si="374"/>
        <v>736</v>
      </c>
      <c r="D5582" t="s">
        <v>22</v>
      </c>
      <c r="E5582" t="s">
        <v>29</v>
      </c>
      <c r="F5582" t="s">
        <v>195</v>
      </c>
      <c r="G5582" t="s">
        <v>9066</v>
      </c>
      <c r="H5582" t="str">
        <f>"93110"</f>
        <v>93110</v>
      </c>
      <c r="I5582" t="s">
        <v>92</v>
      </c>
    </row>
    <row r="5583" spans="1:9" x14ac:dyDescent="0.3">
      <c r="A5583" t="str">
        <f>"01177630"</f>
        <v>01177630</v>
      </c>
      <c r="B5583" t="s">
        <v>10551</v>
      </c>
      <c r="C5583" t="str">
        <f t="shared" si="374"/>
        <v>736</v>
      </c>
      <c r="D5583" t="s">
        <v>22</v>
      </c>
      <c r="E5583" t="s">
        <v>83</v>
      </c>
      <c r="F5583" t="s">
        <v>285</v>
      </c>
      <c r="G5583" t="s">
        <v>1154</v>
      </c>
      <c r="H5583" t="str">
        <f>"93110"</f>
        <v>93110</v>
      </c>
      <c r="I5583" t="s">
        <v>92</v>
      </c>
    </row>
    <row r="5584" spans="1:9" x14ac:dyDescent="0.3">
      <c r="A5584" t="str">
        <f>"16361601"</f>
        <v>16361601</v>
      </c>
      <c r="B5584" t="s">
        <v>10552</v>
      </c>
      <c r="C5584" t="str">
        <f t="shared" si="374"/>
        <v>736</v>
      </c>
      <c r="D5584" t="s">
        <v>22</v>
      </c>
      <c r="E5584" t="s">
        <v>52</v>
      </c>
      <c r="F5584" t="s">
        <v>951</v>
      </c>
      <c r="G5584" t="s">
        <v>10553</v>
      </c>
      <c r="H5584" t="str">
        <f>"93110"</f>
        <v>93110</v>
      </c>
      <c r="I5584" t="s">
        <v>92</v>
      </c>
    </row>
    <row r="5585" spans="1:13" x14ac:dyDescent="0.3">
      <c r="A5585" t="str">
        <f>"62334964"</f>
        <v>62334964</v>
      </c>
      <c r="B5585" t="s">
        <v>10554</v>
      </c>
      <c r="C5585" t="str">
        <f t="shared" si="374"/>
        <v>736</v>
      </c>
      <c r="D5585" t="s">
        <v>22</v>
      </c>
      <c r="E5585" t="s">
        <v>29</v>
      </c>
      <c r="F5585" t="s">
        <v>29</v>
      </c>
      <c r="G5585" t="s">
        <v>822</v>
      </c>
      <c r="H5585" t="str">
        <f>"931"</f>
        <v>931</v>
      </c>
      <c r="I5585" t="s">
        <v>26</v>
      </c>
    </row>
    <row r="5586" spans="1:13" x14ac:dyDescent="0.3">
      <c r="A5586" t="str">
        <f>"08009988"</f>
        <v>08009988</v>
      </c>
      <c r="B5586" t="s">
        <v>10555</v>
      </c>
      <c r="C5586" t="str">
        <f t="shared" si="374"/>
        <v>736</v>
      </c>
      <c r="D5586" t="s">
        <v>22</v>
      </c>
      <c r="E5586" t="s">
        <v>83</v>
      </c>
      <c r="F5586" t="s">
        <v>183</v>
      </c>
      <c r="G5586" t="s">
        <v>9146</v>
      </c>
      <c r="H5586" t="str">
        <f t="shared" ref="H5586:H5595" si="378">"93110"</f>
        <v>93110</v>
      </c>
      <c r="I5586" t="s">
        <v>92</v>
      </c>
    </row>
    <row r="5587" spans="1:13" x14ac:dyDescent="0.3">
      <c r="A5587" t="str">
        <f>"04159951"</f>
        <v>04159951</v>
      </c>
      <c r="B5587" t="s">
        <v>10556</v>
      </c>
      <c r="C5587" t="str">
        <f t="shared" si="374"/>
        <v>736</v>
      </c>
      <c r="D5587" t="s">
        <v>22</v>
      </c>
      <c r="E5587" t="s">
        <v>23</v>
      </c>
      <c r="F5587" t="s">
        <v>87</v>
      </c>
      <c r="G5587" t="s">
        <v>10557</v>
      </c>
      <c r="H5587" t="str">
        <f t="shared" si="378"/>
        <v>93110</v>
      </c>
      <c r="I5587" t="s">
        <v>92</v>
      </c>
    </row>
    <row r="5588" spans="1:13" x14ac:dyDescent="0.3">
      <c r="A5588" t="str">
        <f>"00530719"</f>
        <v>00530719</v>
      </c>
      <c r="B5588" t="s">
        <v>10558</v>
      </c>
      <c r="C5588" t="str">
        <f t="shared" si="374"/>
        <v>736</v>
      </c>
      <c r="D5588" t="s">
        <v>22</v>
      </c>
      <c r="E5588" t="s">
        <v>23</v>
      </c>
      <c r="F5588" t="s">
        <v>23</v>
      </c>
      <c r="G5588" t="s">
        <v>10559</v>
      </c>
      <c r="H5588" t="str">
        <f t="shared" si="378"/>
        <v>93110</v>
      </c>
      <c r="I5588" t="s">
        <v>92</v>
      </c>
    </row>
    <row r="5589" spans="1:13" x14ac:dyDescent="0.3">
      <c r="A5589" t="str">
        <f>"65823061"</f>
        <v>65823061</v>
      </c>
      <c r="B5589" t="s">
        <v>10560</v>
      </c>
      <c r="C5589" t="str">
        <f t="shared" si="374"/>
        <v>736</v>
      </c>
      <c r="D5589" t="s">
        <v>22</v>
      </c>
      <c r="E5589" t="s">
        <v>23</v>
      </c>
      <c r="F5589" t="s">
        <v>23</v>
      </c>
      <c r="G5589" t="s">
        <v>10561</v>
      </c>
      <c r="H5589" t="str">
        <f t="shared" si="378"/>
        <v>93110</v>
      </c>
      <c r="I5589" t="s">
        <v>92</v>
      </c>
    </row>
    <row r="5590" spans="1:13" x14ac:dyDescent="0.3">
      <c r="A5590" t="str">
        <f>"47933755"</f>
        <v>47933755</v>
      </c>
      <c r="B5590" t="s">
        <v>10562</v>
      </c>
      <c r="C5590" t="str">
        <f t="shared" si="374"/>
        <v>736</v>
      </c>
      <c r="D5590" t="s">
        <v>22</v>
      </c>
      <c r="E5590" t="s">
        <v>83</v>
      </c>
      <c r="F5590" t="s">
        <v>5718</v>
      </c>
      <c r="G5590" t="s">
        <v>10563</v>
      </c>
      <c r="H5590" t="str">
        <f t="shared" si="378"/>
        <v>93110</v>
      </c>
      <c r="I5590" t="s">
        <v>92</v>
      </c>
    </row>
    <row r="5591" spans="1:13" x14ac:dyDescent="0.3">
      <c r="A5591" t="str">
        <f>"44119259"</f>
        <v>44119259</v>
      </c>
      <c r="B5591" t="s">
        <v>10564</v>
      </c>
      <c r="C5591" t="str">
        <f t="shared" si="374"/>
        <v>736</v>
      </c>
      <c r="D5591" t="s">
        <v>22</v>
      </c>
      <c r="E5591" t="s">
        <v>23</v>
      </c>
      <c r="F5591" t="s">
        <v>1492</v>
      </c>
      <c r="G5591" t="s">
        <v>10565</v>
      </c>
      <c r="H5591" t="str">
        <f t="shared" si="378"/>
        <v>93110</v>
      </c>
      <c r="I5591" t="s">
        <v>92</v>
      </c>
    </row>
    <row r="5592" spans="1:13" x14ac:dyDescent="0.3">
      <c r="A5592" t="str">
        <f>"61704130"</f>
        <v>61704130</v>
      </c>
      <c r="B5592" t="s">
        <v>10566</v>
      </c>
      <c r="C5592" t="str">
        <f t="shared" ref="C5592:C5655" si="379">"706"</f>
        <v>706</v>
      </c>
      <c r="D5592" t="s">
        <v>28</v>
      </c>
      <c r="E5592" t="s">
        <v>52</v>
      </c>
      <c r="F5592" t="s">
        <v>960</v>
      </c>
      <c r="G5592" t="s">
        <v>10567</v>
      </c>
      <c r="H5592" t="str">
        <f t="shared" si="378"/>
        <v>93110</v>
      </c>
      <c r="I5592" t="s">
        <v>92</v>
      </c>
    </row>
    <row r="5593" spans="1:13" x14ac:dyDescent="0.3">
      <c r="A5593" t="str">
        <f>"46956425"</f>
        <v>46956425</v>
      </c>
      <c r="B5593" t="s">
        <v>10568</v>
      </c>
      <c r="C5593" t="str">
        <f t="shared" si="379"/>
        <v>706</v>
      </c>
      <c r="D5593" t="s">
        <v>28</v>
      </c>
      <c r="E5593" t="s">
        <v>52</v>
      </c>
      <c r="F5593" t="s">
        <v>612</v>
      </c>
      <c r="G5593" t="s">
        <v>9911</v>
      </c>
      <c r="H5593" t="str">
        <f t="shared" si="378"/>
        <v>93110</v>
      </c>
      <c r="I5593" t="s">
        <v>92</v>
      </c>
      <c r="J5593" t="s">
        <v>498</v>
      </c>
      <c r="K5593" t="s">
        <v>2454</v>
      </c>
      <c r="L5593" t="s">
        <v>2536</v>
      </c>
      <c r="M5593" t="s">
        <v>161</v>
      </c>
    </row>
    <row r="5594" spans="1:13" x14ac:dyDescent="0.3">
      <c r="A5594" t="str">
        <f>"60369973"</f>
        <v>60369973</v>
      </c>
      <c r="B5594" t="s">
        <v>10569</v>
      </c>
      <c r="C5594" t="str">
        <f t="shared" si="379"/>
        <v>706</v>
      </c>
      <c r="D5594" t="s">
        <v>28</v>
      </c>
      <c r="E5594" t="s">
        <v>52</v>
      </c>
      <c r="F5594" t="s">
        <v>344</v>
      </c>
      <c r="G5594" t="s">
        <v>10570</v>
      </c>
      <c r="H5594" t="str">
        <f t="shared" si="378"/>
        <v>93110</v>
      </c>
      <c r="I5594" t="s">
        <v>92</v>
      </c>
    </row>
    <row r="5595" spans="1:13" x14ac:dyDescent="0.3">
      <c r="A5595" t="str">
        <f>"18189571"</f>
        <v>18189571</v>
      </c>
      <c r="B5595" t="s">
        <v>10571</v>
      </c>
      <c r="C5595" t="str">
        <f t="shared" si="379"/>
        <v>706</v>
      </c>
      <c r="D5595" t="s">
        <v>28</v>
      </c>
      <c r="E5595" t="s">
        <v>83</v>
      </c>
      <c r="F5595" t="s">
        <v>520</v>
      </c>
      <c r="G5595" t="s">
        <v>1786</v>
      </c>
      <c r="H5595" t="str">
        <f t="shared" si="378"/>
        <v>93110</v>
      </c>
      <c r="I5595" t="s">
        <v>92</v>
      </c>
    </row>
    <row r="5596" spans="1:13" x14ac:dyDescent="0.3">
      <c r="A5596" t="str">
        <f>"48472786"</f>
        <v>48472786</v>
      </c>
      <c r="B5596" t="s">
        <v>10572</v>
      </c>
      <c r="C5596" t="str">
        <f t="shared" si="379"/>
        <v>706</v>
      </c>
      <c r="D5596" t="s">
        <v>28</v>
      </c>
      <c r="E5596" t="s">
        <v>23</v>
      </c>
      <c r="F5596" t="s">
        <v>1885</v>
      </c>
      <c r="G5596" t="s">
        <v>1886</v>
      </c>
      <c r="H5596" t="str">
        <f>"9499"</f>
        <v>9499</v>
      </c>
      <c r="I5596" t="s">
        <v>31</v>
      </c>
    </row>
    <row r="5597" spans="1:13" x14ac:dyDescent="0.3">
      <c r="A5597" t="str">
        <f>"60371960"</f>
        <v>60371960</v>
      </c>
      <c r="B5597" t="s">
        <v>10573</v>
      </c>
      <c r="C5597" t="str">
        <f t="shared" si="379"/>
        <v>706</v>
      </c>
      <c r="D5597" t="s">
        <v>28</v>
      </c>
      <c r="E5597" t="s">
        <v>52</v>
      </c>
      <c r="F5597" t="s">
        <v>1973</v>
      </c>
      <c r="G5597" t="s">
        <v>1974</v>
      </c>
      <c r="H5597" t="str">
        <f>"93110"</f>
        <v>93110</v>
      </c>
      <c r="I5597" t="s">
        <v>92</v>
      </c>
    </row>
    <row r="5598" spans="1:13" x14ac:dyDescent="0.3">
      <c r="A5598" t="str">
        <f>"61704407"</f>
        <v>61704407</v>
      </c>
      <c r="B5598" t="s">
        <v>10574</v>
      </c>
      <c r="C5598" t="str">
        <f t="shared" si="379"/>
        <v>706</v>
      </c>
      <c r="D5598" t="s">
        <v>28</v>
      </c>
      <c r="E5598" t="s">
        <v>52</v>
      </c>
      <c r="F5598" t="s">
        <v>406</v>
      </c>
      <c r="G5598" t="s">
        <v>10575</v>
      </c>
      <c r="H5598" t="str">
        <f>"93110"</f>
        <v>93110</v>
      </c>
      <c r="I5598" t="s">
        <v>92</v>
      </c>
    </row>
    <row r="5599" spans="1:13" x14ac:dyDescent="0.3">
      <c r="A5599" t="str">
        <f>"44740832"</f>
        <v>44740832</v>
      </c>
      <c r="B5599" t="s">
        <v>10576</v>
      </c>
      <c r="C5599" t="str">
        <f t="shared" si="379"/>
        <v>706</v>
      </c>
      <c r="D5599" t="s">
        <v>28</v>
      </c>
      <c r="E5599" t="s">
        <v>29</v>
      </c>
      <c r="F5599" t="s">
        <v>45</v>
      </c>
      <c r="G5599" t="s">
        <v>10577</v>
      </c>
      <c r="H5599" t="str">
        <f>"931"</f>
        <v>931</v>
      </c>
      <c r="I5599" t="s">
        <v>26</v>
      </c>
    </row>
    <row r="5600" spans="1:13" x14ac:dyDescent="0.3">
      <c r="A5600" t="str">
        <f>"44005300"</f>
        <v>44005300</v>
      </c>
      <c r="B5600" t="s">
        <v>10578</v>
      </c>
      <c r="C5600" t="str">
        <f t="shared" si="379"/>
        <v>706</v>
      </c>
      <c r="D5600" t="s">
        <v>28</v>
      </c>
      <c r="E5600" t="s">
        <v>23</v>
      </c>
      <c r="F5600" t="s">
        <v>1418</v>
      </c>
      <c r="G5600" t="s">
        <v>10579</v>
      </c>
      <c r="H5600" t="str">
        <f>"93110"</f>
        <v>93110</v>
      </c>
      <c r="I5600" t="s">
        <v>92</v>
      </c>
    </row>
    <row r="5601" spans="1:14" x14ac:dyDescent="0.3">
      <c r="A5601" t="str">
        <f>"18188389"</f>
        <v>18188389</v>
      </c>
      <c r="B5601" t="s">
        <v>10580</v>
      </c>
      <c r="C5601" t="str">
        <f t="shared" si="379"/>
        <v>706</v>
      </c>
      <c r="D5601" t="s">
        <v>28</v>
      </c>
      <c r="E5601" t="s">
        <v>83</v>
      </c>
      <c r="F5601" t="s">
        <v>183</v>
      </c>
      <c r="G5601" t="s">
        <v>3609</v>
      </c>
      <c r="H5601" t="str">
        <f>"93110"</f>
        <v>93110</v>
      </c>
      <c r="I5601" t="s">
        <v>92</v>
      </c>
    </row>
    <row r="5602" spans="1:14" x14ac:dyDescent="0.3">
      <c r="A5602" t="str">
        <f>"64124045"</f>
        <v>64124045</v>
      </c>
      <c r="B5602" t="s">
        <v>10581</v>
      </c>
      <c r="C5602" t="str">
        <f t="shared" si="379"/>
        <v>706</v>
      </c>
      <c r="D5602" t="s">
        <v>28</v>
      </c>
      <c r="E5602" t="s">
        <v>29</v>
      </c>
      <c r="F5602" t="s">
        <v>607</v>
      </c>
      <c r="G5602" t="s">
        <v>1807</v>
      </c>
      <c r="H5602" t="str">
        <f>"93110"</f>
        <v>93110</v>
      </c>
      <c r="I5602" t="s">
        <v>92</v>
      </c>
    </row>
    <row r="5603" spans="1:14" x14ac:dyDescent="0.3">
      <c r="A5603" t="str">
        <f>"68898401"</f>
        <v>68898401</v>
      </c>
      <c r="B5603" t="s">
        <v>10582</v>
      </c>
      <c r="C5603" t="str">
        <f t="shared" si="379"/>
        <v>706</v>
      </c>
      <c r="D5603" t="s">
        <v>28</v>
      </c>
      <c r="E5603" t="s">
        <v>29</v>
      </c>
      <c r="F5603" t="s">
        <v>135</v>
      </c>
      <c r="G5603" t="s">
        <v>10583</v>
      </c>
      <c r="H5603" t="str">
        <f>"931"</f>
        <v>931</v>
      </c>
      <c r="I5603" t="s">
        <v>26</v>
      </c>
    </row>
    <row r="5604" spans="1:14" x14ac:dyDescent="0.3">
      <c r="A5604" t="str">
        <f>"46277331"</f>
        <v>46277331</v>
      </c>
      <c r="B5604" t="s">
        <v>10584</v>
      </c>
      <c r="C5604" t="str">
        <f t="shared" si="379"/>
        <v>706</v>
      </c>
      <c r="D5604" t="s">
        <v>28</v>
      </c>
      <c r="E5604" t="s">
        <v>23</v>
      </c>
      <c r="F5604" t="s">
        <v>23</v>
      </c>
      <c r="G5604" t="s">
        <v>10585</v>
      </c>
      <c r="H5604" t="str">
        <f>"931"</f>
        <v>931</v>
      </c>
      <c r="I5604" t="s">
        <v>26</v>
      </c>
      <c r="J5604" t="s">
        <v>31</v>
      </c>
    </row>
    <row r="5605" spans="1:14" x14ac:dyDescent="0.3">
      <c r="A5605" t="str">
        <f>"64123197"</f>
        <v>64123197</v>
      </c>
      <c r="B5605" t="s">
        <v>10586</v>
      </c>
      <c r="C5605" t="str">
        <f t="shared" si="379"/>
        <v>706</v>
      </c>
      <c r="D5605" t="s">
        <v>28</v>
      </c>
      <c r="E5605" t="s">
        <v>29</v>
      </c>
      <c r="F5605" t="s">
        <v>271</v>
      </c>
      <c r="G5605" t="s">
        <v>10587</v>
      </c>
      <c r="H5605" t="str">
        <f>"93110"</f>
        <v>93110</v>
      </c>
      <c r="I5605" t="s">
        <v>92</v>
      </c>
    </row>
    <row r="5606" spans="1:14" x14ac:dyDescent="0.3">
      <c r="A5606" t="str">
        <f>"64123952"</f>
        <v>64123952</v>
      </c>
      <c r="B5606" t="s">
        <v>10588</v>
      </c>
      <c r="C5606" t="str">
        <f t="shared" si="379"/>
        <v>706</v>
      </c>
      <c r="D5606" t="s">
        <v>28</v>
      </c>
      <c r="E5606" t="s">
        <v>29</v>
      </c>
      <c r="F5606" t="s">
        <v>5333</v>
      </c>
      <c r="G5606" t="s">
        <v>5334</v>
      </c>
      <c r="H5606" t="str">
        <f>"93110"</f>
        <v>93110</v>
      </c>
      <c r="I5606" t="s">
        <v>92</v>
      </c>
    </row>
    <row r="5607" spans="1:14" x14ac:dyDescent="0.3">
      <c r="A5607" t="str">
        <f>"60370327"</f>
        <v>60370327</v>
      </c>
      <c r="B5607" t="s">
        <v>10589</v>
      </c>
      <c r="C5607" t="str">
        <f t="shared" si="379"/>
        <v>706</v>
      </c>
      <c r="D5607" t="s">
        <v>28</v>
      </c>
      <c r="E5607" t="s">
        <v>52</v>
      </c>
      <c r="F5607" t="s">
        <v>1829</v>
      </c>
      <c r="G5607" t="s">
        <v>10590</v>
      </c>
      <c r="H5607" t="str">
        <f>"93110"</f>
        <v>93110</v>
      </c>
      <c r="I5607" t="s">
        <v>92</v>
      </c>
    </row>
    <row r="5608" spans="1:14" x14ac:dyDescent="0.3">
      <c r="A5608" t="str">
        <f>"46276190"</f>
        <v>46276190</v>
      </c>
      <c r="B5608" t="s">
        <v>10591</v>
      </c>
      <c r="C5608" t="str">
        <f t="shared" si="379"/>
        <v>706</v>
      </c>
      <c r="D5608" t="s">
        <v>28</v>
      </c>
      <c r="E5608" t="s">
        <v>23</v>
      </c>
      <c r="F5608" t="s">
        <v>2318</v>
      </c>
      <c r="G5608" t="s">
        <v>3407</v>
      </c>
      <c r="H5608" t="str">
        <f>"93110"</f>
        <v>93110</v>
      </c>
      <c r="I5608" t="s">
        <v>92</v>
      </c>
    </row>
    <row r="5609" spans="1:14" x14ac:dyDescent="0.3">
      <c r="A5609" t="str">
        <f>"18189890"</f>
        <v>18189890</v>
      </c>
      <c r="B5609" t="s">
        <v>10592</v>
      </c>
      <c r="C5609" t="str">
        <f t="shared" si="379"/>
        <v>706</v>
      </c>
      <c r="D5609" t="s">
        <v>28</v>
      </c>
      <c r="E5609" t="s">
        <v>83</v>
      </c>
      <c r="F5609" t="s">
        <v>3465</v>
      </c>
      <c r="G5609" t="s">
        <v>5520</v>
      </c>
      <c r="H5609" t="str">
        <f>"93110"</f>
        <v>93110</v>
      </c>
      <c r="I5609" t="s">
        <v>92</v>
      </c>
    </row>
    <row r="5610" spans="1:14" x14ac:dyDescent="0.3">
      <c r="A5610" t="str">
        <f>"46307354"</f>
        <v>46307354</v>
      </c>
      <c r="B5610" t="s">
        <v>10593</v>
      </c>
      <c r="C5610" t="str">
        <f t="shared" si="379"/>
        <v>706</v>
      </c>
      <c r="D5610" t="s">
        <v>28</v>
      </c>
      <c r="E5610" t="s">
        <v>23</v>
      </c>
      <c r="F5610" t="s">
        <v>23</v>
      </c>
      <c r="G5610" t="s">
        <v>10594</v>
      </c>
      <c r="H5610" t="str">
        <f>"9499"</f>
        <v>9499</v>
      </c>
      <c r="I5610" t="s">
        <v>31</v>
      </c>
    </row>
    <row r="5611" spans="1:14" x14ac:dyDescent="0.3">
      <c r="A5611" t="str">
        <f>"00533815"</f>
        <v>00533815</v>
      </c>
      <c r="B5611" t="s">
        <v>10595</v>
      </c>
      <c r="C5611" t="str">
        <f t="shared" si="379"/>
        <v>706</v>
      </c>
      <c r="D5611" t="s">
        <v>28</v>
      </c>
      <c r="E5611" t="s">
        <v>29</v>
      </c>
      <c r="F5611" t="s">
        <v>29</v>
      </c>
      <c r="G5611" t="s">
        <v>1303</v>
      </c>
      <c r="H5611" t="str">
        <f>"931"</f>
        <v>931</v>
      </c>
      <c r="I5611" t="s">
        <v>26</v>
      </c>
    </row>
    <row r="5612" spans="1:14" x14ac:dyDescent="0.3">
      <c r="A5612" t="str">
        <f>"46956565"</f>
        <v>46956565</v>
      </c>
      <c r="B5612" t="s">
        <v>10596</v>
      </c>
      <c r="C5612" t="str">
        <f t="shared" si="379"/>
        <v>706</v>
      </c>
      <c r="D5612" t="s">
        <v>28</v>
      </c>
      <c r="E5612" t="s">
        <v>52</v>
      </c>
      <c r="F5612" t="s">
        <v>514</v>
      </c>
      <c r="G5612" t="s">
        <v>10597</v>
      </c>
      <c r="H5612" t="str">
        <f>"93110"</f>
        <v>93110</v>
      </c>
      <c r="I5612" t="s">
        <v>92</v>
      </c>
      <c r="J5612" t="s">
        <v>10598</v>
      </c>
      <c r="K5612" t="s">
        <v>209</v>
      </c>
      <c r="L5612" t="s">
        <v>1362</v>
      </c>
      <c r="M5612" t="s">
        <v>2536</v>
      </c>
      <c r="N5612" t="s">
        <v>161</v>
      </c>
    </row>
    <row r="5613" spans="1:14" x14ac:dyDescent="0.3">
      <c r="A5613" t="str">
        <f>"18190308"</f>
        <v>18190308</v>
      </c>
      <c r="B5613" t="s">
        <v>10599</v>
      </c>
      <c r="C5613" t="str">
        <f t="shared" si="379"/>
        <v>706</v>
      </c>
      <c r="D5613" t="s">
        <v>28</v>
      </c>
      <c r="E5613" t="s">
        <v>83</v>
      </c>
      <c r="F5613" t="s">
        <v>1576</v>
      </c>
      <c r="G5613" t="s">
        <v>10600</v>
      </c>
      <c r="H5613" t="str">
        <f>"93110"</f>
        <v>93110</v>
      </c>
      <c r="I5613" t="s">
        <v>92</v>
      </c>
    </row>
    <row r="5614" spans="1:14" x14ac:dyDescent="0.3">
      <c r="A5614" t="str">
        <f>"68684509"</f>
        <v>68684509</v>
      </c>
      <c r="B5614" t="s">
        <v>10601</v>
      </c>
      <c r="C5614" t="str">
        <f t="shared" si="379"/>
        <v>706</v>
      </c>
      <c r="D5614" t="s">
        <v>28</v>
      </c>
      <c r="E5614" t="s">
        <v>52</v>
      </c>
      <c r="F5614" t="s">
        <v>1765</v>
      </c>
      <c r="G5614" t="s">
        <v>10602</v>
      </c>
      <c r="H5614" t="str">
        <f>"931"</f>
        <v>931</v>
      </c>
      <c r="I5614" t="s">
        <v>26</v>
      </c>
    </row>
    <row r="5615" spans="1:14" x14ac:dyDescent="0.3">
      <c r="A5615" t="str">
        <f>"61704300"</f>
        <v>61704300</v>
      </c>
      <c r="B5615" t="s">
        <v>10603</v>
      </c>
      <c r="C5615" t="str">
        <f t="shared" si="379"/>
        <v>706</v>
      </c>
      <c r="D5615" t="s">
        <v>28</v>
      </c>
      <c r="E5615" t="s">
        <v>52</v>
      </c>
      <c r="F5615" t="s">
        <v>274</v>
      </c>
      <c r="G5615" t="s">
        <v>10604</v>
      </c>
      <c r="H5615" t="str">
        <f>"93110"</f>
        <v>93110</v>
      </c>
      <c r="I5615" t="s">
        <v>92</v>
      </c>
    </row>
    <row r="5616" spans="1:14" x14ac:dyDescent="0.3">
      <c r="A5616" t="str">
        <f>"61704318"</f>
        <v>61704318</v>
      </c>
      <c r="B5616" t="s">
        <v>10605</v>
      </c>
      <c r="C5616" t="str">
        <f t="shared" si="379"/>
        <v>706</v>
      </c>
      <c r="D5616" t="s">
        <v>28</v>
      </c>
      <c r="E5616" t="s">
        <v>52</v>
      </c>
      <c r="F5616" t="s">
        <v>1679</v>
      </c>
      <c r="G5616" t="s">
        <v>10606</v>
      </c>
      <c r="H5616" t="str">
        <f>"93110"</f>
        <v>93110</v>
      </c>
      <c r="I5616" t="s">
        <v>92</v>
      </c>
    </row>
    <row r="5617" spans="1:9" x14ac:dyDescent="0.3">
      <c r="A5617" t="str">
        <f>"70640629"</f>
        <v>70640629</v>
      </c>
      <c r="B5617" t="s">
        <v>10607</v>
      </c>
      <c r="C5617" t="str">
        <f t="shared" si="379"/>
        <v>706</v>
      </c>
      <c r="D5617" t="s">
        <v>28</v>
      </c>
      <c r="E5617" t="s">
        <v>29</v>
      </c>
      <c r="F5617" t="s">
        <v>2177</v>
      </c>
      <c r="G5617" t="s">
        <v>10608</v>
      </c>
      <c r="H5617" t="str">
        <f>"931"</f>
        <v>931</v>
      </c>
      <c r="I5617" t="s">
        <v>26</v>
      </c>
    </row>
    <row r="5618" spans="1:9" x14ac:dyDescent="0.3">
      <c r="A5618" t="str">
        <f>"61704326"</f>
        <v>61704326</v>
      </c>
      <c r="B5618" t="s">
        <v>10609</v>
      </c>
      <c r="C5618" t="str">
        <f t="shared" si="379"/>
        <v>706</v>
      </c>
      <c r="D5618" t="s">
        <v>28</v>
      </c>
      <c r="E5618" t="s">
        <v>52</v>
      </c>
      <c r="F5618" t="s">
        <v>612</v>
      </c>
      <c r="G5618" t="s">
        <v>10610</v>
      </c>
      <c r="H5618" t="str">
        <f>"93110"</f>
        <v>93110</v>
      </c>
      <c r="I5618" t="s">
        <v>92</v>
      </c>
    </row>
    <row r="5619" spans="1:9" x14ac:dyDescent="0.3">
      <c r="A5619" t="str">
        <f>"22733621"</f>
        <v>22733621</v>
      </c>
      <c r="B5619" t="s">
        <v>10611</v>
      </c>
      <c r="C5619" t="str">
        <f t="shared" si="379"/>
        <v>706</v>
      </c>
      <c r="D5619" t="s">
        <v>28</v>
      </c>
      <c r="E5619" t="s">
        <v>83</v>
      </c>
      <c r="F5619" t="s">
        <v>83</v>
      </c>
      <c r="G5619" t="s">
        <v>10612</v>
      </c>
      <c r="H5619" t="str">
        <f>"93110"</f>
        <v>93110</v>
      </c>
      <c r="I5619" t="s">
        <v>92</v>
      </c>
    </row>
    <row r="5620" spans="1:9" x14ac:dyDescent="0.3">
      <c r="A5620" t="str">
        <f>"18189741"</f>
        <v>18189741</v>
      </c>
      <c r="B5620" t="s">
        <v>10613</v>
      </c>
      <c r="C5620" t="str">
        <f t="shared" si="379"/>
        <v>706</v>
      </c>
      <c r="D5620" t="s">
        <v>28</v>
      </c>
      <c r="E5620" t="s">
        <v>83</v>
      </c>
      <c r="F5620" t="s">
        <v>1042</v>
      </c>
      <c r="G5620" t="s">
        <v>10614</v>
      </c>
      <c r="H5620" t="str">
        <f>"93110"</f>
        <v>93110</v>
      </c>
      <c r="I5620" t="s">
        <v>92</v>
      </c>
    </row>
    <row r="5621" spans="1:9" x14ac:dyDescent="0.3">
      <c r="A5621" t="str">
        <f>"48505803"</f>
        <v>48505803</v>
      </c>
      <c r="B5621" t="s">
        <v>10615</v>
      </c>
      <c r="C5621" t="str">
        <f t="shared" si="379"/>
        <v>706</v>
      </c>
      <c r="D5621" t="s">
        <v>28</v>
      </c>
      <c r="E5621" t="s">
        <v>52</v>
      </c>
      <c r="F5621" t="s">
        <v>52</v>
      </c>
      <c r="G5621" t="s">
        <v>10616</v>
      </c>
      <c r="H5621" t="str">
        <f>"93110"</f>
        <v>93110</v>
      </c>
      <c r="I5621" t="s">
        <v>92</v>
      </c>
    </row>
    <row r="5622" spans="1:9" x14ac:dyDescent="0.3">
      <c r="A5622" t="str">
        <f>"64124037"</f>
        <v>64124037</v>
      </c>
      <c r="B5622" t="s">
        <v>10617</v>
      </c>
      <c r="C5622" t="str">
        <f t="shared" si="379"/>
        <v>706</v>
      </c>
      <c r="D5622" t="s">
        <v>28</v>
      </c>
      <c r="E5622" t="s">
        <v>29</v>
      </c>
      <c r="F5622" t="s">
        <v>5168</v>
      </c>
      <c r="G5622" t="s">
        <v>10618</v>
      </c>
      <c r="H5622" t="str">
        <f>"93110"</f>
        <v>93110</v>
      </c>
      <c r="I5622" t="s">
        <v>92</v>
      </c>
    </row>
    <row r="5623" spans="1:9" x14ac:dyDescent="0.3">
      <c r="A5623" t="str">
        <f>"68898398"</f>
        <v>68898398</v>
      </c>
      <c r="B5623" t="s">
        <v>10619</v>
      </c>
      <c r="C5623" t="str">
        <f t="shared" si="379"/>
        <v>706</v>
      </c>
      <c r="D5623" t="s">
        <v>28</v>
      </c>
      <c r="E5623" t="s">
        <v>29</v>
      </c>
      <c r="F5623" t="s">
        <v>1221</v>
      </c>
      <c r="G5623" t="s">
        <v>5077</v>
      </c>
      <c r="H5623" t="str">
        <f>"931"</f>
        <v>931</v>
      </c>
      <c r="I5623" t="s">
        <v>26</v>
      </c>
    </row>
    <row r="5624" spans="1:9" x14ac:dyDescent="0.3">
      <c r="A5624" t="str">
        <f>"69211434"</f>
        <v>69211434</v>
      </c>
      <c r="B5624" t="s">
        <v>10620</v>
      </c>
      <c r="C5624" t="str">
        <f t="shared" si="379"/>
        <v>706</v>
      </c>
      <c r="D5624" t="s">
        <v>28</v>
      </c>
      <c r="E5624" t="s">
        <v>29</v>
      </c>
      <c r="F5624" t="s">
        <v>1473</v>
      </c>
      <c r="G5624" t="s">
        <v>10621</v>
      </c>
      <c r="H5624" t="str">
        <f>"931"</f>
        <v>931</v>
      </c>
      <c r="I5624" t="s">
        <v>26</v>
      </c>
    </row>
    <row r="5625" spans="1:9" x14ac:dyDescent="0.3">
      <c r="A5625" t="str">
        <f>"68898339"</f>
        <v>68898339</v>
      </c>
      <c r="B5625" t="s">
        <v>10622</v>
      </c>
      <c r="C5625" t="str">
        <f t="shared" si="379"/>
        <v>706</v>
      </c>
      <c r="D5625" t="s">
        <v>28</v>
      </c>
      <c r="E5625" t="s">
        <v>29</v>
      </c>
      <c r="F5625" t="s">
        <v>503</v>
      </c>
      <c r="G5625" t="s">
        <v>10623</v>
      </c>
      <c r="H5625" t="str">
        <f>"931"</f>
        <v>931</v>
      </c>
      <c r="I5625" t="s">
        <v>26</v>
      </c>
    </row>
    <row r="5626" spans="1:9" x14ac:dyDescent="0.3">
      <c r="A5626" t="str">
        <f>"48773433"</f>
        <v>48773433</v>
      </c>
      <c r="B5626" t="s">
        <v>10624</v>
      </c>
      <c r="C5626" t="str">
        <f t="shared" si="379"/>
        <v>706</v>
      </c>
      <c r="D5626" t="s">
        <v>28</v>
      </c>
      <c r="E5626" t="s">
        <v>29</v>
      </c>
      <c r="F5626" t="s">
        <v>653</v>
      </c>
      <c r="G5626" t="s">
        <v>10625</v>
      </c>
      <c r="H5626" t="str">
        <f>"93110"</f>
        <v>93110</v>
      </c>
      <c r="I5626" t="s">
        <v>92</v>
      </c>
    </row>
    <row r="5627" spans="1:9" x14ac:dyDescent="0.3">
      <c r="A5627" t="str">
        <f>"61704181"</f>
        <v>61704181</v>
      </c>
      <c r="B5627" t="s">
        <v>10626</v>
      </c>
      <c r="C5627" t="str">
        <f t="shared" si="379"/>
        <v>706</v>
      </c>
      <c r="D5627" t="s">
        <v>28</v>
      </c>
      <c r="E5627" t="s">
        <v>52</v>
      </c>
      <c r="F5627" t="s">
        <v>3833</v>
      </c>
      <c r="G5627" t="s">
        <v>10627</v>
      </c>
      <c r="H5627" t="str">
        <f>"93110"</f>
        <v>93110</v>
      </c>
      <c r="I5627" t="s">
        <v>92</v>
      </c>
    </row>
    <row r="5628" spans="1:9" x14ac:dyDescent="0.3">
      <c r="A5628" t="str">
        <f>"68898444"</f>
        <v>68898444</v>
      </c>
      <c r="B5628" t="s">
        <v>10628</v>
      </c>
      <c r="C5628" t="str">
        <f t="shared" si="379"/>
        <v>706</v>
      </c>
      <c r="D5628" t="s">
        <v>28</v>
      </c>
      <c r="E5628" t="s">
        <v>29</v>
      </c>
      <c r="F5628" t="s">
        <v>778</v>
      </c>
      <c r="G5628" t="s">
        <v>10629</v>
      </c>
      <c r="H5628" t="str">
        <f>"931"</f>
        <v>931</v>
      </c>
      <c r="I5628" t="s">
        <v>26</v>
      </c>
    </row>
    <row r="5629" spans="1:9" x14ac:dyDescent="0.3">
      <c r="A5629" t="str">
        <f>"61704211"</f>
        <v>61704211</v>
      </c>
      <c r="B5629" t="s">
        <v>10630</v>
      </c>
      <c r="C5629" t="str">
        <f t="shared" si="379"/>
        <v>706</v>
      </c>
      <c r="D5629" t="s">
        <v>28</v>
      </c>
      <c r="E5629" t="s">
        <v>52</v>
      </c>
      <c r="F5629" t="s">
        <v>927</v>
      </c>
      <c r="G5629" t="s">
        <v>10631</v>
      </c>
      <c r="H5629" t="str">
        <f>"93110"</f>
        <v>93110</v>
      </c>
      <c r="I5629" t="s">
        <v>92</v>
      </c>
    </row>
    <row r="5630" spans="1:9" x14ac:dyDescent="0.3">
      <c r="A5630" t="str">
        <f>"46277498"</f>
        <v>46277498</v>
      </c>
      <c r="B5630" t="s">
        <v>10632</v>
      </c>
      <c r="C5630" t="str">
        <f t="shared" si="379"/>
        <v>706</v>
      </c>
      <c r="D5630" t="s">
        <v>28</v>
      </c>
      <c r="E5630" t="s">
        <v>23</v>
      </c>
      <c r="F5630" t="s">
        <v>8229</v>
      </c>
      <c r="G5630" t="s">
        <v>8230</v>
      </c>
      <c r="H5630" t="str">
        <f>"9499"</f>
        <v>9499</v>
      </c>
      <c r="I5630" t="s">
        <v>31</v>
      </c>
    </row>
    <row r="5631" spans="1:9" x14ac:dyDescent="0.3">
      <c r="A5631" t="str">
        <f>"48505790"</f>
        <v>48505790</v>
      </c>
      <c r="B5631" t="s">
        <v>10633</v>
      </c>
      <c r="C5631" t="str">
        <f t="shared" si="379"/>
        <v>706</v>
      </c>
      <c r="D5631" t="s">
        <v>28</v>
      </c>
      <c r="E5631" t="s">
        <v>52</v>
      </c>
      <c r="F5631" t="s">
        <v>1625</v>
      </c>
      <c r="G5631" t="s">
        <v>10634</v>
      </c>
      <c r="H5631" t="str">
        <f>"93110"</f>
        <v>93110</v>
      </c>
      <c r="I5631" t="s">
        <v>92</v>
      </c>
    </row>
    <row r="5632" spans="1:9" x14ac:dyDescent="0.3">
      <c r="A5632" t="str">
        <f>"70925135"</f>
        <v>70925135</v>
      </c>
      <c r="B5632" t="s">
        <v>10635</v>
      </c>
      <c r="C5632" t="str">
        <f t="shared" si="379"/>
        <v>706</v>
      </c>
      <c r="D5632" t="s">
        <v>28</v>
      </c>
      <c r="E5632" t="s">
        <v>29</v>
      </c>
      <c r="F5632" t="s">
        <v>1836</v>
      </c>
      <c r="G5632" t="s">
        <v>1837</v>
      </c>
      <c r="H5632" t="str">
        <f>"93120"</f>
        <v>93120</v>
      </c>
      <c r="I5632" t="s">
        <v>54</v>
      </c>
    </row>
    <row r="5633" spans="1:11" x14ac:dyDescent="0.3">
      <c r="A5633" t="str">
        <f>"48506311"</f>
        <v>48506311</v>
      </c>
      <c r="B5633" t="s">
        <v>10636</v>
      </c>
      <c r="C5633" t="str">
        <f t="shared" si="379"/>
        <v>706</v>
      </c>
      <c r="D5633" t="s">
        <v>28</v>
      </c>
      <c r="E5633" t="s">
        <v>52</v>
      </c>
      <c r="F5633" t="s">
        <v>2400</v>
      </c>
      <c r="G5633" t="s">
        <v>10637</v>
      </c>
      <c r="H5633" t="str">
        <f>"93110"</f>
        <v>93110</v>
      </c>
      <c r="I5633" t="s">
        <v>92</v>
      </c>
    </row>
    <row r="5634" spans="1:11" x14ac:dyDescent="0.3">
      <c r="A5634" t="str">
        <f>"46998519"</f>
        <v>46998519</v>
      </c>
      <c r="B5634" t="s">
        <v>10638</v>
      </c>
      <c r="C5634" t="str">
        <f t="shared" si="379"/>
        <v>706</v>
      </c>
      <c r="D5634" t="s">
        <v>28</v>
      </c>
      <c r="E5634" t="s">
        <v>83</v>
      </c>
      <c r="F5634" t="s">
        <v>1545</v>
      </c>
      <c r="G5634" t="s">
        <v>2410</v>
      </c>
      <c r="H5634" t="str">
        <f>"93110"</f>
        <v>93110</v>
      </c>
      <c r="I5634" t="s">
        <v>92</v>
      </c>
      <c r="J5634" t="s">
        <v>161</v>
      </c>
      <c r="K5634" t="s">
        <v>209</v>
      </c>
    </row>
    <row r="5635" spans="1:11" x14ac:dyDescent="0.3">
      <c r="A5635" t="str">
        <f>"69211469"</f>
        <v>69211469</v>
      </c>
      <c r="B5635" t="s">
        <v>10639</v>
      </c>
      <c r="C5635" t="str">
        <f t="shared" si="379"/>
        <v>706</v>
      </c>
      <c r="D5635" t="s">
        <v>28</v>
      </c>
      <c r="E5635" t="s">
        <v>29</v>
      </c>
      <c r="F5635" t="s">
        <v>4973</v>
      </c>
      <c r="G5635" t="s">
        <v>10640</v>
      </c>
      <c r="H5635" t="str">
        <f>"931"</f>
        <v>931</v>
      </c>
      <c r="I5635" t="s">
        <v>26</v>
      </c>
    </row>
    <row r="5636" spans="1:11" x14ac:dyDescent="0.3">
      <c r="A5636" t="str">
        <f>"68898428"</f>
        <v>68898428</v>
      </c>
      <c r="B5636" t="s">
        <v>10641</v>
      </c>
      <c r="C5636" t="str">
        <f t="shared" si="379"/>
        <v>706</v>
      </c>
      <c r="D5636" t="s">
        <v>28</v>
      </c>
      <c r="E5636" t="s">
        <v>23</v>
      </c>
      <c r="F5636" t="s">
        <v>4479</v>
      </c>
      <c r="G5636" t="s">
        <v>4480</v>
      </c>
      <c r="H5636" t="str">
        <f>"931"</f>
        <v>931</v>
      </c>
      <c r="I5636" t="s">
        <v>26</v>
      </c>
    </row>
    <row r="5637" spans="1:11" x14ac:dyDescent="0.3">
      <c r="A5637" t="str">
        <f>"44117370"</f>
        <v>44117370</v>
      </c>
      <c r="B5637" t="s">
        <v>10642</v>
      </c>
      <c r="C5637" t="str">
        <f t="shared" si="379"/>
        <v>706</v>
      </c>
      <c r="D5637" t="s">
        <v>28</v>
      </c>
      <c r="E5637" t="s">
        <v>23</v>
      </c>
      <c r="F5637" t="s">
        <v>688</v>
      </c>
      <c r="G5637" t="s">
        <v>10643</v>
      </c>
      <c r="H5637" t="str">
        <f>"93110"</f>
        <v>93110</v>
      </c>
      <c r="I5637" t="s">
        <v>92</v>
      </c>
      <c r="J5637" t="s">
        <v>905</v>
      </c>
      <c r="K5637" t="s">
        <v>163</v>
      </c>
    </row>
    <row r="5638" spans="1:11" x14ac:dyDescent="0.3">
      <c r="A5638" t="str">
        <f>"65891538"</f>
        <v>65891538</v>
      </c>
      <c r="B5638" t="s">
        <v>10644</v>
      </c>
      <c r="C5638" t="str">
        <f t="shared" si="379"/>
        <v>706</v>
      </c>
      <c r="D5638" t="s">
        <v>28</v>
      </c>
      <c r="E5638" t="s">
        <v>29</v>
      </c>
      <c r="F5638" t="s">
        <v>574</v>
      </c>
      <c r="G5638" t="s">
        <v>10645</v>
      </c>
      <c r="H5638" t="str">
        <f>"93110"</f>
        <v>93110</v>
      </c>
      <c r="I5638" t="s">
        <v>92</v>
      </c>
    </row>
    <row r="5639" spans="1:11" x14ac:dyDescent="0.3">
      <c r="A5639" t="str">
        <f>"48773603"</f>
        <v>48773603</v>
      </c>
      <c r="B5639" t="s">
        <v>10646</v>
      </c>
      <c r="C5639" t="str">
        <f t="shared" si="379"/>
        <v>706</v>
      </c>
      <c r="D5639" t="s">
        <v>28</v>
      </c>
      <c r="E5639" t="s">
        <v>29</v>
      </c>
      <c r="F5639" t="s">
        <v>138</v>
      </c>
      <c r="G5639" t="s">
        <v>10647</v>
      </c>
      <c r="H5639" t="str">
        <f>"93110"</f>
        <v>93110</v>
      </c>
      <c r="I5639" t="s">
        <v>92</v>
      </c>
    </row>
    <row r="5640" spans="1:11" x14ac:dyDescent="0.3">
      <c r="A5640" t="str">
        <f>"68898371"</f>
        <v>68898371</v>
      </c>
      <c r="B5640" t="s">
        <v>10648</v>
      </c>
      <c r="C5640" t="str">
        <f t="shared" si="379"/>
        <v>706</v>
      </c>
      <c r="D5640" t="s">
        <v>28</v>
      </c>
      <c r="E5640" t="s">
        <v>29</v>
      </c>
      <c r="F5640" t="s">
        <v>1266</v>
      </c>
      <c r="G5640" t="s">
        <v>10649</v>
      </c>
      <c r="H5640" t="str">
        <f>"931"</f>
        <v>931</v>
      </c>
      <c r="I5640" t="s">
        <v>26</v>
      </c>
    </row>
    <row r="5641" spans="1:11" x14ac:dyDescent="0.3">
      <c r="A5641" t="str">
        <f>"18189881"</f>
        <v>18189881</v>
      </c>
      <c r="B5641" t="s">
        <v>10650</v>
      </c>
      <c r="C5641" t="str">
        <f t="shared" si="379"/>
        <v>706</v>
      </c>
      <c r="D5641" t="s">
        <v>28</v>
      </c>
      <c r="E5641" t="s">
        <v>83</v>
      </c>
      <c r="F5641" t="s">
        <v>83</v>
      </c>
      <c r="G5641" t="s">
        <v>10651</v>
      </c>
      <c r="H5641" t="str">
        <f>"93110"</f>
        <v>93110</v>
      </c>
      <c r="I5641" t="s">
        <v>92</v>
      </c>
    </row>
    <row r="5642" spans="1:11" x14ac:dyDescent="0.3">
      <c r="A5642" t="str">
        <f>"61704377"</f>
        <v>61704377</v>
      </c>
      <c r="B5642" t="s">
        <v>10652</v>
      </c>
      <c r="C5642" t="str">
        <f t="shared" si="379"/>
        <v>706</v>
      </c>
      <c r="D5642" t="s">
        <v>28</v>
      </c>
      <c r="E5642" t="s">
        <v>52</v>
      </c>
      <c r="F5642" t="s">
        <v>920</v>
      </c>
      <c r="G5642" t="s">
        <v>5305</v>
      </c>
      <c r="H5642" t="str">
        <f>"93110"</f>
        <v>93110</v>
      </c>
      <c r="I5642" t="s">
        <v>92</v>
      </c>
    </row>
    <row r="5643" spans="1:11" x14ac:dyDescent="0.3">
      <c r="A5643" t="str">
        <f>"00535109"</f>
        <v>00535109</v>
      </c>
      <c r="B5643" t="s">
        <v>10653</v>
      </c>
      <c r="C5643" t="str">
        <f t="shared" si="379"/>
        <v>706</v>
      </c>
      <c r="D5643" t="s">
        <v>28</v>
      </c>
      <c r="E5643" t="s">
        <v>29</v>
      </c>
      <c r="F5643" t="s">
        <v>195</v>
      </c>
      <c r="G5643" t="s">
        <v>10654</v>
      </c>
      <c r="H5643" t="str">
        <f>"93110"</f>
        <v>93110</v>
      </c>
      <c r="I5643" t="s">
        <v>92</v>
      </c>
    </row>
    <row r="5644" spans="1:11" x14ac:dyDescent="0.3">
      <c r="A5644" t="str">
        <f>"70904961"</f>
        <v>70904961</v>
      </c>
      <c r="B5644" t="s">
        <v>10655</v>
      </c>
      <c r="C5644" t="str">
        <f t="shared" si="379"/>
        <v>706</v>
      </c>
      <c r="D5644" t="s">
        <v>28</v>
      </c>
      <c r="E5644" t="s">
        <v>29</v>
      </c>
      <c r="F5644" t="s">
        <v>718</v>
      </c>
      <c r="G5644" t="s">
        <v>10656</v>
      </c>
      <c r="H5644" t="str">
        <f>"931"</f>
        <v>931</v>
      </c>
      <c r="I5644" t="s">
        <v>26</v>
      </c>
    </row>
    <row r="5645" spans="1:11" x14ac:dyDescent="0.3">
      <c r="A5645" t="str">
        <f>"44740824"</f>
        <v>44740824</v>
      </c>
      <c r="B5645" t="s">
        <v>10657</v>
      </c>
      <c r="C5645" t="str">
        <f t="shared" si="379"/>
        <v>706</v>
      </c>
      <c r="D5645" t="s">
        <v>28</v>
      </c>
      <c r="E5645" t="s">
        <v>29</v>
      </c>
      <c r="F5645" t="s">
        <v>852</v>
      </c>
      <c r="G5645" t="s">
        <v>10658</v>
      </c>
      <c r="H5645" t="str">
        <f>"931"</f>
        <v>931</v>
      </c>
      <c r="I5645" t="s">
        <v>26</v>
      </c>
    </row>
    <row r="5646" spans="1:11" x14ac:dyDescent="0.3">
      <c r="A5646" t="str">
        <f>"66184673"</f>
        <v>66184673</v>
      </c>
      <c r="B5646" t="s">
        <v>10659</v>
      </c>
      <c r="C5646" t="str">
        <f t="shared" si="379"/>
        <v>706</v>
      </c>
      <c r="D5646" t="s">
        <v>28</v>
      </c>
      <c r="E5646" t="s">
        <v>29</v>
      </c>
      <c r="F5646" t="s">
        <v>1590</v>
      </c>
      <c r="G5646" t="s">
        <v>10660</v>
      </c>
      <c r="H5646" t="str">
        <f>"93110"</f>
        <v>93110</v>
      </c>
      <c r="I5646" t="s">
        <v>92</v>
      </c>
    </row>
    <row r="5647" spans="1:11" x14ac:dyDescent="0.3">
      <c r="A5647" t="str">
        <f>"46254226"</f>
        <v>46254226</v>
      </c>
      <c r="B5647" t="s">
        <v>10661</v>
      </c>
      <c r="C5647" t="str">
        <f t="shared" si="379"/>
        <v>706</v>
      </c>
      <c r="D5647" t="s">
        <v>28</v>
      </c>
      <c r="E5647" t="s">
        <v>52</v>
      </c>
      <c r="F5647" t="s">
        <v>951</v>
      </c>
      <c r="G5647" t="s">
        <v>10662</v>
      </c>
      <c r="H5647" t="str">
        <f>"93110"</f>
        <v>93110</v>
      </c>
      <c r="I5647" t="s">
        <v>92</v>
      </c>
      <c r="J5647" t="s">
        <v>209</v>
      </c>
      <c r="K5647" t="s">
        <v>161</v>
      </c>
    </row>
    <row r="5648" spans="1:11" x14ac:dyDescent="0.3">
      <c r="A5648" t="str">
        <f>"65822749"</f>
        <v>65822749</v>
      </c>
      <c r="B5648" t="s">
        <v>10663</v>
      </c>
      <c r="C5648" t="str">
        <f t="shared" si="379"/>
        <v>706</v>
      </c>
      <c r="D5648" t="s">
        <v>28</v>
      </c>
      <c r="E5648" t="s">
        <v>23</v>
      </c>
      <c r="F5648" t="s">
        <v>695</v>
      </c>
      <c r="G5648" t="s">
        <v>10664</v>
      </c>
      <c r="H5648" t="str">
        <f>"931"</f>
        <v>931</v>
      </c>
      <c r="I5648" t="s">
        <v>26</v>
      </c>
    </row>
    <row r="5649" spans="1:11" x14ac:dyDescent="0.3">
      <c r="A5649" t="str">
        <f>"18189865"</f>
        <v>18189865</v>
      </c>
      <c r="B5649" t="s">
        <v>10665</v>
      </c>
      <c r="C5649" t="str">
        <f t="shared" si="379"/>
        <v>706</v>
      </c>
      <c r="D5649" t="s">
        <v>28</v>
      </c>
      <c r="E5649" t="s">
        <v>83</v>
      </c>
      <c r="F5649" t="s">
        <v>944</v>
      </c>
      <c r="G5649" t="s">
        <v>10666</v>
      </c>
      <c r="H5649" t="str">
        <f>"93110"</f>
        <v>93110</v>
      </c>
      <c r="I5649" t="s">
        <v>92</v>
      </c>
    </row>
    <row r="5650" spans="1:11" x14ac:dyDescent="0.3">
      <c r="A5650" t="str">
        <f>"48505901"</f>
        <v>48505901</v>
      </c>
      <c r="B5650" t="s">
        <v>10667</v>
      </c>
      <c r="C5650" t="str">
        <f t="shared" si="379"/>
        <v>706</v>
      </c>
      <c r="D5650" t="s">
        <v>28</v>
      </c>
      <c r="E5650" t="s">
        <v>52</v>
      </c>
      <c r="F5650" t="s">
        <v>3423</v>
      </c>
      <c r="G5650" t="s">
        <v>5709</v>
      </c>
      <c r="H5650" t="str">
        <f>"93110"</f>
        <v>93110</v>
      </c>
      <c r="I5650" t="s">
        <v>92</v>
      </c>
      <c r="J5650" t="s">
        <v>209</v>
      </c>
      <c r="K5650" t="s">
        <v>161</v>
      </c>
    </row>
    <row r="5651" spans="1:11" x14ac:dyDescent="0.3">
      <c r="A5651" t="str">
        <f>"61704229"</f>
        <v>61704229</v>
      </c>
      <c r="B5651" t="s">
        <v>10668</v>
      </c>
      <c r="C5651" t="str">
        <f t="shared" si="379"/>
        <v>706</v>
      </c>
      <c r="D5651" t="s">
        <v>28</v>
      </c>
      <c r="E5651" t="s">
        <v>52</v>
      </c>
      <c r="F5651" t="s">
        <v>2038</v>
      </c>
      <c r="G5651" t="s">
        <v>10669</v>
      </c>
      <c r="H5651" t="str">
        <f>"93110"</f>
        <v>93110</v>
      </c>
      <c r="I5651" t="s">
        <v>92</v>
      </c>
    </row>
    <row r="5652" spans="1:11" x14ac:dyDescent="0.3">
      <c r="A5652" t="str">
        <f>"27059421"</f>
        <v>27059421</v>
      </c>
      <c r="B5652" t="s">
        <v>10670</v>
      </c>
      <c r="C5652" t="str">
        <f t="shared" si="379"/>
        <v>706</v>
      </c>
      <c r="D5652" t="s">
        <v>28</v>
      </c>
      <c r="E5652" t="s">
        <v>23</v>
      </c>
      <c r="F5652" t="s">
        <v>975</v>
      </c>
      <c r="G5652" t="s">
        <v>8721</v>
      </c>
      <c r="H5652" t="str">
        <f>"93110"</f>
        <v>93110</v>
      </c>
      <c r="I5652" t="s">
        <v>92</v>
      </c>
    </row>
    <row r="5653" spans="1:11" x14ac:dyDescent="0.3">
      <c r="A5653" t="str">
        <f>"22661867"</f>
        <v>22661867</v>
      </c>
      <c r="B5653" t="s">
        <v>10671</v>
      </c>
      <c r="C5653" t="str">
        <f t="shared" si="379"/>
        <v>706</v>
      </c>
      <c r="D5653" t="s">
        <v>28</v>
      </c>
      <c r="E5653" t="s">
        <v>23</v>
      </c>
      <c r="F5653" t="s">
        <v>710</v>
      </c>
      <c r="G5653" t="s">
        <v>711</v>
      </c>
      <c r="H5653" t="str">
        <f>"93120"</f>
        <v>93120</v>
      </c>
      <c r="I5653" t="s">
        <v>54</v>
      </c>
    </row>
    <row r="5654" spans="1:11" x14ac:dyDescent="0.3">
      <c r="A5654" t="str">
        <f>"22875646"</f>
        <v>22875646</v>
      </c>
      <c r="B5654" t="s">
        <v>10672</v>
      </c>
      <c r="C5654" t="str">
        <f t="shared" si="379"/>
        <v>706</v>
      </c>
      <c r="D5654" t="s">
        <v>28</v>
      </c>
      <c r="E5654" t="s">
        <v>29</v>
      </c>
      <c r="F5654" t="s">
        <v>681</v>
      </c>
      <c r="G5654" t="s">
        <v>10673</v>
      </c>
      <c r="H5654" t="str">
        <f>"93120"</f>
        <v>93120</v>
      </c>
      <c r="I5654" t="s">
        <v>54</v>
      </c>
    </row>
    <row r="5655" spans="1:11" x14ac:dyDescent="0.3">
      <c r="A5655" t="str">
        <f>"26649128"</f>
        <v>26649128</v>
      </c>
      <c r="B5655" t="s">
        <v>10674</v>
      </c>
      <c r="C5655" t="str">
        <f t="shared" si="379"/>
        <v>706</v>
      </c>
      <c r="D5655" t="s">
        <v>28</v>
      </c>
      <c r="E5655" t="s">
        <v>29</v>
      </c>
      <c r="F5655" t="s">
        <v>38</v>
      </c>
      <c r="G5655" t="s">
        <v>10675</v>
      </c>
      <c r="H5655" t="str">
        <f>"93110"</f>
        <v>93110</v>
      </c>
      <c r="I5655" t="s">
        <v>92</v>
      </c>
    </row>
    <row r="5656" spans="1:11" x14ac:dyDescent="0.3">
      <c r="A5656" t="str">
        <f>"04694236"</f>
        <v>04694236</v>
      </c>
      <c r="B5656" t="s">
        <v>10676</v>
      </c>
      <c r="C5656" t="str">
        <f t="shared" ref="C5656:C5687" si="380">"706"</f>
        <v>706</v>
      </c>
      <c r="D5656" t="s">
        <v>28</v>
      </c>
      <c r="E5656" t="s">
        <v>52</v>
      </c>
      <c r="F5656" t="s">
        <v>52</v>
      </c>
      <c r="G5656" t="s">
        <v>53</v>
      </c>
      <c r="H5656" t="str">
        <f>"93120"</f>
        <v>93120</v>
      </c>
      <c r="I5656" t="s">
        <v>54</v>
      </c>
    </row>
    <row r="5657" spans="1:11" x14ac:dyDescent="0.3">
      <c r="A5657" t="str">
        <f>"26549956"</f>
        <v>26549956</v>
      </c>
      <c r="B5657" t="s">
        <v>10677</v>
      </c>
      <c r="C5657" t="str">
        <f t="shared" si="380"/>
        <v>706</v>
      </c>
      <c r="D5657" t="s">
        <v>28</v>
      </c>
      <c r="E5657" t="s">
        <v>23</v>
      </c>
      <c r="F5657" t="s">
        <v>24</v>
      </c>
      <c r="G5657" t="s">
        <v>10678</v>
      </c>
      <c r="H5657" t="str">
        <f>"93120"</f>
        <v>93120</v>
      </c>
      <c r="I5657" t="s">
        <v>54</v>
      </c>
    </row>
    <row r="5658" spans="1:11" x14ac:dyDescent="0.3">
      <c r="A5658" t="str">
        <f>"26989638"</f>
        <v>26989638</v>
      </c>
      <c r="B5658" t="s">
        <v>10679</v>
      </c>
      <c r="C5658" t="str">
        <f t="shared" si="380"/>
        <v>706</v>
      </c>
      <c r="D5658" t="s">
        <v>28</v>
      </c>
      <c r="E5658" t="s">
        <v>29</v>
      </c>
      <c r="F5658" t="s">
        <v>653</v>
      </c>
      <c r="G5658" t="s">
        <v>10680</v>
      </c>
      <c r="H5658" t="str">
        <f>"93110"</f>
        <v>93110</v>
      </c>
      <c r="I5658" t="s">
        <v>92</v>
      </c>
    </row>
    <row r="5659" spans="1:11" x14ac:dyDescent="0.3">
      <c r="A5659" t="str">
        <f>"64422526"</f>
        <v>64422526</v>
      </c>
      <c r="B5659" t="s">
        <v>10681</v>
      </c>
      <c r="C5659" t="str">
        <f t="shared" si="380"/>
        <v>706</v>
      </c>
      <c r="D5659" t="s">
        <v>28</v>
      </c>
      <c r="E5659" t="s">
        <v>83</v>
      </c>
      <c r="F5659" t="s">
        <v>175</v>
      </c>
      <c r="G5659" t="s">
        <v>10682</v>
      </c>
      <c r="H5659" t="str">
        <f>"93110"</f>
        <v>93110</v>
      </c>
      <c r="I5659" t="s">
        <v>92</v>
      </c>
    </row>
    <row r="5660" spans="1:11" x14ac:dyDescent="0.3">
      <c r="A5660" t="str">
        <f>"47997826"</f>
        <v>47997826</v>
      </c>
      <c r="B5660" t="s">
        <v>10683</v>
      </c>
      <c r="C5660" t="str">
        <f t="shared" si="380"/>
        <v>706</v>
      </c>
      <c r="D5660" t="s">
        <v>28</v>
      </c>
      <c r="E5660" t="s">
        <v>29</v>
      </c>
      <c r="F5660" t="s">
        <v>195</v>
      </c>
      <c r="G5660" t="s">
        <v>10684</v>
      </c>
      <c r="H5660" t="str">
        <f>"93120"</f>
        <v>93120</v>
      </c>
      <c r="I5660" t="s">
        <v>54</v>
      </c>
    </row>
    <row r="5661" spans="1:11" x14ac:dyDescent="0.3">
      <c r="A5661" t="str">
        <f>"27010210"</f>
        <v>27010210</v>
      </c>
      <c r="B5661" t="s">
        <v>10685</v>
      </c>
      <c r="C5661" t="str">
        <f t="shared" si="380"/>
        <v>706</v>
      </c>
      <c r="D5661" t="s">
        <v>28</v>
      </c>
      <c r="E5661" t="s">
        <v>52</v>
      </c>
      <c r="F5661" t="s">
        <v>65</v>
      </c>
      <c r="G5661" t="s">
        <v>10686</v>
      </c>
      <c r="H5661" t="str">
        <f>"93110"</f>
        <v>93110</v>
      </c>
      <c r="I5661" t="s">
        <v>92</v>
      </c>
    </row>
    <row r="5662" spans="1:11" x14ac:dyDescent="0.3">
      <c r="A5662" t="str">
        <f>"22712585"</f>
        <v>22712585</v>
      </c>
      <c r="B5662" t="s">
        <v>10687</v>
      </c>
      <c r="C5662" t="str">
        <f t="shared" si="380"/>
        <v>706</v>
      </c>
      <c r="D5662" t="s">
        <v>28</v>
      </c>
      <c r="E5662" t="s">
        <v>29</v>
      </c>
      <c r="F5662" t="s">
        <v>852</v>
      </c>
      <c r="G5662" t="s">
        <v>10688</v>
      </c>
      <c r="H5662" t="str">
        <f>"93120"</f>
        <v>93120</v>
      </c>
      <c r="I5662" t="s">
        <v>54</v>
      </c>
    </row>
    <row r="5663" spans="1:11" x14ac:dyDescent="0.3">
      <c r="A5663" t="str">
        <f>"26580098"</f>
        <v>26580098</v>
      </c>
      <c r="B5663" t="s">
        <v>10689</v>
      </c>
      <c r="C5663" t="str">
        <f t="shared" si="380"/>
        <v>706</v>
      </c>
      <c r="D5663" t="s">
        <v>28</v>
      </c>
      <c r="E5663" t="s">
        <v>23</v>
      </c>
      <c r="F5663" t="s">
        <v>296</v>
      </c>
      <c r="G5663" t="s">
        <v>10690</v>
      </c>
      <c r="H5663" t="str">
        <f>"93120"</f>
        <v>93120</v>
      </c>
      <c r="I5663" t="s">
        <v>54</v>
      </c>
    </row>
    <row r="5664" spans="1:11" x14ac:dyDescent="0.3">
      <c r="A5664" t="str">
        <f>"01783327"</f>
        <v>01783327</v>
      </c>
      <c r="B5664" t="s">
        <v>10691</v>
      </c>
      <c r="C5664" t="str">
        <f t="shared" si="380"/>
        <v>706</v>
      </c>
      <c r="D5664" t="s">
        <v>28</v>
      </c>
      <c r="E5664" t="s">
        <v>29</v>
      </c>
      <c r="F5664" t="s">
        <v>1121</v>
      </c>
      <c r="G5664" t="s">
        <v>10692</v>
      </c>
      <c r="H5664" t="str">
        <f>"93120"</f>
        <v>93120</v>
      </c>
      <c r="I5664" t="s">
        <v>54</v>
      </c>
    </row>
    <row r="5665" spans="1:11" x14ac:dyDescent="0.3">
      <c r="A5665" t="str">
        <f>"26593092"</f>
        <v>26593092</v>
      </c>
      <c r="B5665" t="s">
        <v>10693</v>
      </c>
      <c r="C5665" t="str">
        <f t="shared" si="380"/>
        <v>706</v>
      </c>
      <c r="D5665" t="s">
        <v>28</v>
      </c>
      <c r="E5665" t="s">
        <v>52</v>
      </c>
      <c r="F5665" t="s">
        <v>927</v>
      </c>
      <c r="G5665" t="s">
        <v>10631</v>
      </c>
      <c r="H5665" t="str">
        <f>"93110"</f>
        <v>93110</v>
      </c>
      <c r="I5665" t="s">
        <v>92</v>
      </c>
    </row>
    <row r="5666" spans="1:11" x14ac:dyDescent="0.3">
      <c r="A5666" t="str">
        <f>"66610541"</f>
        <v>66610541</v>
      </c>
      <c r="B5666" t="s">
        <v>10694</v>
      </c>
      <c r="C5666" t="str">
        <f t="shared" si="380"/>
        <v>706</v>
      </c>
      <c r="D5666" t="s">
        <v>28</v>
      </c>
      <c r="E5666" t="s">
        <v>52</v>
      </c>
      <c r="F5666" t="s">
        <v>234</v>
      </c>
      <c r="G5666" t="s">
        <v>10695</v>
      </c>
      <c r="H5666" t="str">
        <f>"93120"</f>
        <v>93120</v>
      </c>
      <c r="I5666" t="s">
        <v>54</v>
      </c>
    </row>
    <row r="5667" spans="1:11" x14ac:dyDescent="0.3">
      <c r="A5667" t="str">
        <f>"65823362"</f>
        <v>65823362</v>
      </c>
      <c r="B5667" t="s">
        <v>10696</v>
      </c>
      <c r="C5667" t="str">
        <f t="shared" si="380"/>
        <v>706</v>
      </c>
      <c r="D5667" t="s">
        <v>28</v>
      </c>
      <c r="E5667" t="s">
        <v>23</v>
      </c>
      <c r="F5667" t="s">
        <v>141</v>
      </c>
      <c r="G5667" t="s">
        <v>10697</v>
      </c>
      <c r="H5667" t="str">
        <f>"93120"</f>
        <v>93120</v>
      </c>
      <c r="I5667" t="s">
        <v>54</v>
      </c>
    </row>
    <row r="5668" spans="1:11" x14ac:dyDescent="0.3">
      <c r="A5668" t="str">
        <f>"26529891"</f>
        <v>26529891</v>
      </c>
      <c r="B5668" t="s">
        <v>10698</v>
      </c>
      <c r="C5668" t="str">
        <f t="shared" si="380"/>
        <v>706</v>
      </c>
      <c r="D5668" t="s">
        <v>28</v>
      </c>
      <c r="E5668" t="s">
        <v>52</v>
      </c>
      <c r="F5668" t="s">
        <v>334</v>
      </c>
      <c r="G5668" t="s">
        <v>2044</v>
      </c>
      <c r="H5668" t="str">
        <f>"9499"</f>
        <v>9499</v>
      </c>
      <c r="I5668" t="s">
        <v>31</v>
      </c>
    </row>
    <row r="5669" spans="1:11" x14ac:dyDescent="0.3">
      <c r="A5669" t="str">
        <f>"23096632"</f>
        <v>23096632</v>
      </c>
      <c r="B5669" t="s">
        <v>10699</v>
      </c>
      <c r="C5669" t="str">
        <f t="shared" si="380"/>
        <v>706</v>
      </c>
      <c r="D5669" t="s">
        <v>28</v>
      </c>
      <c r="E5669" t="s">
        <v>23</v>
      </c>
      <c r="F5669" t="s">
        <v>23</v>
      </c>
      <c r="G5669" t="s">
        <v>10700</v>
      </c>
      <c r="H5669" t="str">
        <f>"93120"</f>
        <v>93120</v>
      </c>
      <c r="I5669" t="s">
        <v>54</v>
      </c>
    </row>
    <row r="5670" spans="1:11" x14ac:dyDescent="0.3">
      <c r="A5670" t="str">
        <f>"22851933"</f>
        <v>22851933</v>
      </c>
      <c r="B5670" t="s">
        <v>10701</v>
      </c>
      <c r="C5670" t="str">
        <f t="shared" si="380"/>
        <v>706</v>
      </c>
      <c r="D5670" t="s">
        <v>28</v>
      </c>
      <c r="E5670" t="s">
        <v>29</v>
      </c>
      <c r="F5670" t="s">
        <v>38</v>
      </c>
      <c r="G5670" t="s">
        <v>10702</v>
      </c>
      <c r="H5670" t="str">
        <f>"93110"</f>
        <v>93110</v>
      </c>
      <c r="I5670" t="s">
        <v>92</v>
      </c>
    </row>
    <row r="5671" spans="1:11" x14ac:dyDescent="0.3">
      <c r="A5671" t="str">
        <f>"65828178"</f>
        <v>65828178</v>
      </c>
      <c r="B5671" t="s">
        <v>10703</v>
      </c>
      <c r="C5671" t="str">
        <f t="shared" si="380"/>
        <v>706</v>
      </c>
      <c r="D5671" t="s">
        <v>28</v>
      </c>
      <c r="E5671" t="s">
        <v>83</v>
      </c>
      <c r="F5671" t="s">
        <v>1055</v>
      </c>
      <c r="G5671" t="s">
        <v>5596</v>
      </c>
      <c r="H5671" t="str">
        <f>"9499"</f>
        <v>9499</v>
      </c>
      <c r="I5671" t="s">
        <v>31</v>
      </c>
    </row>
    <row r="5672" spans="1:11" x14ac:dyDescent="0.3">
      <c r="A5672" t="str">
        <f>"26624729"</f>
        <v>26624729</v>
      </c>
      <c r="B5672" t="s">
        <v>10704</v>
      </c>
      <c r="C5672" t="str">
        <f t="shared" si="380"/>
        <v>706</v>
      </c>
      <c r="D5672" t="s">
        <v>28</v>
      </c>
      <c r="E5672" t="s">
        <v>23</v>
      </c>
      <c r="F5672" t="s">
        <v>102</v>
      </c>
      <c r="G5672" t="s">
        <v>10705</v>
      </c>
      <c r="H5672" t="str">
        <f>"93110"</f>
        <v>93110</v>
      </c>
      <c r="I5672" t="s">
        <v>92</v>
      </c>
    </row>
    <row r="5673" spans="1:11" x14ac:dyDescent="0.3">
      <c r="A5673" t="str">
        <f>"22870563"</f>
        <v>22870563</v>
      </c>
      <c r="B5673" t="s">
        <v>10706</v>
      </c>
      <c r="C5673" t="str">
        <f t="shared" si="380"/>
        <v>706</v>
      </c>
      <c r="D5673" t="s">
        <v>28</v>
      </c>
      <c r="E5673" t="s">
        <v>52</v>
      </c>
      <c r="F5673" t="s">
        <v>612</v>
      </c>
      <c r="G5673" t="s">
        <v>9911</v>
      </c>
      <c r="H5673" t="str">
        <f>"93120"</f>
        <v>93120</v>
      </c>
      <c r="I5673" t="s">
        <v>54</v>
      </c>
    </row>
    <row r="5674" spans="1:11" x14ac:dyDescent="0.3">
      <c r="A5674" t="str">
        <f>"26561026"</f>
        <v>26561026</v>
      </c>
      <c r="B5674" t="s">
        <v>10707</v>
      </c>
      <c r="C5674" t="str">
        <f t="shared" si="380"/>
        <v>706</v>
      </c>
      <c r="D5674" t="s">
        <v>28</v>
      </c>
      <c r="E5674" t="s">
        <v>29</v>
      </c>
      <c r="F5674" t="s">
        <v>1654</v>
      </c>
      <c r="G5674" t="s">
        <v>10708</v>
      </c>
      <c r="H5674" t="str">
        <f>"93110"</f>
        <v>93110</v>
      </c>
      <c r="I5674" t="s">
        <v>92</v>
      </c>
    </row>
    <row r="5675" spans="1:11" x14ac:dyDescent="0.3">
      <c r="A5675" t="str">
        <f>"22746676"</f>
        <v>22746676</v>
      </c>
      <c r="B5675" t="s">
        <v>10709</v>
      </c>
      <c r="C5675" t="str">
        <f t="shared" si="380"/>
        <v>706</v>
      </c>
      <c r="D5675" t="s">
        <v>28</v>
      </c>
      <c r="E5675" t="s">
        <v>23</v>
      </c>
      <c r="F5675" t="s">
        <v>721</v>
      </c>
      <c r="G5675" t="s">
        <v>10710</v>
      </c>
      <c r="H5675" t="str">
        <f>"93120"</f>
        <v>93120</v>
      </c>
      <c r="I5675" t="s">
        <v>54</v>
      </c>
    </row>
    <row r="5676" spans="1:11" x14ac:dyDescent="0.3">
      <c r="A5676" t="str">
        <f>"10673491"</f>
        <v>10673491</v>
      </c>
      <c r="B5676" t="s">
        <v>10711</v>
      </c>
      <c r="C5676" t="str">
        <f t="shared" si="380"/>
        <v>706</v>
      </c>
      <c r="D5676" t="s">
        <v>28</v>
      </c>
      <c r="E5676" t="s">
        <v>52</v>
      </c>
      <c r="F5676" t="s">
        <v>80</v>
      </c>
      <c r="G5676" t="s">
        <v>3950</v>
      </c>
      <c r="H5676" t="str">
        <f>"93120"</f>
        <v>93120</v>
      </c>
      <c r="I5676" t="s">
        <v>54</v>
      </c>
    </row>
    <row r="5677" spans="1:11" x14ac:dyDescent="0.3">
      <c r="A5677" t="str">
        <f>"27027571"</f>
        <v>27027571</v>
      </c>
      <c r="B5677" t="s">
        <v>10712</v>
      </c>
      <c r="C5677" t="str">
        <f t="shared" si="380"/>
        <v>706</v>
      </c>
      <c r="D5677" t="s">
        <v>28</v>
      </c>
      <c r="E5677" t="s">
        <v>52</v>
      </c>
      <c r="F5677" t="s">
        <v>920</v>
      </c>
      <c r="G5677" t="s">
        <v>10713</v>
      </c>
      <c r="H5677" t="str">
        <f>"93110"</f>
        <v>93110</v>
      </c>
      <c r="I5677" t="s">
        <v>92</v>
      </c>
    </row>
    <row r="5678" spans="1:11" x14ac:dyDescent="0.3">
      <c r="A5678" t="str">
        <f>"02170477"</f>
        <v>02170477</v>
      </c>
      <c r="B5678" t="s">
        <v>10714</v>
      </c>
      <c r="C5678" t="str">
        <f t="shared" si="380"/>
        <v>706</v>
      </c>
      <c r="D5678" t="s">
        <v>28</v>
      </c>
      <c r="E5678" t="s">
        <v>52</v>
      </c>
      <c r="F5678" t="s">
        <v>113</v>
      </c>
      <c r="G5678" t="s">
        <v>10715</v>
      </c>
      <c r="H5678" t="str">
        <f>"93120"</f>
        <v>93120</v>
      </c>
      <c r="I5678" t="s">
        <v>54</v>
      </c>
    </row>
    <row r="5679" spans="1:11" x14ac:dyDescent="0.3">
      <c r="A5679" t="str">
        <f>"00558079"</f>
        <v>00558079</v>
      </c>
      <c r="B5679" t="s">
        <v>10716</v>
      </c>
      <c r="C5679" t="str">
        <f t="shared" si="380"/>
        <v>706</v>
      </c>
      <c r="D5679" t="s">
        <v>28</v>
      </c>
      <c r="E5679" t="s">
        <v>52</v>
      </c>
      <c r="F5679" t="s">
        <v>52</v>
      </c>
      <c r="G5679" t="s">
        <v>10717</v>
      </c>
      <c r="H5679" t="str">
        <f>"93110"</f>
        <v>93110</v>
      </c>
      <c r="I5679" t="s">
        <v>92</v>
      </c>
      <c r="J5679" t="s">
        <v>157</v>
      </c>
      <c r="K5679" t="s">
        <v>161</v>
      </c>
    </row>
    <row r="5680" spans="1:11" x14ac:dyDescent="0.3">
      <c r="A5680" t="str">
        <f>"70823731"</f>
        <v>70823731</v>
      </c>
      <c r="B5680" t="s">
        <v>10718</v>
      </c>
      <c r="C5680" t="str">
        <f t="shared" si="380"/>
        <v>706</v>
      </c>
      <c r="D5680" t="s">
        <v>28</v>
      </c>
      <c r="E5680" t="s">
        <v>52</v>
      </c>
      <c r="F5680" t="s">
        <v>113</v>
      </c>
      <c r="G5680" t="s">
        <v>10719</v>
      </c>
      <c r="H5680" t="str">
        <f>"93120"</f>
        <v>93120</v>
      </c>
      <c r="I5680" t="s">
        <v>54</v>
      </c>
    </row>
    <row r="5681" spans="1:9" x14ac:dyDescent="0.3">
      <c r="A5681" t="str">
        <f>"00575283"</f>
        <v>00575283</v>
      </c>
      <c r="B5681" t="s">
        <v>10720</v>
      </c>
      <c r="C5681" t="str">
        <f t="shared" si="380"/>
        <v>706</v>
      </c>
      <c r="D5681" t="s">
        <v>28</v>
      </c>
      <c r="E5681" t="s">
        <v>29</v>
      </c>
      <c r="F5681" t="s">
        <v>852</v>
      </c>
      <c r="G5681" t="s">
        <v>10721</v>
      </c>
      <c r="H5681" t="str">
        <f>"931"</f>
        <v>931</v>
      </c>
      <c r="I5681" t="s">
        <v>26</v>
      </c>
    </row>
    <row r="5682" spans="1:9" x14ac:dyDescent="0.3">
      <c r="A5682" t="str">
        <f>"44119127"</f>
        <v>44119127</v>
      </c>
      <c r="B5682" t="s">
        <v>10722</v>
      </c>
      <c r="C5682" t="str">
        <f t="shared" si="380"/>
        <v>706</v>
      </c>
      <c r="D5682" t="s">
        <v>28</v>
      </c>
      <c r="E5682" t="s">
        <v>23</v>
      </c>
      <c r="F5682" t="s">
        <v>23</v>
      </c>
      <c r="G5682" t="s">
        <v>204</v>
      </c>
      <c r="H5682" t="str">
        <f>"93110"</f>
        <v>93110</v>
      </c>
      <c r="I5682" t="s">
        <v>92</v>
      </c>
    </row>
    <row r="5683" spans="1:9" x14ac:dyDescent="0.3">
      <c r="A5683" t="str">
        <f>"70825858"</f>
        <v>70825858</v>
      </c>
      <c r="B5683" t="s">
        <v>10723</v>
      </c>
      <c r="C5683" t="str">
        <f t="shared" si="380"/>
        <v>706</v>
      </c>
      <c r="D5683" t="s">
        <v>28</v>
      </c>
      <c r="E5683" t="s">
        <v>23</v>
      </c>
      <c r="F5683" t="s">
        <v>99</v>
      </c>
      <c r="G5683" t="s">
        <v>10724</v>
      </c>
      <c r="H5683" t="str">
        <f>"93120"</f>
        <v>93120</v>
      </c>
      <c r="I5683" t="s">
        <v>54</v>
      </c>
    </row>
    <row r="5684" spans="1:9" x14ac:dyDescent="0.3">
      <c r="A5684" t="str">
        <f>"05234638"</f>
        <v>05234638</v>
      </c>
      <c r="B5684" t="s">
        <v>10725</v>
      </c>
      <c r="C5684" t="str">
        <f t="shared" si="380"/>
        <v>706</v>
      </c>
      <c r="D5684" t="s">
        <v>28</v>
      </c>
      <c r="E5684" t="s">
        <v>23</v>
      </c>
      <c r="F5684" t="s">
        <v>107</v>
      </c>
      <c r="G5684" t="s">
        <v>10726</v>
      </c>
      <c r="H5684" t="str">
        <f>"93120"</f>
        <v>93120</v>
      </c>
      <c r="I5684" t="s">
        <v>54</v>
      </c>
    </row>
    <row r="5685" spans="1:9" x14ac:dyDescent="0.3">
      <c r="A5685" t="str">
        <f>"68898631"</f>
        <v>68898631</v>
      </c>
      <c r="B5685" t="s">
        <v>10727</v>
      </c>
      <c r="C5685" t="str">
        <f t="shared" si="380"/>
        <v>706</v>
      </c>
      <c r="D5685" t="s">
        <v>28</v>
      </c>
      <c r="E5685" t="s">
        <v>29</v>
      </c>
      <c r="F5685" t="s">
        <v>38</v>
      </c>
      <c r="G5685" t="s">
        <v>10728</v>
      </c>
      <c r="H5685" t="str">
        <f>"931"</f>
        <v>931</v>
      </c>
      <c r="I5685" t="s">
        <v>26</v>
      </c>
    </row>
    <row r="5686" spans="1:9" x14ac:dyDescent="0.3">
      <c r="A5686" t="str">
        <f>"65823702"</f>
        <v>65823702</v>
      </c>
      <c r="B5686" t="s">
        <v>10729</v>
      </c>
      <c r="C5686" t="str">
        <f t="shared" si="380"/>
        <v>706</v>
      </c>
      <c r="D5686" t="s">
        <v>28</v>
      </c>
      <c r="E5686" t="s">
        <v>23</v>
      </c>
      <c r="F5686" t="s">
        <v>23</v>
      </c>
      <c r="G5686" t="s">
        <v>10730</v>
      </c>
      <c r="H5686" t="str">
        <f>"93110"</f>
        <v>93110</v>
      </c>
      <c r="I5686" t="s">
        <v>92</v>
      </c>
    </row>
    <row r="5687" spans="1:9" x14ac:dyDescent="0.3">
      <c r="A5687" t="str">
        <f>"68730101"</f>
        <v>68730101</v>
      </c>
      <c r="B5687" t="s">
        <v>10731</v>
      </c>
      <c r="C5687" t="str">
        <f t="shared" si="380"/>
        <v>706</v>
      </c>
      <c r="D5687" t="s">
        <v>28</v>
      </c>
      <c r="E5687" t="s">
        <v>23</v>
      </c>
      <c r="F5687" t="s">
        <v>1418</v>
      </c>
      <c r="G5687" t="s">
        <v>10732</v>
      </c>
      <c r="H5687" t="str">
        <f>"93120"</f>
        <v>93120</v>
      </c>
      <c r="I5687" t="s">
        <v>54</v>
      </c>
    </row>
    <row r="5688" spans="1:9" x14ac:dyDescent="0.3">
      <c r="A5688" t="str">
        <f>"19640277"</f>
        <v>19640277</v>
      </c>
      <c r="B5688" t="s">
        <v>10733</v>
      </c>
      <c r="C5688" t="str">
        <f>"118"</f>
        <v>118</v>
      </c>
      <c r="D5688" t="s">
        <v>337</v>
      </c>
      <c r="E5688" t="s">
        <v>23</v>
      </c>
      <c r="F5688" t="s">
        <v>23</v>
      </c>
      <c r="G5688" t="s">
        <v>1437</v>
      </c>
      <c r="H5688" t="str">
        <f>"9499"</f>
        <v>9499</v>
      </c>
      <c r="I5688" t="s">
        <v>31</v>
      </c>
    </row>
    <row r="5689" spans="1:9" x14ac:dyDescent="0.3">
      <c r="A5689" t="str">
        <f>"11677112"</f>
        <v>11677112</v>
      </c>
      <c r="B5689" t="s">
        <v>10734</v>
      </c>
      <c r="C5689" t="str">
        <f>"706"</f>
        <v>706</v>
      </c>
      <c r="D5689" t="s">
        <v>28</v>
      </c>
      <c r="E5689" t="s">
        <v>23</v>
      </c>
      <c r="F5689" t="s">
        <v>23</v>
      </c>
      <c r="G5689" t="s">
        <v>1437</v>
      </c>
      <c r="H5689" t="str">
        <f>"9499"</f>
        <v>9499</v>
      </c>
      <c r="I5689" t="s">
        <v>31</v>
      </c>
    </row>
    <row r="5690" spans="1:9" x14ac:dyDescent="0.3">
      <c r="A5690" t="str">
        <f>"14001543"</f>
        <v>14001543</v>
      </c>
      <c r="B5690" t="s">
        <v>10735</v>
      </c>
      <c r="C5690" t="str">
        <f>"118"</f>
        <v>118</v>
      </c>
      <c r="D5690" t="s">
        <v>337</v>
      </c>
      <c r="E5690" t="s">
        <v>23</v>
      </c>
      <c r="F5690" t="s">
        <v>23</v>
      </c>
      <c r="G5690" t="s">
        <v>1437</v>
      </c>
      <c r="H5690" t="str">
        <f>"9499"</f>
        <v>9499</v>
      </c>
      <c r="I5690" t="s">
        <v>31</v>
      </c>
    </row>
    <row r="5691" spans="1:9" x14ac:dyDescent="0.3">
      <c r="A5691" t="str">
        <f>"26545012"</f>
        <v>26545012</v>
      </c>
      <c r="B5691" t="s">
        <v>10736</v>
      </c>
      <c r="C5691" t="str">
        <f t="shared" ref="C5691:C5753" si="381">"706"</f>
        <v>706</v>
      </c>
      <c r="D5691" t="s">
        <v>28</v>
      </c>
      <c r="E5691" t="s">
        <v>83</v>
      </c>
      <c r="F5691" t="s">
        <v>83</v>
      </c>
      <c r="G5691" t="s">
        <v>10737</v>
      </c>
      <c r="H5691" t="str">
        <f>"9499"</f>
        <v>9499</v>
      </c>
      <c r="I5691" t="s">
        <v>31</v>
      </c>
    </row>
    <row r="5692" spans="1:9" x14ac:dyDescent="0.3">
      <c r="A5692" t="str">
        <f>"26558114"</f>
        <v>26558114</v>
      </c>
      <c r="B5692" t="s">
        <v>10738</v>
      </c>
      <c r="C5692" t="str">
        <f t="shared" si="381"/>
        <v>706</v>
      </c>
      <c r="D5692" t="s">
        <v>28</v>
      </c>
      <c r="E5692" t="s">
        <v>52</v>
      </c>
      <c r="F5692" t="s">
        <v>52</v>
      </c>
      <c r="G5692" t="s">
        <v>10739</v>
      </c>
      <c r="H5692" t="str">
        <f>"93190"</f>
        <v>93190</v>
      </c>
      <c r="I5692" t="s">
        <v>59</v>
      </c>
    </row>
    <row r="5693" spans="1:9" x14ac:dyDescent="0.3">
      <c r="A5693" t="str">
        <f>"06512992"</f>
        <v>06512992</v>
      </c>
      <c r="B5693" t="s">
        <v>10740</v>
      </c>
      <c r="C5693" t="str">
        <f t="shared" si="381"/>
        <v>706</v>
      </c>
      <c r="D5693" t="s">
        <v>28</v>
      </c>
      <c r="E5693" t="s">
        <v>83</v>
      </c>
      <c r="F5693" t="s">
        <v>537</v>
      </c>
      <c r="G5693" t="s">
        <v>10741</v>
      </c>
      <c r="H5693" t="str">
        <f>"9499"</f>
        <v>9499</v>
      </c>
      <c r="I5693" t="s">
        <v>31</v>
      </c>
    </row>
    <row r="5694" spans="1:9" x14ac:dyDescent="0.3">
      <c r="A5694" t="str">
        <f>"22815210"</f>
        <v>22815210</v>
      </c>
      <c r="B5694" t="s">
        <v>10742</v>
      </c>
      <c r="C5694" t="str">
        <f t="shared" si="381"/>
        <v>706</v>
      </c>
      <c r="D5694" t="s">
        <v>28</v>
      </c>
      <c r="E5694" t="s">
        <v>52</v>
      </c>
      <c r="F5694" t="s">
        <v>234</v>
      </c>
      <c r="G5694" t="s">
        <v>10743</v>
      </c>
      <c r="H5694" t="str">
        <f>"93120"</f>
        <v>93120</v>
      </c>
      <c r="I5694" t="s">
        <v>54</v>
      </c>
    </row>
    <row r="5695" spans="1:9" x14ac:dyDescent="0.3">
      <c r="A5695" t="str">
        <f>"22733159"</f>
        <v>22733159</v>
      </c>
      <c r="B5695" t="s">
        <v>10744</v>
      </c>
      <c r="C5695" t="str">
        <f t="shared" si="381"/>
        <v>706</v>
      </c>
      <c r="D5695" t="s">
        <v>28</v>
      </c>
      <c r="E5695" t="s">
        <v>23</v>
      </c>
      <c r="F5695" t="s">
        <v>23</v>
      </c>
      <c r="G5695" t="s">
        <v>10745</v>
      </c>
      <c r="H5695" t="str">
        <f>"93110"</f>
        <v>93110</v>
      </c>
      <c r="I5695" t="s">
        <v>92</v>
      </c>
    </row>
    <row r="5696" spans="1:9" x14ac:dyDescent="0.3">
      <c r="A5696" t="str">
        <f>"02040492"</f>
        <v>02040492</v>
      </c>
      <c r="B5696" t="s">
        <v>10746</v>
      </c>
      <c r="C5696" t="str">
        <f t="shared" si="381"/>
        <v>706</v>
      </c>
      <c r="D5696" t="s">
        <v>28</v>
      </c>
      <c r="E5696" t="s">
        <v>83</v>
      </c>
      <c r="F5696" t="s">
        <v>83</v>
      </c>
      <c r="G5696" t="s">
        <v>838</v>
      </c>
      <c r="H5696" t="str">
        <f>"9499"</f>
        <v>9499</v>
      </c>
      <c r="I5696" t="s">
        <v>31</v>
      </c>
    </row>
    <row r="5697" spans="1:11" x14ac:dyDescent="0.3">
      <c r="A5697" t="str">
        <f>"23267046"</f>
        <v>23267046</v>
      </c>
      <c r="B5697" t="s">
        <v>10747</v>
      </c>
      <c r="C5697" t="str">
        <f t="shared" si="381"/>
        <v>706</v>
      </c>
      <c r="D5697" t="s">
        <v>28</v>
      </c>
      <c r="E5697" t="s">
        <v>52</v>
      </c>
      <c r="F5697" t="s">
        <v>1027</v>
      </c>
      <c r="G5697" t="s">
        <v>10748</v>
      </c>
      <c r="H5697" t="str">
        <f>"94991"</f>
        <v>94991</v>
      </c>
      <c r="I5697" t="s">
        <v>433</v>
      </c>
    </row>
    <row r="5698" spans="1:11" x14ac:dyDescent="0.3">
      <c r="A5698" t="str">
        <f>"01227670"</f>
        <v>01227670</v>
      </c>
      <c r="B5698" t="s">
        <v>10749</v>
      </c>
      <c r="C5698" t="str">
        <f t="shared" si="381"/>
        <v>706</v>
      </c>
      <c r="D5698" t="s">
        <v>28</v>
      </c>
      <c r="E5698" t="s">
        <v>23</v>
      </c>
      <c r="F5698" t="s">
        <v>23</v>
      </c>
      <c r="G5698" t="s">
        <v>10750</v>
      </c>
      <c r="H5698" t="str">
        <f>"94993"</f>
        <v>94993</v>
      </c>
      <c r="I5698" t="s">
        <v>50</v>
      </c>
    </row>
    <row r="5699" spans="1:11" x14ac:dyDescent="0.3">
      <c r="A5699" t="str">
        <f>"17292328"</f>
        <v>17292328</v>
      </c>
      <c r="B5699" t="s">
        <v>10751</v>
      </c>
      <c r="C5699" t="str">
        <f t="shared" si="381"/>
        <v>706</v>
      </c>
      <c r="D5699" t="s">
        <v>28</v>
      </c>
      <c r="E5699" t="s">
        <v>23</v>
      </c>
      <c r="F5699" t="s">
        <v>23</v>
      </c>
      <c r="G5699" t="s">
        <v>10752</v>
      </c>
      <c r="H5699" t="str">
        <f>"9499"</f>
        <v>9499</v>
      </c>
      <c r="I5699" t="s">
        <v>31</v>
      </c>
      <c r="J5699" t="s">
        <v>232</v>
      </c>
      <c r="K5699" t="s">
        <v>202</v>
      </c>
    </row>
    <row r="5700" spans="1:11" x14ac:dyDescent="0.3">
      <c r="A5700" t="str">
        <f>"10721045"</f>
        <v>10721045</v>
      </c>
      <c r="B5700" t="s">
        <v>10753</v>
      </c>
      <c r="C5700" t="str">
        <f t="shared" si="381"/>
        <v>706</v>
      </c>
      <c r="D5700" t="s">
        <v>28</v>
      </c>
      <c r="E5700" t="s">
        <v>29</v>
      </c>
      <c r="F5700" t="s">
        <v>29</v>
      </c>
      <c r="G5700" t="s">
        <v>2440</v>
      </c>
      <c r="H5700" t="str">
        <f>"9499"</f>
        <v>9499</v>
      </c>
      <c r="I5700" t="s">
        <v>31</v>
      </c>
    </row>
    <row r="5701" spans="1:11" x14ac:dyDescent="0.3">
      <c r="A5701" t="str">
        <f>"70834202"</f>
        <v>70834202</v>
      </c>
      <c r="B5701" t="s">
        <v>10754</v>
      </c>
      <c r="C5701" t="str">
        <f t="shared" si="381"/>
        <v>706</v>
      </c>
      <c r="D5701" t="s">
        <v>28</v>
      </c>
      <c r="E5701" t="s">
        <v>23</v>
      </c>
      <c r="F5701" t="s">
        <v>23</v>
      </c>
      <c r="G5701" t="s">
        <v>10755</v>
      </c>
      <c r="H5701" t="str">
        <f>"93120"</f>
        <v>93120</v>
      </c>
      <c r="I5701" t="s">
        <v>54</v>
      </c>
    </row>
    <row r="5702" spans="1:11" x14ac:dyDescent="0.3">
      <c r="A5702" t="str">
        <f>"09294210"</f>
        <v>09294210</v>
      </c>
      <c r="B5702" t="s">
        <v>10756</v>
      </c>
      <c r="C5702" t="str">
        <f t="shared" si="381"/>
        <v>706</v>
      </c>
      <c r="D5702" t="s">
        <v>28</v>
      </c>
      <c r="E5702" t="s">
        <v>23</v>
      </c>
      <c r="F5702" t="s">
        <v>23</v>
      </c>
      <c r="G5702" t="s">
        <v>10106</v>
      </c>
      <c r="H5702" t="str">
        <f>"93110"</f>
        <v>93110</v>
      </c>
      <c r="I5702" t="s">
        <v>92</v>
      </c>
    </row>
    <row r="5703" spans="1:11" x14ac:dyDescent="0.3">
      <c r="A5703" t="str">
        <f>"26519801"</f>
        <v>26519801</v>
      </c>
      <c r="B5703" t="s">
        <v>10757</v>
      </c>
      <c r="C5703" t="str">
        <f t="shared" si="381"/>
        <v>706</v>
      </c>
      <c r="D5703" t="s">
        <v>28</v>
      </c>
      <c r="E5703" t="s">
        <v>23</v>
      </c>
      <c r="F5703" t="s">
        <v>23</v>
      </c>
      <c r="G5703" t="s">
        <v>10758</v>
      </c>
      <c r="H5703" t="str">
        <f>"9499"</f>
        <v>9499</v>
      </c>
      <c r="I5703" t="s">
        <v>31</v>
      </c>
    </row>
    <row r="5704" spans="1:11" x14ac:dyDescent="0.3">
      <c r="A5704" t="str">
        <f>"43960693"</f>
        <v>43960693</v>
      </c>
      <c r="B5704" t="s">
        <v>10759</v>
      </c>
      <c r="C5704" t="str">
        <f t="shared" si="381"/>
        <v>706</v>
      </c>
      <c r="D5704" t="s">
        <v>28</v>
      </c>
      <c r="E5704" t="s">
        <v>23</v>
      </c>
      <c r="F5704" t="s">
        <v>23</v>
      </c>
      <c r="G5704" t="s">
        <v>2016</v>
      </c>
      <c r="H5704" t="str">
        <f>"931"</f>
        <v>931</v>
      </c>
      <c r="I5704" t="s">
        <v>26</v>
      </c>
    </row>
    <row r="5705" spans="1:11" x14ac:dyDescent="0.3">
      <c r="A5705" t="str">
        <f>"68898533"</f>
        <v>68898533</v>
      </c>
      <c r="B5705" t="s">
        <v>10760</v>
      </c>
      <c r="C5705" t="str">
        <f t="shared" si="381"/>
        <v>706</v>
      </c>
      <c r="D5705" t="s">
        <v>28</v>
      </c>
      <c r="E5705" t="s">
        <v>29</v>
      </c>
      <c r="F5705" t="s">
        <v>1791</v>
      </c>
      <c r="G5705" t="s">
        <v>1792</v>
      </c>
      <c r="H5705" t="str">
        <f>"931"</f>
        <v>931</v>
      </c>
      <c r="I5705" t="s">
        <v>26</v>
      </c>
    </row>
    <row r="5706" spans="1:11" x14ac:dyDescent="0.3">
      <c r="A5706" t="str">
        <f>"18189784"</f>
        <v>18189784</v>
      </c>
      <c r="B5706" t="s">
        <v>10761</v>
      </c>
      <c r="C5706" t="str">
        <f t="shared" si="381"/>
        <v>706</v>
      </c>
      <c r="D5706" t="s">
        <v>28</v>
      </c>
      <c r="E5706" t="s">
        <v>83</v>
      </c>
      <c r="F5706" t="s">
        <v>895</v>
      </c>
      <c r="G5706" t="s">
        <v>8041</v>
      </c>
      <c r="H5706" t="str">
        <f>"93110"</f>
        <v>93110</v>
      </c>
      <c r="I5706" t="s">
        <v>92</v>
      </c>
    </row>
    <row r="5707" spans="1:11" x14ac:dyDescent="0.3">
      <c r="A5707" t="str">
        <f>"46276513"</f>
        <v>46276513</v>
      </c>
      <c r="B5707" t="s">
        <v>10762</v>
      </c>
      <c r="C5707" t="str">
        <f t="shared" si="381"/>
        <v>706</v>
      </c>
      <c r="D5707" t="s">
        <v>28</v>
      </c>
      <c r="E5707" t="s">
        <v>23</v>
      </c>
      <c r="F5707" t="s">
        <v>5469</v>
      </c>
      <c r="G5707" t="s">
        <v>8056</v>
      </c>
      <c r="H5707" t="str">
        <f>"9499"</f>
        <v>9499</v>
      </c>
      <c r="I5707" t="s">
        <v>31</v>
      </c>
    </row>
    <row r="5708" spans="1:11" x14ac:dyDescent="0.3">
      <c r="A5708" t="str">
        <f>"18188532"</f>
        <v>18188532</v>
      </c>
      <c r="B5708" t="s">
        <v>10763</v>
      </c>
      <c r="C5708" t="str">
        <f t="shared" si="381"/>
        <v>706</v>
      </c>
      <c r="D5708" t="s">
        <v>28</v>
      </c>
      <c r="E5708" t="s">
        <v>83</v>
      </c>
      <c r="F5708" t="s">
        <v>175</v>
      </c>
      <c r="G5708" t="s">
        <v>3102</v>
      </c>
      <c r="H5708" t="str">
        <f>"931"</f>
        <v>931</v>
      </c>
      <c r="I5708" t="s">
        <v>26</v>
      </c>
      <c r="J5708" t="s">
        <v>126</v>
      </c>
    </row>
    <row r="5709" spans="1:11" x14ac:dyDescent="0.3">
      <c r="A5709" t="str">
        <f>"00545333"</f>
        <v>00545333</v>
      </c>
      <c r="B5709" t="s">
        <v>10764</v>
      </c>
      <c r="C5709" t="str">
        <f t="shared" si="381"/>
        <v>706</v>
      </c>
      <c r="D5709" t="s">
        <v>28</v>
      </c>
      <c r="E5709" t="s">
        <v>83</v>
      </c>
      <c r="F5709" t="s">
        <v>480</v>
      </c>
      <c r="G5709" t="s">
        <v>10765</v>
      </c>
      <c r="H5709" t="str">
        <f>"93110"</f>
        <v>93110</v>
      </c>
      <c r="I5709" t="s">
        <v>92</v>
      </c>
      <c r="J5709" t="s">
        <v>10766</v>
      </c>
    </row>
    <row r="5710" spans="1:11" x14ac:dyDescent="0.3">
      <c r="A5710" t="str">
        <f>"46307494"</f>
        <v>46307494</v>
      </c>
      <c r="B5710" t="s">
        <v>10767</v>
      </c>
      <c r="C5710" t="str">
        <f t="shared" si="381"/>
        <v>706</v>
      </c>
      <c r="D5710" t="s">
        <v>28</v>
      </c>
      <c r="E5710" t="s">
        <v>23</v>
      </c>
      <c r="F5710" t="s">
        <v>5336</v>
      </c>
      <c r="G5710" t="s">
        <v>5337</v>
      </c>
      <c r="H5710" t="str">
        <f>"9499"</f>
        <v>9499</v>
      </c>
      <c r="I5710" t="s">
        <v>31</v>
      </c>
    </row>
    <row r="5711" spans="1:11" x14ac:dyDescent="0.3">
      <c r="A5711" t="str">
        <f>"44117400"</f>
        <v>44117400</v>
      </c>
      <c r="B5711" t="s">
        <v>10768</v>
      </c>
      <c r="C5711" t="str">
        <f t="shared" si="381"/>
        <v>706</v>
      </c>
      <c r="D5711" t="s">
        <v>28</v>
      </c>
      <c r="E5711" t="s">
        <v>23</v>
      </c>
      <c r="F5711" t="s">
        <v>245</v>
      </c>
      <c r="G5711" t="s">
        <v>10769</v>
      </c>
      <c r="H5711" t="str">
        <f>"93110"</f>
        <v>93110</v>
      </c>
      <c r="I5711" t="s">
        <v>92</v>
      </c>
    </row>
    <row r="5712" spans="1:11" x14ac:dyDescent="0.3">
      <c r="A5712" t="str">
        <f>"00209821"</f>
        <v>00209821</v>
      </c>
      <c r="B5712" t="s">
        <v>10770</v>
      </c>
      <c r="C5712" t="str">
        <f t="shared" si="381"/>
        <v>706</v>
      </c>
      <c r="D5712" t="s">
        <v>28</v>
      </c>
      <c r="E5712" t="s">
        <v>23</v>
      </c>
      <c r="F5712" t="s">
        <v>141</v>
      </c>
      <c r="G5712" t="s">
        <v>1855</v>
      </c>
      <c r="H5712" t="str">
        <f>"93110"</f>
        <v>93110</v>
      </c>
      <c r="I5712" t="s">
        <v>92</v>
      </c>
    </row>
    <row r="5713" spans="1:9" x14ac:dyDescent="0.3">
      <c r="A5713" t="str">
        <f>"18189342"</f>
        <v>18189342</v>
      </c>
      <c r="B5713" t="s">
        <v>10771</v>
      </c>
      <c r="C5713" t="str">
        <f t="shared" si="381"/>
        <v>706</v>
      </c>
      <c r="D5713" t="s">
        <v>28</v>
      </c>
      <c r="E5713" t="s">
        <v>83</v>
      </c>
      <c r="F5713" t="s">
        <v>175</v>
      </c>
      <c r="G5713" t="s">
        <v>8142</v>
      </c>
      <c r="H5713" t="str">
        <f>"93110"</f>
        <v>93110</v>
      </c>
      <c r="I5713" t="s">
        <v>92</v>
      </c>
    </row>
    <row r="5714" spans="1:9" x14ac:dyDescent="0.3">
      <c r="A5714" t="str">
        <f>"04513495"</f>
        <v>04513495</v>
      </c>
      <c r="B5714" t="s">
        <v>10772</v>
      </c>
      <c r="C5714" t="str">
        <f t="shared" si="381"/>
        <v>706</v>
      </c>
      <c r="D5714" t="s">
        <v>28</v>
      </c>
      <c r="E5714" t="s">
        <v>83</v>
      </c>
      <c r="F5714" t="s">
        <v>183</v>
      </c>
      <c r="G5714" t="s">
        <v>10773</v>
      </c>
      <c r="H5714" t="str">
        <f>"93190"</f>
        <v>93190</v>
      </c>
      <c r="I5714" t="s">
        <v>59</v>
      </c>
    </row>
    <row r="5715" spans="1:9" x14ac:dyDescent="0.3">
      <c r="A5715" t="str">
        <f>"22604944"</f>
        <v>22604944</v>
      </c>
      <c r="B5715" t="s">
        <v>10774</v>
      </c>
      <c r="C5715" t="str">
        <f t="shared" si="381"/>
        <v>706</v>
      </c>
      <c r="D5715" t="s">
        <v>28</v>
      </c>
      <c r="E5715" t="s">
        <v>83</v>
      </c>
      <c r="F5715" t="s">
        <v>183</v>
      </c>
      <c r="G5715" t="s">
        <v>4718</v>
      </c>
      <c r="H5715" t="str">
        <f>"93120"</f>
        <v>93120</v>
      </c>
      <c r="I5715" t="s">
        <v>54</v>
      </c>
    </row>
    <row r="5716" spans="1:9" x14ac:dyDescent="0.3">
      <c r="A5716" t="str">
        <f>"11914521"</f>
        <v>11914521</v>
      </c>
      <c r="B5716" t="s">
        <v>10775</v>
      </c>
      <c r="C5716" t="str">
        <f t="shared" si="381"/>
        <v>706</v>
      </c>
      <c r="D5716" t="s">
        <v>28</v>
      </c>
      <c r="E5716" t="s">
        <v>83</v>
      </c>
      <c r="F5716" t="s">
        <v>1525</v>
      </c>
      <c r="G5716" t="s">
        <v>8148</v>
      </c>
      <c r="H5716" t="str">
        <f>"94993"</f>
        <v>94993</v>
      </c>
      <c r="I5716" t="s">
        <v>50</v>
      </c>
    </row>
    <row r="5717" spans="1:9" x14ac:dyDescent="0.3">
      <c r="A5717" t="str">
        <f>"44119381"</f>
        <v>44119381</v>
      </c>
      <c r="B5717" t="s">
        <v>10776</v>
      </c>
      <c r="C5717" t="str">
        <f t="shared" si="381"/>
        <v>706</v>
      </c>
      <c r="D5717" t="s">
        <v>28</v>
      </c>
      <c r="E5717" t="s">
        <v>23</v>
      </c>
      <c r="F5717" t="s">
        <v>1815</v>
      </c>
      <c r="G5717" t="s">
        <v>4356</v>
      </c>
      <c r="H5717" t="str">
        <f>"93110"</f>
        <v>93110</v>
      </c>
      <c r="I5717" t="s">
        <v>92</v>
      </c>
    </row>
    <row r="5718" spans="1:9" x14ac:dyDescent="0.3">
      <c r="A5718" t="str">
        <f>"70900051"</f>
        <v>70900051</v>
      </c>
      <c r="B5718" t="s">
        <v>10777</v>
      </c>
      <c r="C5718" t="str">
        <f t="shared" si="381"/>
        <v>706</v>
      </c>
      <c r="D5718" t="s">
        <v>28</v>
      </c>
      <c r="E5718" t="s">
        <v>29</v>
      </c>
      <c r="F5718" t="s">
        <v>670</v>
      </c>
      <c r="G5718" t="s">
        <v>670</v>
      </c>
      <c r="H5718" t="str">
        <f>"931"</f>
        <v>931</v>
      </c>
      <c r="I5718" t="s">
        <v>26</v>
      </c>
    </row>
    <row r="5719" spans="1:9" x14ac:dyDescent="0.3">
      <c r="A5719" t="str">
        <f>"64124096"</f>
        <v>64124096</v>
      </c>
      <c r="B5719" t="s">
        <v>10778</v>
      </c>
      <c r="C5719" t="str">
        <f t="shared" si="381"/>
        <v>706</v>
      </c>
      <c r="D5719" t="s">
        <v>28</v>
      </c>
      <c r="E5719" t="s">
        <v>29</v>
      </c>
      <c r="F5719" t="s">
        <v>1926</v>
      </c>
      <c r="G5719" t="s">
        <v>10779</v>
      </c>
      <c r="H5719" t="str">
        <f>"93110"</f>
        <v>93110</v>
      </c>
      <c r="I5719" t="s">
        <v>92</v>
      </c>
    </row>
    <row r="5720" spans="1:9" x14ac:dyDescent="0.3">
      <c r="A5720" t="str">
        <f>"18152805"</f>
        <v>18152805</v>
      </c>
      <c r="B5720" t="s">
        <v>10780</v>
      </c>
      <c r="C5720" t="str">
        <f t="shared" si="381"/>
        <v>706</v>
      </c>
      <c r="D5720" t="s">
        <v>28</v>
      </c>
      <c r="E5720" t="s">
        <v>23</v>
      </c>
      <c r="F5720" t="s">
        <v>24</v>
      </c>
      <c r="G5720" t="s">
        <v>1721</v>
      </c>
      <c r="H5720" t="str">
        <f>"931"</f>
        <v>931</v>
      </c>
      <c r="I5720" t="s">
        <v>26</v>
      </c>
    </row>
    <row r="5721" spans="1:9" x14ac:dyDescent="0.3">
      <c r="A5721" t="str">
        <f>"62334921"</f>
        <v>62334921</v>
      </c>
      <c r="B5721" t="s">
        <v>10781</v>
      </c>
      <c r="C5721" t="str">
        <f t="shared" si="381"/>
        <v>706</v>
      </c>
      <c r="D5721" t="s">
        <v>28</v>
      </c>
      <c r="E5721" t="s">
        <v>29</v>
      </c>
      <c r="F5721" t="s">
        <v>195</v>
      </c>
      <c r="G5721" t="s">
        <v>10782</v>
      </c>
      <c r="H5721" t="str">
        <f>"931"</f>
        <v>931</v>
      </c>
      <c r="I5721" t="s">
        <v>26</v>
      </c>
    </row>
    <row r="5722" spans="1:9" x14ac:dyDescent="0.3">
      <c r="A5722" t="str">
        <f>"46277561"</f>
        <v>46277561</v>
      </c>
      <c r="B5722" t="s">
        <v>10783</v>
      </c>
      <c r="C5722" t="str">
        <f t="shared" si="381"/>
        <v>706</v>
      </c>
      <c r="D5722" t="s">
        <v>28</v>
      </c>
      <c r="E5722" t="s">
        <v>23</v>
      </c>
      <c r="F5722" t="s">
        <v>4156</v>
      </c>
      <c r="G5722" t="s">
        <v>10784</v>
      </c>
      <c r="H5722" t="str">
        <f>"9499"</f>
        <v>9499</v>
      </c>
      <c r="I5722" t="s">
        <v>31</v>
      </c>
    </row>
    <row r="5723" spans="1:9" x14ac:dyDescent="0.3">
      <c r="A5723" t="str">
        <f>"61704237"</f>
        <v>61704237</v>
      </c>
      <c r="B5723" t="s">
        <v>10785</v>
      </c>
      <c r="C5723" t="str">
        <f t="shared" si="381"/>
        <v>706</v>
      </c>
      <c r="D5723" t="s">
        <v>28</v>
      </c>
      <c r="E5723" t="s">
        <v>52</v>
      </c>
      <c r="F5723" t="s">
        <v>4748</v>
      </c>
      <c r="G5723" t="s">
        <v>4749</v>
      </c>
      <c r="H5723" t="str">
        <f>"93110"</f>
        <v>93110</v>
      </c>
      <c r="I5723" t="s">
        <v>92</v>
      </c>
    </row>
    <row r="5724" spans="1:9" x14ac:dyDescent="0.3">
      <c r="A5724" t="str">
        <f>"48505501"</f>
        <v>48505501</v>
      </c>
      <c r="B5724" t="s">
        <v>10786</v>
      </c>
      <c r="C5724" t="str">
        <f t="shared" si="381"/>
        <v>706</v>
      </c>
      <c r="D5724" t="s">
        <v>28</v>
      </c>
      <c r="E5724" t="s">
        <v>52</v>
      </c>
      <c r="F5724" t="s">
        <v>673</v>
      </c>
      <c r="G5724" t="s">
        <v>10787</v>
      </c>
      <c r="H5724" t="str">
        <f>"93110"</f>
        <v>93110</v>
      </c>
      <c r="I5724" t="s">
        <v>92</v>
      </c>
    </row>
    <row r="5725" spans="1:9" x14ac:dyDescent="0.3">
      <c r="A5725" t="str">
        <f>"64124029"</f>
        <v>64124029</v>
      </c>
      <c r="B5725" t="s">
        <v>10788</v>
      </c>
      <c r="C5725" t="str">
        <f t="shared" si="381"/>
        <v>706</v>
      </c>
      <c r="D5725" t="s">
        <v>28</v>
      </c>
      <c r="E5725" t="s">
        <v>29</v>
      </c>
      <c r="F5725" t="s">
        <v>45</v>
      </c>
      <c r="G5725" t="s">
        <v>10789</v>
      </c>
      <c r="H5725" t="str">
        <f>"93110"</f>
        <v>93110</v>
      </c>
      <c r="I5725" t="s">
        <v>92</v>
      </c>
    </row>
    <row r="5726" spans="1:9" x14ac:dyDescent="0.3">
      <c r="A5726" t="str">
        <f>"68898380"</f>
        <v>68898380</v>
      </c>
      <c r="B5726" t="s">
        <v>10790</v>
      </c>
      <c r="C5726" t="str">
        <f t="shared" si="381"/>
        <v>706</v>
      </c>
      <c r="D5726" t="s">
        <v>28</v>
      </c>
      <c r="E5726" t="s">
        <v>29</v>
      </c>
      <c r="F5726" t="s">
        <v>135</v>
      </c>
      <c r="G5726" t="s">
        <v>7373</v>
      </c>
      <c r="H5726" t="str">
        <f>"931"</f>
        <v>931</v>
      </c>
      <c r="I5726" t="s">
        <v>26</v>
      </c>
    </row>
    <row r="5727" spans="1:9" x14ac:dyDescent="0.3">
      <c r="A5727" t="str">
        <f>"00559831"</f>
        <v>00559831</v>
      </c>
      <c r="B5727" t="s">
        <v>10791</v>
      </c>
      <c r="C5727" t="str">
        <f t="shared" si="381"/>
        <v>706</v>
      </c>
      <c r="D5727" t="s">
        <v>28</v>
      </c>
      <c r="E5727" t="s">
        <v>23</v>
      </c>
      <c r="F5727" t="s">
        <v>4891</v>
      </c>
      <c r="G5727" t="s">
        <v>8284</v>
      </c>
      <c r="H5727" t="str">
        <f>"93110"</f>
        <v>93110</v>
      </c>
      <c r="I5727" t="s">
        <v>92</v>
      </c>
    </row>
    <row r="5728" spans="1:9" x14ac:dyDescent="0.3">
      <c r="A5728" t="str">
        <f>"46256211"</f>
        <v>46256211</v>
      </c>
      <c r="B5728" t="s">
        <v>10792</v>
      </c>
      <c r="C5728" t="str">
        <f t="shared" si="381"/>
        <v>706</v>
      </c>
      <c r="D5728" t="s">
        <v>28</v>
      </c>
      <c r="E5728" t="s">
        <v>52</v>
      </c>
      <c r="F5728" t="s">
        <v>94</v>
      </c>
      <c r="G5728" t="s">
        <v>10793</v>
      </c>
      <c r="H5728" t="str">
        <f>"93110"</f>
        <v>93110</v>
      </c>
      <c r="I5728" t="s">
        <v>92</v>
      </c>
    </row>
    <row r="5729" spans="1:13" x14ac:dyDescent="0.3">
      <c r="A5729" t="str">
        <f>"18189661"</f>
        <v>18189661</v>
      </c>
      <c r="B5729" t="s">
        <v>10794</v>
      </c>
      <c r="C5729" t="str">
        <f t="shared" si="381"/>
        <v>706</v>
      </c>
      <c r="D5729" t="s">
        <v>28</v>
      </c>
      <c r="E5729" t="s">
        <v>83</v>
      </c>
      <c r="F5729" t="s">
        <v>540</v>
      </c>
      <c r="G5729" t="s">
        <v>4874</v>
      </c>
      <c r="H5729" t="str">
        <f>"93110"</f>
        <v>93110</v>
      </c>
      <c r="I5729" t="s">
        <v>92</v>
      </c>
    </row>
    <row r="5730" spans="1:13" x14ac:dyDescent="0.3">
      <c r="A5730" t="str">
        <f>"18189954"</f>
        <v>18189954</v>
      </c>
      <c r="B5730" t="s">
        <v>10795</v>
      </c>
      <c r="C5730" t="str">
        <f t="shared" si="381"/>
        <v>706</v>
      </c>
      <c r="D5730" t="s">
        <v>28</v>
      </c>
      <c r="E5730" t="s">
        <v>83</v>
      </c>
      <c r="F5730" t="s">
        <v>2423</v>
      </c>
      <c r="G5730" t="s">
        <v>10796</v>
      </c>
      <c r="H5730" t="str">
        <f>"93110"</f>
        <v>93110</v>
      </c>
      <c r="I5730" t="s">
        <v>92</v>
      </c>
    </row>
    <row r="5731" spans="1:13" x14ac:dyDescent="0.3">
      <c r="A5731" t="str">
        <f>"47934760"</f>
        <v>47934760</v>
      </c>
      <c r="B5731" t="s">
        <v>10797</v>
      </c>
      <c r="C5731" t="str">
        <f t="shared" si="381"/>
        <v>706</v>
      </c>
      <c r="D5731" t="s">
        <v>28</v>
      </c>
      <c r="E5731" t="s">
        <v>83</v>
      </c>
      <c r="F5731" t="s">
        <v>1635</v>
      </c>
      <c r="G5731" t="s">
        <v>10798</v>
      </c>
      <c r="H5731" t="str">
        <f>"931"</f>
        <v>931</v>
      </c>
      <c r="I5731" t="s">
        <v>26</v>
      </c>
    </row>
    <row r="5732" spans="1:13" x14ac:dyDescent="0.3">
      <c r="A5732" t="str">
        <f>"61704458"</f>
        <v>61704458</v>
      </c>
      <c r="B5732" t="s">
        <v>10799</v>
      </c>
      <c r="C5732" t="str">
        <f t="shared" si="381"/>
        <v>706</v>
      </c>
      <c r="D5732" t="s">
        <v>28</v>
      </c>
      <c r="E5732" t="s">
        <v>52</v>
      </c>
      <c r="F5732" t="s">
        <v>52</v>
      </c>
      <c r="G5732" t="s">
        <v>994</v>
      </c>
      <c r="H5732" t="str">
        <f>"93110"</f>
        <v>93110</v>
      </c>
      <c r="I5732" t="s">
        <v>92</v>
      </c>
    </row>
    <row r="5733" spans="1:13" x14ac:dyDescent="0.3">
      <c r="A5733" t="str">
        <f>"47933712"</f>
        <v>47933712</v>
      </c>
      <c r="B5733" t="s">
        <v>10800</v>
      </c>
      <c r="C5733" t="str">
        <f t="shared" si="381"/>
        <v>706</v>
      </c>
      <c r="D5733" t="s">
        <v>28</v>
      </c>
      <c r="E5733" t="s">
        <v>83</v>
      </c>
      <c r="F5733" t="s">
        <v>4876</v>
      </c>
      <c r="G5733" t="s">
        <v>10801</v>
      </c>
      <c r="H5733" t="str">
        <f>"93110"</f>
        <v>93110</v>
      </c>
      <c r="I5733" t="s">
        <v>92</v>
      </c>
    </row>
    <row r="5734" spans="1:13" x14ac:dyDescent="0.3">
      <c r="A5734" t="str">
        <f>"48506192"</f>
        <v>48506192</v>
      </c>
      <c r="B5734" t="s">
        <v>10802</v>
      </c>
      <c r="C5734" t="str">
        <f t="shared" si="381"/>
        <v>706</v>
      </c>
      <c r="D5734" t="s">
        <v>28</v>
      </c>
      <c r="E5734" t="s">
        <v>52</v>
      </c>
      <c r="F5734" t="s">
        <v>517</v>
      </c>
      <c r="G5734" t="s">
        <v>5477</v>
      </c>
      <c r="H5734" t="str">
        <f>"93110"</f>
        <v>93110</v>
      </c>
      <c r="I5734" t="s">
        <v>92</v>
      </c>
    </row>
    <row r="5735" spans="1:13" x14ac:dyDescent="0.3">
      <c r="A5735" t="str">
        <f>"18559964"</f>
        <v>18559964</v>
      </c>
      <c r="B5735" t="s">
        <v>10803</v>
      </c>
      <c r="C5735" t="str">
        <f t="shared" si="381"/>
        <v>706</v>
      </c>
      <c r="D5735" t="s">
        <v>28</v>
      </c>
      <c r="E5735" t="s">
        <v>23</v>
      </c>
      <c r="F5735" t="s">
        <v>966</v>
      </c>
      <c r="G5735" t="s">
        <v>10804</v>
      </c>
      <c r="H5735" t="str">
        <f>"931"</f>
        <v>931</v>
      </c>
      <c r="I5735" t="s">
        <v>26</v>
      </c>
    </row>
    <row r="5736" spans="1:13" x14ac:dyDescent="0.3">
      <c r="A5736" t="str">
        <f>"44119178"</f>
        <v>44119178</v>
      </c>
      <c r="B5736" t="s">
        <v>10805</v>
      </c>
      <c r="C5736" t="str">
        <f t="shared" si="381"/>
        <v>706</v>
      </c>
      <c r="D5736" t="s">
        <v>28</v>
      </c>
      <c r="E5736" t="s">
        <v>23</v>
      </c>
      <c r="F5736" t="s">
        <v>5418</v>
      </c>
      <c r="G5736" t="s">
        <v>10806</v>
      </c>
      <c r="H5736" t="str">
        <f>"9499"</f>
        <v>9499</v>
      </c>
      <c r="I5736" t="s">
        <v>31</v>
      </c>
      <c r="J5736" t="s">
        <v>155</v>
      </c>
      <c r="K5736" t="s">
        <v>500</v>
      </c>
      <c r="L5736" t="s">
        <v>161</v>
      </c>
      <c r="M5736" t="s">
        <v>209</v>
      </c>
    </row>
    <row r="5737" spans="1:13" x14ac:dyDescent="0.3">
      <c r="A5737" t="str">
        <f>"18189962"</f>
        <v>18189962</v>
      </c>
      <c r="B5737" t="s">
        <v>10807</v>
      </c>
      <c r="C5737" t="str">
        <f t="shared" si="381"/>
        <v>706</v>
      </c>
      <c r="D5737" t="s">
        <v>28</v>
      </c>
      <c r="E5737" t="s">
        <v>83</v>
      </c>
      <c r="F5737" t="s">
        <v>650</v>
      </c>
      <c r="G5737" t="s">
        <v>8355</v>
      </c>
      <c r="H5737" t="str">
        <f>"93110"</f>
        <v>93110</v>
      </c>
      <c r="I5737" t="s">
        <v>92</v>
      </c>
    </row>
    <row r="5738" spans="1:13" x14ac:dyDescent="0.3">
      <c r="A5738" t="str">
        <f>"60369761"</f>
        <v>60369761</v>
      </c>
      <c r="B5738" t="s">
        <v>10808</v>
      </c>
      <c r="C5738" t="str">
        <f t="shared" si="381"/>
        <v>706</v>
      </c>
      <c r="D5738" t="s">
        <v>28</v>
      </c>
      <c r="E5738" t="s">
        <v>52</v>
      </c>
      <c r="F5738" t="s">
        <v>334</v>
      </c>
      <c r="G5738" t="s">
        <v>10809</v>
      </c>
      <c r="H5738" t="str">
        <f>"93110"</f>
        <v>93110</v>
      </c>
      <c r="I5738" t="s">
        <v>92</v>
      </c>
    </row>
    <row r="5739" spans="1:13" x14ac:dyDescent="0.3">
      <c r="A5739" t="str">
        <f>"61704288"</f>
        <v>61704288</v>
      </c>
      <c r="B5739" t="s">
        <v>10810</v>
      </c>
      <c r="C5739" t="str">
        <f t="shared" si="381"/>
        <v>706</v>
      </c>
      <c r="D5739" t="s">
        <v>28</v>
      </c>
      <c r="E5739" t="s">
        <v>52</v>
      </c>
      <c r="F5739" t="s">
        <v>1027</v>
      </c>
      <c r="G5739" t="s">
        <v>2108</v>
      </c>
      <c r="H5739" t="str">
        <f>"93110"</f>
        <v>93110</v>
      </c>
      <c r="I5739" t="s">
        <v>92</v>
      </c>
    </row>
    <row r="5740" spans="1:13" x14ac:dyDescent="0.3">
      <c r="A5740" t="str">
        <f>"68898622"</f>
        <v>68898622</v>
      </c>
      <c r="B5740" t="s">
        <v>10811</v>
      </c>
      <c r="C5740" t="str">
        <f t="shared" si="381"/>
        <v>706</v>
      </c>
      <c r="D5740" t="s">
        <v>28</v>
      </c>
      <c r="E5740" t="s">
        <v>29</v>
      </c>
      <c r="F5740" t="s">
        <v>1783</v>
      </c>
      <c r="G5740" t="s">
        <v>1784</v>
      </c>
      <c r="H5740" t="str">
        <f>"931"</f>
        <v>931</v>
      </c>
      <c r="I5740" t="s">
        <v>26</v>
      </c>
    </row>
    <row r="5741" spans="1:13" x14ac:dyDescent="0.3">
      <c r="A5741" t="str">
        <f>"65888294"</f>
        <v>65888294</v>
      </c>
      <c r="B5741" t="s">
        <v>10812</v>
      </c>
      <c r="C5741" t="str">
        <f t="shared" si="381"/>
        <v>706</v>
      </c>
      <c r="D5741" t="s">
        <v>28</v>
      </c>
      <c r="E5741" t="s">
        <v>29</v>
      </c>
      <c r="F5741" t="s">
        <v>2220</v>
      </c>
      <c r="G5741" t="s">
        <v>4846</v>
      </c>
      <c r="H5741" t="str">
        <f>"93110"</f>
        <v>93110</v>
      </c>
      <c r="I5741" t="s">
        <v>92</v>
      </c>
    </row>
    <row r="5742" spans="1:13" x14ac:dyDescent="0.3">
      <c r="A5742" t="str">
        <f>"18190171"</f>
        <v>18190171</v>
      </c>
      <c r="B5742" t="s">
        <v>10813</v>
      </c>
      <c r="C5742" t="str">
        <f t="shared" si="381"/>
        <v>706</v>
      </c>
      <c r="D5742" t="s">
        <v>28</v>
      </c>
      <c r="E5742" t="s">
        <v>83</v>
      </c>
      <c r="F5742" t="s">
        <v>1635</v>
      </c>
      <c r="G5742" t="s">
        <v>5714</v>
      </c>
      <c r="H5742" t="str">
        <f>"93110"</f>
        <v>93110</v>
      </c>
      <c r="I5742" t="s">
        <v>92</v>
      </c>
    </row>
    <row r="5743" spans="1:13" x14ac:dyDescent="0.3">
      <c r="A5743" t="str">
        <f>"47934361"</f>
        <v>47934361</v>
      </c>
      <c r="B5743" t="s">
        <v>10814</v>
      </c>
      <c r="C5743" t="str">
        <f t="shared" si="381"/>
        <v>706</v>
      </c>
      <c r="D5743" t="s">
        <v>28</v>
      </c>
      <c r="E5743" t="s">
        <v>83</v>
      </c>
      <c r="F5743" t="s">
        <v>1627</v>
      </c>
      <c r="G5743" t="s">
        <v>4023</v>
      </c>
      <c r="H5743" t="str">
        <f>"93110"</f>
        <v>93110</v>
      </c>
      <c r="I5743" t="s">
        <v>92</v>
      </c>
    </row>
    <row r="5744" spans="1:13" x14ac:dyDescent="0.3">
      <c r="A5744" t="str">
        <f>"64123839"</f>
        <v>64123839</v>
      </c>
      <c r="B5744" t="s">
        <v>10815</v>
      </c>
      <c r="C5744" t="str">
        <f t="shared" si="381"/>
        <v>706</v>
      </c>
      <c r="D5744" t="s">
        <v>28</v>
      </c>
      <c r="E5744" t="s">
        <v>29</v>
      </c>
      <c r="F5744" t="s">
        <v>390</v>
      </c>
      <c r="G5744" t="s">
        <v>10816</v>
      </c>
      <c r="H5744" t="str">
        <f>"93110"</f>
        <v>93110</v>
      </c>
      <c r="I5744" t="s">
        <v>92</v>
      </c>
    </row>
    <row r="5745" spans="1:13" x14ac:dyDescent="0.3">
      <c r="A5745" t="str">
        <f>"47933721"</f>
        <v>47933721</v>
      </c>
      <c r="B5745" t="s">
        <v>10817</v>
      </c>
      <c r="C5745" t="str">
        <f t="shared" si="381"/>
        <v>706</v>
      </c>
      <c r="D5745" t="s">
        <v>28</v>
      </c>
      <c r="E5745" t="s">
        <v>83</v>
      </c>
      <c r="F5745" t="s">
        <v>873</v>
      </c>
      <c r="G5745" t="s">
        <v>4100</v>
      </c>
      <c r="H5745" t="str">
        <f>"93110"</f>
        <v>93110</v>
      </c>
      <c r="I5745" t="s">
        <v>92</v>
      </c>
    </row>
    <row r="5746" spans="1:13" x14ac:dyDescent="0.3">
      <c r="A5746" t="str">
        <f>"68898479"</f>
        <v>68898479</v>
      </c>
      <c r="B5746" t="s">
        <v>10818</v>
      </c>
      <c r="C5746" t="str">
        <f t="shared" si="381"/>
        <v>706</v>
      </c>
      <c r="D5746" t="s">
        <v>28</v>
      </c>
      <c r="E5746" t="s">
        <v>29</v>
      </c>
      <c r="F5746" t="s">
        <v>195</v>
      </c>
      <c r="G5746" t="s">
        <v>6389</v>
      </c>
      <c r="H5746" t="str">
        <f>"931"</f>
        <v>931</v>
      </c>
      <c r="I5746" t="s">
        <v>26</v>
      </c>
    </row>
    <row r="5747" spans="1:13" x14ac:dyDescent="0.3">
      <c r="A5747" t="str">
        <f>"46276581"</f>
        <v>46276581</v>
      </c>
      <c r="B5747" t="s">
        <v>10819</v>
      </c>
      <c r="C5747" t="str">
        <f t="shared" si="381"/>
        <v>706</v>
      </c>
      <c r="D5747" t="s">
        <v>28</v>
      </c>
      <c r="E5747" t="s">
        <v>23</v>
      </c>
      <c r="F5747" t="s">
        <v>102</v>
      </c>
      <c r="G5747" t="s">
        <v>10820</v>
      </c>
      <c r="H5747" t="str">
        <f>"9499"</f>
        <v>9499</v>
      </c>
      <c r="I5747" t="s">
        <v>31</v>
      </c>
    </row>
    <row r="5748" spans="1:13" x14ac:dyDescent="0.3">
      <c r="A5748" t="str">
        <f>"46998080"</f>
        <v>46998080</v>
      </c>
      <c r="B5748" t="s">
        <v>10821</v>
      </c>
      <c r="C5748" t="str">
        <f t="shared" si="381"/>
        <v>706</v>
      </c>
      <c r="D5748" t="s">
        <v>28</v>
      </c>
      <c r="E5748" t="s">
        <v>83</v>
      </c>
      <c r="F5748" t="s">
        <v>3513</v>
      </c>
      <c r="G5748" t="s">
        <v>5594</v>
      </c>
      <c r="H5748" t="str">
        <f>"93110"</f>
        <v>93110</v>
      </c>
      <c r="I5748" t="s">
        <v>92</v>
      </c>
    </row>
    <row r="5749" spans="1:13" x14ac:dyDescent="0.3">
      <c r="A5749" t="str">
        <f>"18189351"</f>
        <v>18189351</v>
      </c>
      <c r="B5749" t="s">
        <v>10822</v>
      </c>
      <c r="C5749" t="str">
        <f t="shared" si="381"/>
        <v>706</v>
      </c>
      <c r="D5749" t="s">
        <v>28</v>
      </c>
      <c r="E5749" t="s">
        <v>83</v>
      </c>
      <c r="F5749" t="s">
        <v>1055</v>
      </c>
      <c r="G5749" t="s">
        <v>5596</v>
      </c>
      <c r="H5749" t="str">
        <f>"93110"</f>
        <v>93110</v>
      </c>
      <c r="I5749" t="s">
        <v>92</v>
      </c>
      <c r="J5749" t="s">
        <v>161</v>
      </c>
    </row>
    <row r="5750" spans="1:13" x14ac:dyDescent="0.3">
      <c r="A5750" t="str">
        <f>"00534439"</f>
        <v>00534439</v>
      </c>
      <c r="B5750" t="s">
        <v>10823</v>
      </c>
      <c r="C5750" t="str">
        <f t="shared" si="381"/>
        <v>706</v>
      </c>
      <c r="D5750" t="s">
        <v>28</v>
      </c>
      <c r="E5750" t="s">
        <v>29</v>
      </c>
      <c r="F5750" t="s">
        <v>38</v>
      </c>
      <c r="G5750" t="s">
        <v>7813</v>
      </c>
      <c r="H5750" t="str">
        <f>"931"</f>
        <v>931</v>
      </c>
      <c r="I5750" t="s">
        <v>26</v>
      </c>
      <c r="J5750" t="s">
        <v>498</v>
      </c>
    </row>
    <row r="5751" spans="1:13" x14ac:dyDescent="0.3">
      <c r="A5751" t="str">
        <f>"60042141"</f>
        <v>60042141</v>
      </c>
      <c r="B5751" t="s">
        <v>10824</v>
      </c>
      <c r="C5751" t="str">
        <f t="shared" si="381"/>
        <v>706</v>
      </c>
      <c r="D5751" t="s">
        <v>28</v>
      </c>
      <c r="E5751" t="s">
        <v>29</v>
      </c>
      <c r="F5751" t="s">
        <v>1266</v>
      </c>
      <c r="G5751" t="s">
        <v>10825</v>
      </c>
      <c r="H5751" t="str">
        <f>"931"</f>
        <v>931</v>
      </c>
      <c r="I5751" t="s">
        <v>26</v>
      </c>
    </row>
    <row r="5752" spans="1:13" x14ac:dyDescent="0.3">
      <c r="A5752" t="str">
        <f>"18188362"</f>
        <v>18188362</v>
      </c>
      <c r="B5752" t="s">
        <v>10826</v>
      </c>
      <c r="C5752" t="str">
        <f t="shared" si="381"/>
        <v>706</v>
      </c>
      <c r="D5752" t="s">
        <v>28</v>
      </c>
      <c r="E5752" t="s">
        <v>83</v>
      </c>
      <c r="F5752" t="s">
        <v>83</v>
      </c>
      <c r="G5752" t="s">
        <v>2122</v>
      </c>
      <c r="H5752" t="str">
        <f>"93110"</f>
        <v>93110</v>
      </c>
      <c r="I5752" t="s">
        <v>92</v>
      </c>
    </row>
    <row r="5753" spans="1:13" x14ac:dyDescent="0.3">
      <c r="A5753" t="str">
        <f>"18190219"</f>
        <v>18190219</v>
      </c>
      <c r="B5753" t="s">
        <v>10827</v>
      </c>
      <c r="C5753" t="str">
        <f t="shared" si="381"/>
        <v>706</v>
      </c>
      <c r="D5753" t="s">
        <v>28</v>
      </c>
      <c r="E5753" t="s">
        <v>83</v>
      </c>
      <c r="F5753" t="s">
        <v>1451</v>
      </c>
      <c r="G5753" t="s">
        <v>10828</v>
      </c>
      <c r="H5753" t="str">
        <f>"93110"</f>
        <v>93110</v>
      </c>
      <c r="I5753" t="s">
        <v>92</v>
      </c>
    </row>
    <row r="5754" spans="1:13" x14ac:dyDescent="0.3">
      <c r="A5754" t="str">
        <f>"18190197"</f>
        <v>18190197</v>
      </c>
      <c r="B5754" t="s">
        <v>10829</v>
      </c>
      <c r="C5754" t="str">
        <f t="shared" ref="C5754:C5817" si="382">"706"</f>
        <v>706</v>
      </c>
      <c r="D5754" t="s">
        <v>28</v>
      </c>
      <c r="E5754" t="s">
        <v>83</v>
      </c>
      <c r="F5754" t="s">
        <v>5639</v>
      </c>
      <c r="G5754" t="s">
        <v>5640</v>
      </c>
      <c r="H5754" t="str">
        <f>"93110"</f>
        <v>93110</v>
      </c>
      <c r="I5754" t="s">
        <v>92</v>
      </c>
    </row>
    <row r="5755" spans="1:13" x14ac:dyDescent="0.3">
      <c r="A5755" t="str">
        <f>"46956808"</f>
        <v>46956808</v>
      </c>
      <c r="B5755" t="s">
        <v>10830</v>
      </c>
      <c r="C5755" t="str">
        <f t="shared" si="382"/>
        <v>706</v>
      </c>
      <c r="D5755" t="s">
        <v>28</v>
      </c>
      <c r="E5755" t="s">
        <v>52</v>
      </c>
      <c r="F5755" t="s">
        <v>52</v>
      </c>
      <c r="G5755" t="s">
        <v>53</v>
      </c>
      <c r="H5755" t="str">
        <f>"93110"</f>
        <v>93110</v>
      </c>
      <c r="I5755" t="s">
        <v>92</v>
      </c>
      <c r="J5755" t="s">
        <v>598</v>
      </c>
      <c r="K5755" t="s">
        <v>2536</v>
      </c>
      <c r="L5755" t="s">
        <v>10831</v>
      </c>
      <c r="M5755" t="s">
        <v>126</v>
      </c>
    </row>
    <row r="5756" spans="1:13" x14ac:dyDescent="0.3">
      <c r="A5756" t="str">
        <f>"60369680"</f>
        <v>60369680</v>
      </c>
      <c r="B5756" t="s">
        <v>10832</v>
      </c>
      <c r="C5756" t="str">
        <f t="shared" si="382"/>
        <v>706</v>
      </c>
      <c r="D5756" t="s">
        <v>28</v>
      </c>
      <c r="E5756" t="s">
        <v>52</v>
      </c>
      <c r="F5756" t="s">
        <v>2806</v>
      </c>
      <c r="G5756" t="s">
        <v>2807</v>
      </c>
      <c r="H5756" t="str">
        <f>"93110"</f>
        <v>93110</v>
      </c>
      <c r="I5756" t="s">
        <v>92</v>
      </c>
    </row>
    <row r="5757" spans="1:13" x14ac:dyDescent="0.3">
      <c r="A5757" t="str">
        <f>"46308032"</f>
        <v>46308032</v>
      </c>
      <c r="B5757" t="s">
        <v>10833</v>
      </c>
      <c r="C5757" t="str">
        <f t="shared" si="382"/>
        <v>706</v>
      </c>
      <c r="D5757" t="s">
        <v>28</v>
      </c>
      <c r="E5757" t="s">
        <v>23</v>
      </c>
      <c r="F5757" t="s">
        <v>99</v>
      </c>
      <c r="G5757" t="s">
        <v>10513</v>
      </c>
      <c r="H5757" t="str">
        <f>"9499"</f>
        <v>9499</v>
      </c>
      <c r="I5757" t="s">
        <v>31</v>
      </c>
    </row>
    <row r="5758" spans="1:13" x14ac:dyDescent="0.3">
      <c r="A5758" t="str">
        <f>"44005687"</f>
        <v>44005687</v>
      </c>
      <c r="B5758" t="s">
        <v>10834</v>
      </c>
      <c r="C5758" t="str">
        <f t="shared" si="382"/>
        <v>706</v>
      </c>
      <c r="D5758" t="s">
        <v>28</v>
      </c>
      <c r="E5758" t="s">
        <v>83</v>
      </c>
      <c r="F5758" t="s">
        <v>473</v>
      </c>
      <c r="G5758" t="s">
        <v>10835</v>
      </c>
      <c r="H5758" t="str">
        <f>"931"</f>
        <v>931</v>
      </c>
      <c r="I5758" t="s">
        <v>26</v>
      </c>
      <c r="J5758" t="s">
        <v>157</v>
      </c>
      <c r="K5758" t="s">
        <v>622</v>
      </c>
      <c r="L5758" t="s">
        <v>161</v>
      </c>
    </row>
    <row r="5759" spans="1:13" x14ac:dyDescent="0.3">
      <c r="A5759" t="str">
        <f>"48773361"</f>
        <v>48773361</v>
      </c>
      <c r="B5759" t="s">
        <v>10836</v>
      </c>
      <c r="C5759" t="str">
        <f t="shared" si="382"/>
        <v>706</v>
      </c>
      <c r="D5759" t="s">
        <v>28</v>
      </c>
      <c r="E5759" t="s">
        <v>29</v>
      </c>
      <c r="F5759" t="s">
        <v>29</v>
      </c>
      <c r="G5759" t="s">
        <v>510</v>
      </c>
      <c r="H5759" t="str">
        <f>"93110"</f>
        <v>93110</v>
      </c>
      <c r="I5759" t="s">
        <v>92</v>
      </c>
      <c r="J5759" t="s">
        <v>499</v>
      </c>
      <c r="K5759" t="s">
        <v>668</v>
      </c>
    </row>
    <row r="5760" spans="1:13" x14ac:dyDescent="0.3">
      <c r="A5760" t="str">
        <f>"47930012"</f>
        <v>47930012</v>
      </c>
      <c r="B5760" t="s">
        <v>10837</v>
      </c>
      <c r="C5760" t="str">
        <f t="shared" si="382"/>
        <v>706</v>
      </c>
      <c r="D5760" t="s">
        <v>28</v>
      </c>
      <c r="E5760" t="s">
        <v>83</v>
      </c>
      <c r="F5760" t="s">
        <v>4471</v>
      </c>
      <c r="G5760" t="s">
        <v>10838</v>
      </c>
      <c r="H5760" t="str">
        <f>"93110"</f>
        <v>93110</v>
      </c>
      <c r="I5760" t="s">
        <v>92</v>
      </c>
    </row>
    <row r="5761" spans="1:15" x14ac:dyDescent="0.3">
      <c r="A5761" t="str">
        <f>"40942139"</f>
        <v>40942139</v>
      </c>
      <c r="B5761" t="s">
        <v>10839</v>
      </c>
      <c r="C5761" t="str">
        <f t="shared" si="382"/>
        <v>706</v>
      </c>
      <c r="D5761" t="s">
        <v>28</v>
      </c>
      <c r="E5761" t="s">
        <v>23</v>
      </c>
      <c r="F5761" t="s">
        <v>957</v>
      </c>
      <c r="G5761" t="s">
        <v>5276</v>
      </c>
      <c r="H5761" t="str">
        <f>"931"</f>
        <v>931</v>
      </c>
      <c r="I5761" t="s">
        <v>26</v>
      </c>
      <c r="J5761" t="s">
        <v>259</v>
      </c>
      <c r="K5761" t="s">
        <v>147</v>
      </c>
      <c r="L5761" t="s">
        <v>209</v>
      </c>
      <c r="M5761" t="s">
        <v>161</v>
      </c>
      <c r="N5761" t="s">
        <v>163</v>
      </c>
      <c r="O5761" t="s">
        <v>59</v>
      </c>
    </row>
    <row r="5762" spans="1:15" x14ac:dyDescent="0.3">
      <c r="A5762" t="str">
        <f>"44117345"</f>
        <v>44117345</v>
      </c>
      <c r="B5762" t="s">
        <v>10840</v>
      </c>
      <c r="C5762" t="str">
        <f t="shared" si="382"/>
        <v>706</v>
      </c>
      <c r="D5762" t="s">
        <v>28</v>
      </c>
      <c r="E5762" t="s">
        <v>23</v>
      </c>
      <c r="F5762" t="s">
        <v>3449</v>
      </c>
      <c r="G5762" t="s">
        <v>10841</v>
      </c>
      <c r="H5762" t="str">
        <f>"93110"</f>
        <v>93110</v>
      </c>
      <c r="I5762" t="s">
        <v>92</v>
      </c>
    </row>
    <row r="5763" spans="1:15" x14ac:dyDescent="0.3">
      <c r="A5763" t="str">
        <f>"46311416"</f>
        <v>46311416</v>
      </c>
      <c r="B5763" t="s">
        <v>10842</v>
      </c>
      <c r="C5763" t="str">
        <f t="shared" si="382"/>
        <v>706</v>
      </c>
      <c r="D5763" t="s">
        <v>28</v>
      </c>
      <c r="E5763" t="s">
        <v>23</v>
      </c>
      <c r="F5763" t="s">
        <v>1773</v>
      </c>
      <c r="G5763" t="s">
        <v>4426</v>
      </c>
      <c r="H5763" t="str">
        <f>"9499"</f>
        <v>9499</v>
      </c>
      <c r="I5763" t="s">
        <v>31</v>
      </c>
    </row>
    <row r="5764" spans="1:15" x14ac:dyDescent="0.3">
      <c r="A5764" t="str">
        <f>"68898363"</f>
        <v>68898363</v>
      </c>
      <c r="B5764" t="s">
        <v>10843</v>
      </c>
      <c r="C5764" t="str">
        <f t="shared" si="382"/>
        <v>706</v>
      </c>
      <c r="D5764" t="s">
        <v>28</v>
      </c>
      <c r="E5764" t="s">
        <v>29</v>
      </c>
      <c r="F5764" t="s">
        <v>195</v>
      </c>
      <c r="G5764" t="s">
        <v>2968</v>
      </c>
      <c r="H5764" t="str">
        <f>"931"</f>
        <v>931</v>
      </c>
      <c r="I5764" t="s">
        <v>26</v>
      </c>
    </row>
    <row r="5765" spans="1:15" x14ac:dyDescent="0.3">
      <c r="A5765" t="str">
        <f>"46308598"</f>
        <v>46308598</v>
      </c>
      <c r="B5765" t="s">
        <v>10844</v>
      </c>
      <c r="C5765" t="str">
        <f t="shared" si="382"/>
        <v>706</v>
      </c>
      <c r="D5765" t="s">
        <v>28</v>
      </c>
      <c r="E5765" t="s">
        <v>23</v>
      </c>
      <c r="F5765" t="s">
        <v>8111</v>
      </c>
      <c r="G5765" t="s">
        <v>10845</v>
      </c>
      <c r="H5765" t="str">
        <f>"9499"</f>
        <v>9499</v>
      </c>
      <c r="I5765" t="s">
        <v>31</v>
      </c>
    </row>
    <row r="5766" spans="1:15" x14ac:dyDescent="0.3">
      <c r="A5766" t="str">
        <f>"47934328"</f>
        <v>47934328</v>
      </c>
      <c r="B5766" t="s">
        <v>10846</v>
      </c>
      <c r="C5766" t="str">
        <f t="shared" si="382"/>
        <v>706</v>
      </c>
      <c r="D5766" t="s">
        <v>28</v>
      </c>
      <c r="E5766" t="s">
        <v>83</v>
      </c>
      <c r="F5766" t="s">
        <v>2296</v>
      </c>
      <c r="G5766" t="s">
        <v>10847</v>
      </c>
      <c r="H5766" t="str">
        <f>"93110"</f>
        <v>93110</v>
      </c>
      <c r="I5766" t="s">
        <v>92</v>
      </c>
    </row>
    <row r="5767" spans="1:15" x14ac:dyDescent="0.3">
      <c r="A5767" t="str">
        <f>"44740565"</f>
        <v>44740565</v>
      </c>
      <c r="B5767" t="s">
        <v>10848</v>
      </c>
      <c r="C5767" t="str">
        <f t="shared" si="382"/>
        <v>706</v>
      </c>
      <c r="D5767" t="s">
        <v>28</v>
      </c>
      <c r="E5767" t="s">
        <v>29</v>
      </c>
      <c r="F5767" t="s">
        <v>775</v>
      </c>
      <c r="G5767" t="s">
        <v>10849</v>
      </c>
      <c r="H5767" t="str">
        <f>"931"</f>
        <v>931</v>
      </c>
      <c r="I5767" t="s">
        <v>26</v>
      </c>
    </row>
    <row r="5768" spans="1:15" x14ac:dyDescent="0.3">
      <c r="A5768" t="str">
        <f>"46254765"</f>
        <v>46254765</v>
      </c>
      <c r="B5768" t="s">
        <v>10850</v>
      </c>
      <c r="C5768" t="str">
        <f t="shared" si="382"/>
        <v>706</v>
      </c>
      <c r="D5768" t="s">
        <v>28</v>
      </c>
      <c r="E5768" t="s">
        <v>52</v>
      </c>
      <c r="F5768" t="s">
        <v>2078</v>
      </c>
      <c r="G5768" t="s">
        <v>10851</v>
      </c>
      <c r="H5768" t="str">
        <f>"93110"</f>
        <v>93110</v>
      </c>
      <c r="I5768" t="s">
        <v>92</v>
      </c>
    </row>
    <row r="5769" spans="1:15" x14ac:dyDescent="0.3">
      <c r="A5769" t="str">
        <f>"44740981"</f>
        <v>44740981</v>
      </c>
      <c r="B5769" t="s">
        <v>10852</v>
      </c>
      <c r="C5769" t="str">
        <f t="shared" si="382"/>
        <v>706</v>
      </c>
      <c r="D5769" t="s">
        <v>28</v>
      </c>
      <c r="E5769" t="s">
        <v>29</v>
      </c>
      <c r="F5769" t="s">
        <v>1810</v>
      </c>
      <c r="G5769" t="s">
        <v>10853</v>
      </c>
      <c r="H5769" t="str">
        <f>"931"</f>
        <v>931</v>
      </c>
      <c r="I5769" t="s">
        <v>26</v>
      </c>
    </row>
    <row r="5770" spans="1:15" x14ac:dyDescent="0.3">
      <c r="A5770" t="str">
        <f>"66545323"</f>
        <v>66545323</v>
      </c>
      <c r="B5770" t="s">
        <v>10854</v>
      </c>
      <c r="C5770" t="str">
        <f t="shared" si="382"/>
        <v>706</v>
      </c>
      <c r="D5770" t="s">
        <v>28</v>
      </c>
      <c r="E5770" t="s">
        <v>52</v>
      </c>
      <c r="F5770" t="s">
        <v>1257</v>
      </c>
      <c r="G5770" t="s">
        <v>1813</v>
      </c>
      <c r="H5770" t="str">
        <f>"93110"</f>
        <v>93110</v>
      </c>
      <c r="I5770" t="s">
        <v>92</v>
      </c>
    </row>
    <row r="5771" spans="1:15" x14ac:dyDescent="0.3">
      <c r="A5771" t="str">
        <f>"49562860"</f>
        <v>49562860</v>
      </c>
      <c r="B5771" t="s">
        <v>10855</v>
      </c>
      <c r="C5771" t="str">
        <f t="shared" si="382"/>
        <v>706</v>
      </c>
      <c r="D5771" t="s">
        <v>28</v>
      </c>
      <c r="E5771" t="s">
        <v>29</v>
      </c>
      <c r="F5771" t="s">
        <v>685</v>
      </c>
      <c r="G5771" t="s">
        <v>10856</v>
      </c>
      <c r="H5771" t="str">
        <f>"931"</f>
        <v>931</v>
      </c>
      <c r="I5771" t="s">
        <v>26</v>
      </c>
    </row>
    <row r="5772" spans="1:15" x14ac:dyDescent="0.3">
      <c r="A5772" t="str">
        <f>"69211663"</f>
        <v>69211663</v>
      </c>
      <c r="B5772" t="s">
        <v>10857</v>
      </c>
      <c r="C5772" t="str">
        <f t="shared" si="382"/>
        <v>706</v>
      </c>
      <c r="D5772" t="s">
        <v>28</v>
      </c>
      <c r="E5772" t="s">
        <v>29</v>
      </c>
      <c r="F5772" t="s">
        <v>1654</v>
      </c>
      <c r="G5772" t="s">
        <v>1820</v>
      </c>
      <c r="H5772" t="str">
        <f>"931"</f>
        <v>931</v>
      </c>
      <c r="I5772" t="s">
        <v>26</v>
      </c>
    </row>
    <row r="5773" spans="1:15" x14ac:dyDescent="0.3">
      <c r="A5773" t="str">
        <f>"61704202"</f>
        <v>61704202</v>
      </c>
      <c r="B5773" t="s">
        <v>10858</v>
      </c>
      <c r="C5773" t="str">
        <f t="shared" si="382"/>
        <v>706</v>
      </c>
      <c r="D5773" t="s">
        <v>28</v>
      </c>
      <c r="E5773" t="s">
        <v>52</v>
      </c>
      <c r="F5773" t="s">
        <v>2795</v>
      </c>
      <c r="G5773" t="s">
        <v>2796</v>
      </c>
      <c r="H5773" t="str">
        <f>"93110"</f>
        <v>93110</v>
      </c>
      <c r="I5773" t="s">
        <v>92</v>
      </c>
    </row>
    <row r="5774" spans="1:15" x14ac:dyDescent="0.3">
      <c r="A5774" t="str">
        <f>"68898568"</f>
        <v>68898568</v>
      </c>
      <c r="B5774" t="s">
        <v>10859</v>
      </c>
      <c r="C5774" t="str">
        <f t="shared" si="382"/>
        <v>706</v>
      </c>
      <c r="D5774" t="s">
        <v>28</v>
      </c>
      <c r="E5774" t="s">
        <v>29</v>
      </c>
      <c r="F5774" t="s">
        <v>1569</v>
      </c>
      <c r="G5774" t="s">
        <v>10860</v>
      </c>
      <c r="H5774" t="str">
        <f>"931"</f>
        <v>931</v>
      </c>
      <c r="I5774" t="s">
        <v>26</v>
      </c>
    </row>
    <row r="5775" spans="1:15" x14ac:dyDescent="0.3">
      <c r="A5775" t="str">
        <f>"66184541"</f>
        <v>66184541</v>
      </c>
      <c r="B5775" t="s">
        <v>10861</v>
      </c>
      <c r="C5775" t="str">
        <f t="shared" si="382"/>
        <v>706</v>
      </c>
      <c r="D5775" t="s">
        <v>28</v>
      </c>
      <c r="E5775" t="s">
        <v>29</v>
      </c>
      <c r="F5775" t="s">
        <v>1004</v>
      </c>
      <c r="G5775" t="s">
        <v>10862</v>
      </c>
      <c r="H5775" t="str">
        <f>"93110"</f>
        <v>93110</v>
      </c>
      <c r="I5775" t="s">
        <v>92</v>
      </c>
    </row>
    <row r="5776" spans="1:15" x14ac:dyDescent="0.3">
      <c r="A5776" t="str">
        <f>"18757600"</f>
        <v>18757600</v>
      </c>
      <c r="B5776" t="s">
        <v>10863</v>
      </c>
      <c r="C5776" t="str">
        <f t="shared" si="382"/>
        <v>706</v>
      </c>
      <c r="D5776" t="s">
        <v>28</v>
      </c>
      <c r="E5776" t="s">
        <v>23</v>
      </c>
      <c r="F5776" t="s">
        <v>23</v>
      </c>
      <c r="G5776" t="s">
        <v>10864</v>
      </c>
      <c r="H5776" t="str">
        <f>"931"</f>
        <v>931</v>
      </c>
      <c r="I5776" t="s">
        <v>26</v>
      </c>
    </row>
    <row r="5777" spans="1:12" x14ac:dyDescent="0.3">
      <c r="A5777" t="str">
        <f>"48773344"</f>
        <v>48773344</v>
      </c>
      <c r="B5777" t="s">
        <v>10865</v>
      </c>
      <c r="C5777" t="str">
        <f t="shared" si="382"/>
        <v>706</v>
      </c>
      <c r="D5777" t="s">
        <v>28</v>
      </c>
      <c r="E5777" t="s">
        <v>29</v>
      </c>
      <c r="F5777" t="s">
        <v>234</v>
      </c>
      <c r="G5777" t="s">
        <v>5568</v>
      </c>
      <c r="H5777" t="str">
        <f>"93110"</f>
        <v>93110</v>
      </c>
      <c r="I5777" t="s">
        <v>92</v>
      </c>
    </row>
    <row r="5778" spans="1:12" x14ac:dyDescent="0.3">
      <c r="A5778" t="str">
        <f>"70893900"</f>
        <v>70893900</v>
      </c>
      <c r="B5778" t="s">
        <v>10866</v>
      </c>
      <c r="C5778" t="str">
        <f t="shared" si="382"/>
        <v>706</v>
      </c>
      <c r="D5778" t="s">
        <v>28</v>
      </c>
      <c r="E5778" t="s">
        <v>83</v>
      </c>
      <c r="F5778" t="s">
        <v>1532</v>
      </c>
      <c r="G5778" t="s">
        <v>5036</v>
      </c>
      <c r="H5778" t="str">
        <f>"931"</f>
        <v>931</v>
      </c>
      <c r="I5778" t="s">
        <v>26</v>
      </c>
    </row>
    <row r="5779" spans="1:12" x14ac:dyDescent="0.3">
      <c r="A5779" t="str">
        <f>"44003986"</f>
        <v>44003986</v>
      </c>
      <c r="B5779" t="s">
        <v>10867</v>
      </c>
      <c r="C5779" t="str">
        <f t="shared" si="382"/>
        <v>706</v>
      </c>
      <c r="D5779" t="s">
        <v>28</v>
      </c>
      <c r="E5779" t="s">
        <v>23</v>
      </c>
      <c r="F5779" t="s">
        <v>1581</v>
      </c>
      <c r="G5779" t="s">
        <v>4430</v>
      </c>
      <c r="H5779" t="str">
        <f>"9499"</f>
        <v>9499</v>
      </c>
      <c r="I5779" t="s">
        <v>31</v>
      </c>
    </row>
    <row r="5780" spans="1:12" x14ac:dyDescent="0.3">
      <c r="A5780" t="str">
        <f>"48773298"</f>
        <v>48773298</v>
      </c>
      <c r="B5780" t="s">
        <v>10868</v>
      </c>
      <c r="C5780" t="str">
        <f t="shared" si="382"/>
        <v>706</v>
      </c>
      <c r="D5780" t="s">
        <v>28</v>
      </c>
      <c r="E5780" t="s">
        <v>29</v>
      </c>
      <c r="F5780" t="s">
        <v>306</v>
      </c>
      <c r="G5780" t="s">
        <v>10869</v>
      </c>
      <c r="H5780" t="str">
        <f>"93110"</f>
        <v>93110</v>
      </c>
      <c r="I5780" t="s">
        <v>92</v>
      </c>
    </row>
    <row r="5781" spans="1:12" x14ac:dyDescent="0.3">
      <c r="A5781" t="str">
        <f>"48773450"</f>
        <v>48773450</v>
      </c>
      <c r="B5781" t="s">
        <v>10870</v>
      </c>
      <c r="C5781" t="str">
        <f t="shared" si="382"/>
        <v>706</v>
      </c>
      <c r="D5781" t="s">
        <v>28</v>
      </c>
      <c r="E5781" t="s">
        <v>29</v>
      </c>
      <c r="F5781" t="s">
        <v>3236</v>
      </c>
      <c r="G5781" t="s">
        <v>10871</v>
      </c>
      <c r="H5781" t="str">
        <f>"93110"</f>
        <v>93110</v>
      </c>
      <c r="I5781" t="s">
        <v>92</v>
      </c>
    </row>
    <row r="5782" spans="1:12" x14ac:dyDescent="0.3">
      <c r="A5782" t="str">
        <f>"46276521"</f>
        <v>46276521</v>
      </c>
      <c r="B5782" t="s">
        <v>10872</v>
      </c>
      <c r="C5782" t="str">
        <f t="shared" si="382"/>
        <v>706</v>
      </c>
      <c r="D5782" t="s">
        <v>28</v>
      </c>
      <c r="E5782" t="s">
        <v>23</v>
      </c>
      <c r="F5782" t="s">
        <v>1063</v>
      </c>
      <c r="G5782" t="s">
        <v>10873</v>
      </c>
      <c r="H5782" t="str">
        <f>"9499"</f>
        <v>9499</v>
      </c>
      <c r="I5782" t="s">
        <v>31</v>
      </c>
    </row>
    <row r="5783" spans="1:12" x14ac:dyDescent="0.3">
      <c r="A5783" t="str">
        <f>"61704261"</f>
        <v>61704261</v>
      </c>
      <c r="B5783" t="s">
        <v>10874</v>
      </c>
      <c r="C5783" t="str">
        <f t="shared" si="382"/>
        <v>706</v>
      </c>
      <c r="D5783" t="s">
        <v>28</v>
      </c>
      <c r="E5783" t="s">
        <v>52</v>
      </c>
      <c r="F5783" t="s">
        <v>4762</v>
      </c>
      <c r="G5783" t="s">
        <v>10875</v>
      </c>
      <c r="H5783" t="str">
        <f>"93110"</f>
        <v>93110</v>
      </c>
      <c r="I5783" t="s">
        <v>92</v>
      </c>
    </row>
    <row r="5784" spans="1:12" x14ac:dyDescent="0.3">
      <c r="A5784" t="str">
        <f>"18189504"</f>
        <v>18189504</v>
      </c>
      <c r="B5784" t="s">
        <v>10876</v>
      </c>
      <c r="C5784" t="str">
        <f t="shared" si="382"/>
        <v>706</v>
      </c>
      <c r="D5784" t="s">
        <v>28</v>
      </c>
      <c r="E5784" t="s">
        <v>83</v>
      </c>
      <c r="F5784" t="s">
        <v>217</v>
      </c>
      <c r="G5784" t="s">
        <v>10877</v>
      </c>
      <c r="H5784" t="str">
        <f>"93110"</f>
        <v>93110</v>
      </c>
      <c r="I5784" t="s">
        <v>92</v>
      </c>
    </row>
    <row r="5785" spans="1:12" x14ac:dyDescent="0.3">
      <c r="A5785" t="str">
        <f>"15546713"</f>
        <v>15546713</v>
      </c>
      <c r="B5785" t="s">
        <v>10878</v>
      </c>
      <c r="C5785" t="str">
        <f t="shared" si="382"/>
        <v>706</v>
      </c>
      <c r="D5785" t="s">
        <v>28</v>
      </c>
      <c r="E5785" t="s">
        <v>23</v>
      </c>
      <c r="F5785" t="s">
        <v>2429</v>
      </c>
      <c r="G5785" t="s">
        <v>10879</v>
      </c>
      <c r="H5785" t="str">
        <f>"931"</f>
        <v>931</v>
      </c>
      <c r="I5785" t="s">
        <v>26</v>
      </c>
    </row>
    <row r="5786" spans="1:12" x14ac:dyDescent="0.3">
      <c r="A5786" t="str">
        <f>"44005211"</f>
        <v>44005211</v>
      </c>
      <c r="B5786" t="s">
        <v>10880</v>
      </c>
      <c r="C5786" t="str">
        <f t="shared" si="382"/>
        <v>706</v>
      </c>
      <c r="D5786" t="s">
        <v>28</v>
      </c>
      <c r="E5786" t="s">
        <v>23</v>
      </c>
      <c r="F5786" t="s">
        <v>4441</v>
      </c>
      <c r="G5786" t="s">
        <v>10881</v>
      </c>
      <c r="H5786" t="str">
        <f>"9499"</f>
        <v>9499</v>
      </c>
      <c r="I5786" t="s">
        <v>31</v>
      </c>
    </row>
    <row r="5787" spans="1:12" x14ac:dyDescent="0.3">
      <c r="A5787" t="str">
        <f>"61703664"</f>
        <v>61703664</v>
      </c>
      <c r="B5787" t="s">
        <v>10882</v>
      </c>
      <c r="C5787" t="str">
        <f t="shared" si="382"/>
        <v>706</v>
      </c>
      <c r="D5787" t="s">
        <v>28</v>
      </c>
      <c r="E5787" t="s">
        <v>52</v>
      </c>
      <c r="F5787" t="s">
        <v>73</v>
      </c>
      <c r="G5787" t="s">
        <v>10883</v>
      </c>
      <c r="H5787" t="str">
        <f>"93110"</f>
        <v>93110</v>
      </c>
      <c r="I5787" t="s">
        <v>92</v>
      </c>
    </row>
    <row r="5788" spans="1:12" x14ac:dyDescent="0.3">
      <c r="A5788" t="str">
        <f>"47933615"</f>
        <v>47933615</v>
      </c>
      <c r="B5788" t="s">
        <v>10884</v>
      </c>
      <c r="C5788" t="str">
        <f t="shared" si="382"/>
        <v>706</v>
      </c>
      <c r="D5788" t="s">
        <v>28</v>
      </c>
      <c r="E5788" t="s">
        <v>83</v>
      </c>
      <c r="F5788" t="s">
        <v>1022</v>
      </c>
      <c r="G5788" t="s">
        <v>10885</v>
      </c>
      <c r="H5788" t="str">
        <f>"93110"</f>
        <v>93110</v>
      </c>
      <c r="I5788" t="s">
        <v>92</v>
      </c>
    </row>
    <row r="5789" spans="1:12" x14ac:dyDescent="0.3">
      <c r="A5789" t="str">
        <f>"18811159"</f>
        <v>18811159</v>
      </c>
      <c r="B5789" t="s">
        <v>10886</v>
      </c>
      <c r="C5789" t="str">
        <f t="shared" si="382"/>
        <v>706</v>
      </c>
      <c r="D5789" t="s">
        <v>28</v>
      </c>
      <c r="E5789" t="s">
        <v>23</v>
      </c>
      <c r="F5789" t="s">
        <v>350</v>
      </c>
      <c r="G5789" t="s">
        <v>10887</v>
      </c>
      <c r="H5789" t="str">
        <f>"931"</f>
        <v>931</v>
      </c>
      <c r="I5789" t="s">
        <v>26</v>
      </c>
    </row>
    <row r="5790" spans="1:12" x14ac:dyDescent="0.3">
      <c r="A5790" t="str">
        <f>"61704270"</f>
        <v>61704270</v>
      </c>
      <c r="B5790" t="s">
        <v>10888</v>
      </c>
      <c r="C5790" t="str">
        <f t="shared" si="382"/>
        <v>706</v>
      </c>
      <c r="D5790" t="s">
        <v>28</v>
      </c>
      <c r="E5790" t="s">
        <v>52</v>
      </c>
      <c r="F5790" t="s">
        <v>1857</v>
      </c>
      <c r="G5790" t="s">
        <v>10889</v>
      </c>
      <c r="H5790" t="str">
        <f>"93110"</f>
        <v>93110</v>
      </c>
      <c r="I5790" t="s">
        <v>92</v>
      </c>
    </row>
    <row r="5791" spans="1:12" x14ac:dyDescent="0.3">
      <c r="A5791" t="str">
        <f>"64123201"</f>
        <v>64123201</v>
      </c>
      <c r="B5791" t="s">
        <v>10890</v>
      </c>
      <c r="C5791" t="str">
        <f t="shared" si="382"/>
        <v>706</v>
      </c>
      <c r="D5791" t="s">
        <v>28</v>
      </c>
      <c r="E5791" t="s">
        <v>29</v>
      </c>
      <c r="F5791" t="s">
        <v>117</v>
      </c>
      <c r="G5791" t="s">
        <v>10891</v>
      </c>
      <c r="H5791" t="str">
        <f>"931"</f>
        <v>931</v>
      </c>
      <c r="I5791" t="s">
        <v>26</v>
      </c>
    </row>
    <row r="5792" spans="1:12" x14ac:dyDescent="0.3">
      <c r="A5792" t="str">
        <f>"47930179"</f>
        <v>47930179</v>
      </c>
      <c r="B5792" t="s">
        <v>10892</v>
      </c>
      <c r="C5792" t="str">
        <f t="shared" si="382"/>
        <v>706</v>
      </c>
      <c r="D5792" t="s">
        <v>28</v>
      </c>
      <c r="E5792" t="s">
        <v>83</v>
      </c>
      <c r="F5792" t="s">
        <v>1867</v>
      </c>
      <c r="G5792" t="s">
        <v>10893</v>
      </c>
      <c r="H5792" t="str">
        <f>"93110"</f>
        <v>93110</v>
      </c>
      <c r="I5792" t="s">
        <v>92</v>
      </c>
      <c r="J5792" t="s">
        <v>209</v>
      </c>
      <c r="K5792" t="s">
        <v>163</v>
      </c>
      <c r="L5792" t="s">
        <v>59</v>
      </c>
    </row>
    <row r="5793" spans="1:9" x14ac:dyDescent="0.3">
      <c r="A5793" t="str">
        <f>"15549399"</f>
        <v>15549399</v>
      </c>
      <c r="B5793" t="s">
        <v>10894</v>
      </c>
      <c r="C5793" t="str">
        <f t="shared" si="382"/>
        <v>706</v>
      </c>
      <c r="D5793" t="s">
        <v>28</v>
      </c>
      <c r="E5793" t="s">
        <v>23</v>
      </c>
      <c r="F5793" t="s">
        <v>4569</v>
      </c>
      <c r="G5793" t="s">
        <v>4570</v>
      </c>
      <c r="H5793" t="str">
        <f>"93110"</f>
        <v>93110</v>
      </c>
      <c r="I5793" t="s">
        <v>92</v>
      </c>
    </row>
    <row r="5794" spans="1:9" x14ac:dyDescent="0.3">
      <c r="A5794" t="str">
        <f>"18190065"</f>
        <v>18190065</v>
      </c>
      <c r="B5794" t="s">
        <v>10895</v>
      </c>
      <c r="C5794" t="str">
        <f t="shared" si="382"/>
        <v>706</v>
      </c>
      <c r="D5794" t="s">
        <v>28</v>
      </c>
      <c r="E5794" t="s">
        <v>83</v>
      </c>
      <c r="F5794" t="s">
        <v>3510</v>
      </c>
      <c r="G5794" t="s">
        <v>5566</v>
      </c>
      <c r="H5794" t="str">
        <f>"93110"</f>
        <v>93110</v>
      </c>
      <c r="I5794" t="s">
        <v>92</v>
      </c>
    </row>
    <row r="5795" spans="1:9" x14ac:dyDescent="0.3">
      <c r="A5795" t="str">
        <f>"49563211"</f>
        <v>49563211</v>
      </c>
      <c r="B5795" t="s">
        <v>10896</v>
      </c>
      <c r="C5795" t="str">
        <f t="shared" si="382"/>
        <v>706</v>
      </c>
      <c r="D5795" t="s">
        <v>28</v>
      </c>
      <c r="E5795" t="s">
        <v>29</v>
      </c>
      <c r="F5795" t="s">
        <v>195</v>
      </c>
      <c r="G5795" t="s">
        <v>10897</v>
      </c>
      <c r="H5795" t="str">
        <f>"93110"</f>
        <v>93110</v>
      </c>
      <c r="I5795" t="s">
        <v>92</v>
      </c>
    </row>
    <row r="5796" spans="1:9" x14ac:dyDescent="0.3">
      <c r="A5796" t="str">
        <f>"18757472"</f>
        <v>18757472</v>
      </c>
      <c r="B5796" t="s">
        <v>10898</v>
      </c>
      <c r="C5796" t="str">
        <f t="shared" si="382"/>
        <v>706</v>
      </c>
      <c r="D5796" t="s">
        <v>28</v>
      </c>
      <c r="E5796" t="s">
        <v>23</v>
      </c>
      <c r="F5796" t="s">
        <v>978</v>
      </c>
      <c r="G5796" t="s">
        <v>978</v>
      </c>
      <c r="H5796" t="str">
        <f>"931"</f>
        <v>931</v>
      </c>
      <c r="I5796" t="s">
        <v>26</v>
      </c>
    </row>
    <row r="5797" spans="1:9" x14ac:dyDescent="0.3">
      <c r="A5797" t="str">
        <f>"66184371"</f>
        <v>66184371</v>
      </c>
      <c r="B5797" t="s">
        <v>10899</v>
      </c>
      <c r="C5797" t="str">
        <f t="shared" si="382"/>
        <v>706</v>
      </c>
      <c r="D5797" t="s">
        <v>28</v>
      </c>
      <c r="E5797" t="s">
        <v>29</v>
      </c>
      <c r="F5797" t="s">
        <v>1874</v>
      </c>
      <c r="G5797" t="s">
        <v>10900</v>
      </c>
      <c r="H5797" t="str">
        <f>"93110"</f>
        <v>93110</v>
      </c>
      <c r="I5797" t="s">
        <v>92</v>
      </c>
    </row>
    <row r="5798" spans="1:9" x14ac:dyDescent="0.3">
      <c r="A5798" t="str">
        <f>"60370157"</f>
        <v>60370157</v>
      </c>
      <c r="B5798" t="s">
        <v>10901</v>
      </c>
      <c r="C5798" t="str">
        <f t="shared" si="382"/>
        <v>706</v>
      </c>
      <c r="D5798" t="s">
        <v>28</v>
      </c>
      <c r="E5798" t="s">
        <v>52</v>
      </c>
      <c r="F5798" t="s">
        <v>1955</v>
      </c>
      <c r="G5798" t="s">
        <v>10902</v>
      </c>
      <c r="H5798" t="str">
        <f>"93110"</f>
        <v>93110</v>
      </c>
      <c r="I5798" t="s">
        <v>92</v>
      </c>
    </row>
    <row r="5799" spans="1:9" x14ac:dyDescent="0.3">
      <c r="A5799" t="str">
        <f>"18189369"</f>
        <v>18189369</v>
      </c>
      <c r="B5799" t="s">
        <v>10903</v>
      </c>
      <c r="C5799" t="str">
        <f t="shared" si="382"/>
        <v>706</v>
      </c>
      <c r="D5799" t="s">
        <v>28</v>
      </c>
      <c r="E5799" t="s">
        <v>83</v>
      </c>
      <c r="F5799" t="s">
        <v>3456</v>
      </c>
      <c r="G5799" t="s">
        <v>10904</v>
      </c>
      <c r="H5799" t="str">
        <f>"93110"</f>
        <v>93110</v>
      </c>
      <c r="I5799" t="s">
        <v>92</v>
      </c>
    </row>
    <row r="5800" spans="1:9" x14ac:dyDescent="0.3">
      <c r="A5800" t="str">
        <f>"18810551"</f>
        <v>18810551</v>
      </c>
      <c r="B5800" t="s">
        <v>10905</v>
      </c>
      <c r="C5800" t="str">
        <f t="shared" si="382"/>
        <v>706</v>
      </c>
      <c r="D5800" t="s">
        <v>28</v>
      </c>
      <c r="E5800" t="s">
        <v>23</v>
      </c>
      <c r="F5800" t="s">
        <v>4802</v>
      </c>
      <c r="G5800" t="s">
        <v>10906</v>
      </c>
      <c r="H5800" t="str">
        <f>"931"</f>
        <v>931</v>
      </c>
      <c r="I5800" t="s">
        <v>26</v>
      </c>
    </row>
    <row r="5801" spans="1:9" x14ac:dyDescent="0.3">
      <c r="A5801" t="str">
        <f>"46998535"</f>
        <v>46998535</v>
      </c>
      <c r="B5801" t="s">
        <v>10907</v>
      </c>
      <c r="C5801" t="str">
        <f t="shared" si="382"/>
        <v>706</v>
      </c>
      <c r="D5801" t="s">
        <v>28</v>
      </c>
      <c r="E5801" t="s">
        <v>83</v>
      </c>
      <c r="F5801" t="s">
        <v>200</v>
      </c>
      <c r="G5801" t="s">
        <v>5589</v>
      </c>
      <c r="H5801" t="str">
        <f>"93110"</f>
        <v>93110</v>
      </c>
      <c r="I5801" t="s">
        <v>92</v>
      </c>
    </row>
    <row r="5802" spans="1:9" x14ac:dyDescent="0.3">
      <c r="A5802" t="str">
        <f>"69603880"</f>
        <v>69603880</v>
      </c>
      <c r="B5802" t="s">
        <v>10908</v>
      </c>
      <c r="C5802" t="str">
        <f t="shared" si="382"/>
        <v>706</v>
      </c>
      <c r="D5802" t="s">
        <v>28</v>
      </c>
      <c r="E5802" t="s">
        <v>29</v>
      </c>
      <c r="F5802" t="s">
        <v>681</v>
      </c>
      <c r="G5802" t="s">
        <v>10909</v>
      </c>
      <c r="H5802" t="str">
        <f>"93110"</f>
        <v>93110</v>
      </c>
      <c r="I5802" t="s">
        <v>92</v>
      </c>
    </row>
    <row r="5803" spans="1:9" x14ac:dyDescent="0.3">
      <c r="A5803" t="str">
        <f>"60369752"</f>
        <v>60369752</v>
      </c>
      <c r="B5803" t="s">
        <v>10910</v>
      </c>
      <c r="C5803" t="str">
        <f t="shared" si="382"/>
        <v>706</v>
      </c>
      <c r="D5803" t="s">
        <v>28</v>
      </c>
      <c r="E5803" t="s">
        <v>52</v>
      </c>
      <c r="F5803" t="s">
        <v>5296</v>
      </c>
      <c r="G5803" t="s">
        <v>10911</v>
      </c>
      <c r="H5803" t="str">
        <f>"93110"</f>
        <v>93110</v>
      </c>
      <c r="I5803" t="s">
        <v>92</v>
      </c>
    </row>
    <row r="5804" spans="1:9" x14ac:dyDescent="0.3">
      <c r="A5804" t="str">
        <f>"68898452"</f>
        <v>68898452</v>
      </c>
      <c r="B5804" t="s">
        <v>10912</v>
      </c>
      <c r="C5804" t="str">
        <f t="shared" si="382"/>
        <v>706</v>
      </c>
      <c r="D5804" t="s">
        <v>28</v>
      </c>
      <c r="E5804" t="s">
        <v>29</v>
      </c>
      <c r="F5804" t="s">
        <v>2532</v>
      </c>
      <c r="G5804" t="s">
        <v>10913</v>
      </c>
      <c r="H5804" t="str">
        <f>"931"</f>
        <v>931</v>
      </c>
      <c r="I5804" t="s">
        <v>26</v>
      </c>
    </row>
    <row r="5805" spans="1:9" x14ac:dyDescent="0.3">
      <c r="A5805" t="str">
        <f>"46307320"</f>
        <v>46307320</v>
      </c>
      <c r="B5805" t="s">
        <v>10914</v>
      </c>
      <c r="C5805" t="str">
        <f t="shared" si="382"/>
        <v>706</v>
      </c>
      <c r="D5805" t="s">
        <v>28</v>
      </c>
      <c r="E5805" t="s">
        <v>23</v>
      </c>
      <c r="F5805" t="s">
        <v>23</v>
      </c>
      <c r="G5805" t="s">
        <v>10915</v>
      </c>
      <c r="H5805" t="str">
        <f>"9499"</f>
        <v>9499</v>
      </c>
      <c r="I5805" t="s">
        <v>31</v>
      </c>
    </row>
    <row r="5806" spans="1:9" x14ac:dyDescent="0.3">
      <c r="A5806" t="str">
        <f>"18810641"</f>
        <v>18810641</v>
      </c>
      <c r="B5806" t="s">
        <v>10916</v>
      </c>
      <c r="C5806" t="str">
        <f t="shared" si="382"/>
        <v>706</v>
      </c>
      <c r="D5806" t="s">
        <v>28</v>
      </c>
      <c r="E5806" t="s">
        <v>23</v>
      </c>
      <c r="F5806" t="s">
        <v>3995</v>
      </c>
      <c r="G5806" t="s">
        <v>10917</v>
      </c>
      <c r="H5806" t="str">
        <f>"931"</f>
        <v>931</v>
      </c>
      <c r="I5806" t="s">
        <v>26</v>
      </c>
    </row>
    <row r="5807" spans="1:9" x14ac:dyDescent="0.3">
      <c r="A5807" t="str">
        <f>"13643690"</f>
        <v>13643690</v>
      </c>
      <c r="B5807" t="s">
        <v>10918</v>
      </c>
      <c r="C5807" t="str">
        <f t="shared" si="382"/>
        <v>706</v>
      </c>
      <c r="D5807" t="s">
        <v>28</v>
      </c>
      <c r="E5807" t="s">
        <v>29</v>
      </c>
      <c r="F5807" t="s">
        <v>1888</v>
      </c>
      <c r="G5807" t="s">
        <v>1889</v>
      </c>
      <c r="H5807" t="str">
        <f>"93110"</f>
        <v>93110</v>
      </c>
      <c r="I5807" t="s">
        <v>92</v>
      </c>
    </row>
    <row r="5808" spans="1:9" x14ac:dyDescent="0.3">
      <c r="A5808" t="str">
        <f>"46956603"</f>
        <v>46956603</v>
      </c>
      <c r="B5808" t="s">
        <v>10919</v>
      </c>
      <c r="C5808" t="str">
        <f t="shared" si="382"/>
        <v>706</v>
      </c>
      <c r="D5808" t="s">
        <v>28</v>
      </c>
      <c r="E5808" t="s">
        <v>52</v>
      </c>
      <c r="F5808" t="s">
        <v>2700</v>
      </c>
      <c r="G5808" t="s">
        <v>2701</v>
      </c>
      <c r="H5808" t="str">
        <f>"93110"</f>
        <v>93110</v>
      </c>
      <c r="I5808" t="s">
        <v>92</v>
      </c>
    </row>
    <row r="5809" spans="1:12" x14ac:dyDescent="0.3">
      <c r="A5809" t="str">
        <f>"44740816"</f>
        <v>44740816</v>
      </c>
      <c r="B5809" t="s">
        <v>10920</v>
      </c>
      <c r="C5809" t="str">
        <f t="shared" si="382"/>
        <v>706</v>
      </c>
      <c r="D5809" t="s">
        <v>28</v>
      </c>
      <c r="E5809" t="s">
        <v>29</v>
      </c>
      <c r="F5809" t="s">
        <v>1899</v>
      </c>
      <c r="G5809" t="s">
        <v>10921</v>
      </c>
      <c r="H5809" t="str">
        <f>"931"</f>
        <v>931</v>
      </c>
      <c r="I5809" t="s">
        <v>26</v>
      </c>
    </row>
    <row r="5810" spans="1:12" x14ac:dyDescent="0.3">
      <c r="A5810" t="str">
        <f>"46308253"</f>
        <v>46308253</v>
      </c>
      <c r="B5810" t="s">
        <v>10922</v>
      </c>
      <c r="C5810" t="str">
        <f t="shared" si="382"/>
        <v>706</v>
      </c>
      <c r="D5810" t="s">
        <v>28</v>
      </c>
      <c r="E5810" t="s">
        <v>23</v>
      </c>
      <c r="F5810" t="s">
        <v>3526</v>
      </c>
      <c r="G5810" t="s">
        <v>10334</v>
      </c>
      <c r="H5810" t="str">
        <f>"931"</f>
        <v>931</v>
      </c>
      <c r="I5810" t="s">
        <v>26</v>
      </c>
    </row>
    <row r="5811" spans="1:12" x14ac:dyDescent="0.3">
      <c r="A5811" t="str">
        <f>"69649332"</f>
        <v>69649332</v>
      </c>
      <c r="B5811" t="s">
        <v>10923</v>
      </c>
      <c r="C5811" t="str">
        <f t="shared" si="382"/>
        <v>706</v>
      </c>
      <c r="D5811" t="s">
        <v>28</v>
      </c>
      <c r="E5811" t="s">
        <v>23</v>
      </c>
      <c r="F5811" t="s">
        <v>190</v>
      </c>
      <c r="G5811" t="s">
        <v>1911</v>
      </c>
      <c r="H5811" t="str">
        <f>"931"</f>
        <v>931</v>
      </c>
      <c r="I5811" t="s">
        <v>26</v>
      </c>
    </row>
    <row r="5812" spans="1:12" x14ac:dyDescent="0.3">
      <c r="A5812" t="str">
        <f>"18189768"</f>
        <v>18189768</v>
      </c>
      <c r="B5812" t="s">
        <v>10924</v>
      </c>
      <c r="C5812" t="str">
        <f t="shared" si="382"/>
        <v>706</v>
      </c>
      <c r="D5812" t="s">
        <v>28</v>
      </c>
      <c r="E5812" t="s">
        <v>83</v>
      </c>
      <c r="F5812" t="s">
        <v>183</v>
      </c>
      <c r="G5812" t="s">
        <v>10925</v>
      </c>
      <c r="H5812" t="str">
        <f>"93110"</f>
        <v>93110</v>
      </c>
      <c r="I5812" t="s">
        <v>92</v>
      </c>
    </row>
    <row r="5813" spans="1:12" x14ac:dyDescent="0.3">
      <c r="A5813" t="str">
        <f>"46254790"</f>
        <v>46254790</v>
      </c>
      <c r="B5813" t="s">
        <v>10926</v>
      </c>
      <c r="C5813" t="str">
        <f t="shared" si="382"/>
        <v>706</v>
      </c>
      <c r="D5813" t="s">
        <v>28</v>
      </c>
      <c r="E5813" t="s">
        <v>52</v>
      </c>
      <c r="F5813" t="s">
        <v>113</v>
      </c>
      <c r="G5813" t="s">
        <v>10927</v>
      </c>
      <c r="H5813" t="str">
        <f>"93110"</f>
        <v>93110</v>
      </c>
      <c r="I5813" t="s">
        <v>92</v>
      </c>
    </row>
    <row r="5814" spans="1:12" x14ac:dyDescent="0.3">
      <c r="A5814" t="str">
        <f>"26657571"</f>
        <v>26657571</v>
      </c>
      <c r="B5814" t="s">
        <v>10928</v>
      </c>
      <c r="C5814" t="str">
        <f t="shared" si="382"/>
        <v>706</v>
      </c>
      <c r="D5814" t="s">
        <v>28</v>
      </c>
      <c r="E5814" t="s">
        <v>29</v>
      </c>
      <c r="F5814" t="s">
        <v>1922</v>
      </c>
      <c r="G5814" t="s">
        <v>10929</v>
      </c>
      <c r="H5814" t="str">
        <f>"931"</f>
        <v>931</v>
      </c>
      <c r="I5814" t="s">
        <v>26</v>
      </c>
    </row>
    <row r="5815" spans="1:12" x14ac:dyDescent="0.3">
      <c r="A5815" t="str">
        <f>"18189946"</f>
        <v>18189946</v>
      </c>
      <c r="B5815" t="s">
        <v>10930</v>
      </c>
      <c r="C5815" t="str">
        <f t="shared" si="382"/>
        <v>706</v>
      </c>
      <c r="D5815" t="s">
        <v>28</v>
      </c>
      <c r="E5815" t="s">
        <v>83</v>
      </c>
      <c r="F5815" t="s">
        <v>895</v>
      </c>
      <c r="G5815" t="s">
        <v>10931</v>
      </c>
      <c r="H5815" t="str">
        <f>"93110"</f>
        <v>93110</v>
      </c>
      <c r="I5815" t="s">
        <v>92</v>
      </c>
    </row>
    <row r="5816" spans="1:12" x14ac:dyDescent="0.3">
      <c r="A5816" t="str">
        <f>"46308962"</f>
        <v>46308962</v>
      </c>
      <c r="B5816" t="s">
        <v>10932</v>
      </c>
      <c r="C5816" t="str">
        <f t="shared" si="382"/>
        <v>706</v>
      </c>
      <c r="D5816" t="s">
        <v>28</v>
      </c>
      <c r="E5816" t="s">
        <v>23</v>
      </c>
      <c r="F5816" t="s">
        <v>1697</v>
      </c>
      <c r="G5816" t="s">
        <v>10933</v>
      </c>
      <c r="H5816" t="str">
        <f>"9499"</f>
        <v>9499</v>
      </c>
      <c r="I5816" t="s">
        <v>31</v>
      </c>
    </row>
    <row r="5817" spans="1:12" x14ac:dyDescent="0.3">
      <c r="A5817" t="str">
        <f>"44119364"</f>
        <v>44119364</v>
      </c>
      <c r="B5817" t="s">
        <v>10934</v>
      </c>
      <c r="C5817" t="str">
        <f t="shared" si="382"/>
        <v>706</v>
      </c>
      <c r="D5817" t="s">
        <v>28</v>
      </c>
      <c r="E5817" t="s">
        <v>23</v>
      </c>
      <c r="F5817" t="s">
        <v>5249</v>
      </c>
      <c r="G5817" t="s">
        <v>10935</v>
      </c>
      <c r="H5817" t="str">
        <f>"93110"</f>
        <v>93110</v>
      </c>
      <c r="I5817" t="s">
        <v>92</v>
      </c>
    </row>
    <row r="5818" spans="1:12" x14ac:dyDescent="0.3">
      <c r="A5818" t="str">
        <f>"18154115"</f>
        <v>18154115</v>
      </c>
      <c r="B5818" t="s">
        <v>10936</v>
      </c>
      <c r="C5818" t="str">
        <f t="shared" ref="C5818:C5874" si="383">"706"</f>
        <v>706</v>
      </c>
      <c r="D5818" t="s">
        <v>28</v>
      </c>
      <c r="E5818" t="s">
        <v>23</v>
      </c>
      <c r="F5818" t="s">
        <v>68</v>
      </c>
      <c r="G5818" t="s">
        <v>69</v>
      </c>
      <c r="H5818" t="str">
        <f>"931"</f>
        <v>931</v>
      </c>
      <c r="I5818" t="s">
        <v>26</v>
      </c>
    </row>
    <row r="5819" spans="1:12" x14ac:dyDescent="0.3">
      <c r="A5819" t="str">
        <f>"40994830"</f>
        <v>40994830</v>
      </c>
      <c r="B5819" t="s">
        <v>10937</v>
      </c>
      <c r="C5819" t="str">
        <f t="shared" si="383"/>
        <v>706</v>
      </c>
      <c r="D5819" t="s">
        <v>28</v>
      </c>
      <c r="E5819" t="s">
        <v>23</v>
      </c>
      <c r="F5819" t="s">
        <v>6066</v>
      </c>
      <c r="G5819" t="s">
        <v>10938</v>
      </c>
      <c r="H5819" t="str">
        <f>"931"</f>
        <v>931</v>
      </c>
      <c r="I5819" t="s">
        <v>26</v>
      </c>
    </row>
    <row r="5820" spans="1:12" x14ac:dyDescent="0.3">
      <c r="A5820" t="str">
        <f>"46276122"</f>
        <v>46276122</v>
      </c>
      <c r="B5820" t="s">
        <v>10939</v>
      </c>
      <c r="C5820" t="str">
        <f t="shared" si="383"/>
        <v>706</v>
      </c>
      <c r="D5820" t="s">
        <v>28</v>
      </c>
      <c r="E5820" t="s">
        <v>23</v>
      </c>
      <c r="F5820" t="s">
        <v>710</v>
      </c>
      <c r="G5820" t="s">
        <v>10940</v>
      </c>
      <c r="H5820" t="str">
        <f>"93110"</f>
        <v>93110</v>
      </c>
      <c r="I5820" t="s">
        <v>92</v>
      </c>
      <c r="J5820" t="s">
        <v>161</v>
      </c>
      <c r="K5820" t="s">
        <v>31</v>
      </c>
      <c r="L5820" t="s">
        <v>209</v>
      </c>
    </row>
    <row r="5821" spans="1:12" x14ac:dyDescent="0.3">
      <c r="A5821" t="str">
        <f>"46998276"</f>
        <v>46998276</v>
      </c>
      <c r="B5821" t="s">
        <v>10941</v>
      </c>
      <c r="C5821" t="str">
        <f t="shared" si="383"/>
        <v>706</v>
      </c>
      <c r="D5821" t="s">
        <v>28</v>
      </c>
      <c r="E5821" t="s">
        <v>83</v>
      </c>
      <c r="F5821" t="s">
        <v>537</v>
      </c>
      <c r="G5821" t="s">
        <v>10942</v>
      </c>
      <c r="H5821" t="str">
        <f>"93110"</f>
        <v>93110</v>
      </c>
      <c r="I5821" t="s">
        <v>92</v>
      </c>
    </row>
    <row r="5822" spans="1:12" x14ac:dyDescent="0.3">
      <c r="A5822" t="str">
        <f>"68898703"</f>
        <v>68898703</v>
      </c>
      <c r="B5822" t="s">
        <v>10943</v>
      </c>
      <c r="C5822" t="str">
        <f t="shared" si="383"/>
        <v>706</v>
      </c>
      <c r="D5822" t="s">
        <v>28</v>
      </c>
      <c r="E5822" t="s">
        <v>29</v>
      </c>
      <c r="F5822" t="s">
        <v>544</v>
      </c>
      <c r="G5822" t="s">
        <v>1219</v>
      </c>
      <c r="H5822" t="str">
        <f>"931"</f>
        <v>931</v>
      </c>
      <c r="I5822" t="s">
        <v>26</v>
      </c>
    </row>
    <row r="5823" spans="1:12" x14ac:dyDescent="0.3">
      <c r="A5823" t="str">
        <f>"47934573"</f>
        <v>47934573</v>
      </c>
      <c r="B5823" t="s">
        <v>10944</v>
      </c>
      <c r="C5823" t="str">
        <f t="shared" si="383"/>
        <v>706</v>
      </c>
      <c r="D5823" t="s">
        <v>28</v>
      </c>
      <c r="E5823" t="s">
        <v>83</v>
      </c>
      <c r="F5823" t="s">
        <v>6742</v>
      </c>
      <c r="G5823" t="s">
        <v>8671</v>
      </c>
      <c r="H5823" t="str">
        <f>"93110"</f>
        <v>93110</v>
      </c>
      <c r="I5823" t="s">
        <v>92</v>
      </c>
    </row>
    <row r="5824" spans="1:12" x14ac:dyDescent="0.3">
      <c r="A5824" t="str">
        <f>"18189709"</f>
        <v>18189709</v>
      </c>
      <c r="B5824" t="s">
        <v>10945</v>
      </c>
      <c r="C5824" t="str">
        <f t="shared" si="383"/>
        <v>706</v>
      </c>
      <c r="D5824" t="s">
        <v>28</v>
      </c>
      <c r="E5824" t="s">
        <v>83</v>
      </c>
      <c r="F5824" t="s">
        <v>183</v>
      </c>
      <c r="G5824" t="s">
        <v>10946</v>
      </c>
      <c r="H5824" t="str">
        <f>"93110"</f>
        <v>93110</v>
      </c>
      <c r="I5824" t="s">
        <v>92</v>
      </c>
    </row>
    <row r="5825" spans="1:13" x14ac:dyDescent="0.3">
      <c r="A5825" t="str">
        <f>"00395455"</f>
        <v>00395455</v>
      </c>
      <c r="B5825" t="s">
        <v>10947</v>
      </c>
      <c r="C5825" t="str">
        <f t="shared" si="383"/>
        <v>706</v>
      </c>
      <c r="D5825" t="s">
        <v>28</v>
      </c>
      <c r="E5825" t="s">
        <v>52</v>
      </c>
      <c r="F5825" t="s">
        <v>65</v>
      </c>
      <c r="G5825" t="s">
        <v>10948</v>
      </c>
      <c r="H5825" t="str">
        <f>"93110"</f>
        <v>93110</v>
      </c>
      <c r="I5825" t="s">
        <v>92</v>
      </c>
      <c r="J5825" t="s">
        <v>668</v>
      </c>
      <c r="K5825" t="s">
        <v>161</v>
      </c>
    </row>
    <row r="5826" spans="1:13" x14ac:dyDescent="0.3">
      <c r="A5826" t="str">
        <f>"48773280"</f>
        <v>48773280</v>
      </c>
      <c r="B5826" t="s">
        <v>10949</v>
      </c>
      <c r="C5826" t="str">
        <f t="shared" si="383"/>
        <v>706</v>
      </c>
      <c r="D5826" t="s">
        <v>28</v>
      </c>
      <c r="E5826" t="s">
        <v>29</v>
      </c>
      <c r="F5826" t="s">
        <v>250</v>
      </c>
      <c r="G5826" t="s">
        <v>10493</v>
      </c>
      <c r="H5826" t="str">
        <f>"931"</f>
        <v>931</v>
      </c>
      <c r="I5826" t="s">
        <v>26</v>
      </c>
    </row>
    <row r="5827" spans="1:13" x14ac:dyDescent="0.3">
      <c r="A5827" t="str">
        <f>"16361474"</f>
        <v>16361474</v>
      </c>
      <c r="B5827" t="s">
        <v>10950</v>
      </c>
      <c r="C5827" t="str">
        <f t="shared" si="383"/>
        <v>706</v>
      </c>
      <c r="D5827" t="s">
        <v>28</v>
      </c>
      <c r="E5827" t="s">
        <v>52</v>
      </c>
      <c r="F5827" t="s">
        <v>113</v>
      </c>
      <c r="G5827" t="s">
        <v>10951</v>
      </c>
      <c r="H5827" t="str">
        <f>"93110"</f>
        <v>93110</v>
      </c>
      <c r="I5827" t="s">
        <v>92</v>
      </c>
      <c r="J5827" t="s">
        <v>258</v>
      </c>
      <c r="K5827" t="s">
        <v>159</v>
      </c>
      <c r="L5827" t="s">
        <v>2536</v>
      </c>
    </row>
    <row r="5828" spans="1:13" x14ac:dyDescent="0.3">
      <c r="A5828" t="str">
        <f>"46307486"</f>
        <v>46307486</v>
      </c>
      <c r="B5828" t="s">
        <v>10952</v>
      </c>
      <c r="C5828" t="str">
        <f t="shared" si="383"/>
        <v>706</v>
      </c>
      <c r="D5828" t="s">
        <v>28</v>
      </c>
      <c r="E5828" t="s">
        <v>23</v>
      </c>
      <c r="F5828" t="s">
        <v>107</v>
      </c>
      <c r="G5828" t="s">
        <v>10953</v>
      </c>
      <c r="H5828" t="str">
        <f>"9499"</f>
        <v>9499</v>
      </c>
      <c r="I5828" t="s">
        <v>31</v>
      </c>
    </row>
    <row r="5829" spans="1:13" x14ac:dyDescent="0.3">
      <c r="A5829" t="str">
        <f>"46956549"</f>
        <v>46956549</v>
      </c>
      <c r="B5829" t="s">
        <v>10954</v>
      </c>
      <c r="C5829" t="str">
        <f t="shared" si="383"/>
        <v>706</v>
      </c>
      <c r="D5829" t="s">
        <v>28</v>
      </c>
      <c r="E5829" t="s">
        <v>52</v>
      </c>
      <c r="F5829" t="s">
        <v>94</v>
      </c>
      <c r="G5829" t="s">
        <v>10955</v>
      </c>
      <c r="H5829" t="str">
        <f>"93110"</f>
        <v>93110</v>
      </c>
      <c r="I5829" t="s">
        <v>92</v>
      </c>
      <c r="J5829" t="s">
        <v>9985</v>
      </c>
      <c r="K5829" t="s">
        <v>1604</v>
      </c>
    </row>
    <row r="5830" spans="1:13" x14ac:dyDescent="0.3">
      <c r="A5830" t="str">
        <f>"46311343"</f>
        <v>46311343</v>
      </c>
      <c r="B5830" t="s">
        <v>10956</v>
      </c>
      <c r="C5830" t="str">
        <f t="shared" si="383"/>
        <v>706</v>
      </c>
      <c r="D5830" t="s">
        <v>28</v>
      </c>
      <c r="E5830" t="s">
        <v>23</v>
      </c>
      <c r="F5830" t="s">
        <v>713</v>
      </c>
      <c r="G5830" t="s">
        <v>713</v>
      </c>
      <c r="H5830" t="str">
        <f>"9499"</f>
        <v>9499</v>
      </c>
      <c r="I5830" t="s">
        <v>31</v>
      </c>
    </row>
    <row r="5831" spans="1:13" x14ac:dyDescent="0.3">
      <c r="A5831" t="str">
        <f>"61704369"</f>
        <v>61704369</v>
      </c>
      <c r="B5831" t="s">
        <v>10957</v>
      </c>
      <c r="C5831" t="str">
        <f t="shared" si="383"/>
        <v>706</v>
      </c>
      <c r="D5831" t="s">
        <v>28</v>
      </c>
      <c r="E5831" t="s">
        <v>52</v>
      </c>
      <c r="F5831" t="s">
        <v>5158</v>
      </c>
      <c r="G5831" t="s">
        <v>10958</v>
      </c>
      <c r="H5831" t="str">
        <f>"93110"</f>
        <v>93110</v>
      </c>
      <c r="I5831" t="s">
        <v>92</v>
      </c>
    </row>
    <row r="5832" spans="1:13" x14ac:dyDescent="0.3">
      <c r="A5832" t="str">
        <f>"13690353"</f>
        <v>13690353</v>
      </c>
      <c r="B5832" t="s">
        <v>10959</v>
      </c>
      <c r="C5832" t="str">
        <f t="shared" si="383"/>
        <v>706</v>
      </c>
      <c r="D5832" t="s">
        <v>28</v>
      </c>
      <c r="E5832" t="s">
        <v>23</v>
      </c>
      <c r="F5832" t="s">
        <v>296</v>
      </c>
      <c r="G5832" t="s">
        <v>10960</v>
      </c>
      <c r="H5832" t="str">
        <f>"931"</f>
        <v>931</v>
      </c>
      <c r="I5832" t="s">
        <v>26</v>
      </c>
      <c r="J5832" t="s">
        <v>258</v>
      </c>
      <c r="K5832" t="s">
        <v>161</v>
      </c>
      <c r="L5832" t="s">
        <v>209</v>
      </c>
    </row>
    <row r="5833" spans="1:13" x14ac:dyDescent="0.3">
      <c r="A5833" t="str">
        <f>"60370165"</f>
        <v>60370165</v>
      </c>
      <c r="B5833" t="s">
        <v>10961</v>
      </c>
      <c r="C5833" t="str">
        <f t="shared" si="383"/>
        <v>706</v>
      </c>
      <c r="D5833" t="s">
        <v>28</v>
      </c>
      <c r="E5833" t="s">
        <v>52</v>
      </c>
      <c r="F5833" t="s">
        <v>796</v>
      </c>
      <c r="G5833" t="s">
        <v>797</v>
      </c>
      <c r="H5833" t="str">
        <f>"93110"</f>
        <v>93110</v>
      </c>
      <c r="I5833" t="s">
        <v>92</v>
      </c>
    </row>
    <row r="5834" spans="1:13" x14ac:dyDescent="0.3">
      <c r="A5834" t="str">
        <f>"44119216"</f>
        <v>44119216</v>
      </c>
      <c r="B5834" t="s">
        <v>10962</v>
      </c>
      <c r="C5834" t="str">
        <f t="shared" si="383"/>
        <v>706</v>
      </c>
      <c r="D5834" t="s">
        <v>28</v>
      </c>
      <c r="E5834" t="s">
        <v>23</v>
      </c>
      <c r="F5834" t="s">
        <v>5383</v>
      </c>
      <c r="G5834" t="s">
        <v>5384</v>
      </c>
      <c r="H5834" t="str">
        <f>"9499"</f>
        <v>9499</v>
      </c>
      <c r="I5834" t="s">
        <v>31</v>
      </c>
    </row>
    <row r="5835" spans="1:13" x14ac:dyDescent="0.3">
      <c r="A5835" t="str">
        <f>"68898673"</f>
        <v>68898673</v>
      </c>
      <c r="B5835" t="s">
        <v>10963</v>
      </c>
      <c r="C5835" t="str">
        <f t="shared" si="383"/>
        <v>706</v>
      </c>
      <c r="D5835" t="s">
        <v>28</v>
      </c>
      <c r="E5835" t="s">
        <v>29</v>
      </c>
      <c r="F5835" t="s">
        <v>1796</v>
      </c>
      <c r="G5835" t="s">
        <v>10964</v>
      </c>
      <c r="H5835" t="str">
        <f>"931"</f>
        <v>931</v>
      </c>
      <c r="I5835" t="s">
        <v>26</v>
      </c>
    </row>
    <row r="5836" spans="1:13" x14ac:dyDescent="0.3">
      <c r="A5836" t="str">
        <f>"46956972"</f>
        <v>46956972</v>
      </c>
      <c r="B5836" t="s">
        <v>10965</v>
      </c>
      <c r="C5836" t="str">
        <f t="shared" si="383"/>
        <v>706</v>
      </c>
      <c r="D5836" t="s">
        <v>28</v>
      </c>
      <c r="E5836" t="s">
        <v>52</v>
      </c>
      <c r="F5836" t="s">
        <v>113</v>
      </c>
      <c r="G5836" t="s">
        <v>10966</v>
      </c>
      <c r="H5836" t="str">
        <f t="shared" ref="H5836:H5841" si="384">"93110"</f>
        <v>93110</v>
      </c>
      <c r="I5836" t="s">
        <v>92</v>
      </c>
    </row>
    <row r="5837" spans="1:13" x14ac:dyDescent="0.3">
      <c r="A5837" t="str">
        <f>"65891520"</f>
        <v>65891520</v>
      </c>
      <c r="B5837" t="s">
        <v>10967</v>
      </c>
      <c r="C5837" t="str">
        <f t="shared" si="383"/>
        <v>706</v>
      </c>
      <c r="D5837" t="s">
        <v>28</v>
      </c>
      <c r="E5837" t="s">
        <v>29</v>
      </c>
      <c r="F5837" t="s">
        <v>876</v>
      </c>
      <c r="G5837" t="s">
        <v>5416</v>
      </c>
      <c r="H5837" t="str">
        <f t="shared" si="384"/>
        <v>93110</v>
      </c>
      <c r="I5837" t="s">
        <v>92</v>
      </c>
    </row>
    <row r="5838" spans="1:13" x14ac:dyDescent="0.3">
      <c r="A5838" t="str">
        <f>"60370106"</f>
        <v>60370106</v>
      </c>
      <c r="B5838" t="s">
        <v>10968</v>
      </c>
      <c r="C5838" t="str">
        <f t="shared" si="383"/>
        <v>706</v>
      </c>
      <c r="D5838" t="s">
        <v>28</v>
      </c>
      <c r="E5838" t="s">
        <v>52</v>
      </c>
      <c r="F5838" t="s">
        <v>1908</v>
      </c>
      <c r="G5838" t="s">
        <v>10969</v>
      </c>
      <c r="H5838" t="str">
        <f t="shared" si="384"/>
        <v>93110</v>
      </c>
      <c r="I5838" t="s">
        <v>92</v>
      </c>
    </row>
    <row r="5839" spans="1:13" x14ac:dyDescent="0.3">
      <c r="A5839" t="str">
        <f>"47934115"</f>
        <v>47934115</v>
      </c>
      <c r="B5839" t="s">
        <v>10970</v>
      </c>
      <c r="C5839" t="str">
        <f t="shared" si="383"/>
        <v>706</v>
      </c>
      <c r="D5839" t="s">
        <v>28</v>
      </c>
      <c r="E5839" t="s">
        <v>83</v>
      </c>
      <c r="F5839" t="s">
        <v>1691</v>
      </c>
      <c r="G5839" t="s">
        <v>1692</v>
      </c>
      <c r="H5839" t="str">
        <f t="shared" si="384"/>
        <v>93110</v>
      </c>
      <c r="I5839" t="s">
        <v>92</v>
      </c>
      <c r="J5839" t="s">
        <v>209</v>
      </c>
      <c r="K5839" t="s">
        <v>161</v>
      </c>
      <c r="L5839" t="s">
        <v>163</v>
      </c>
      <c r="M5839" t="s">
        <v>59</v>
      </c>
    </row>
    <row r="5840" spans="1:13" x14ac:dyDescent="0.3">
      <c r="A5840" t="str">
        <f>"60370271"</f>
        <v>60370271</v>
      </c>
      <c r="B5840" t="s">
        <v>10971</v>
      </c>
      <c r="C5840" t="str">
        <f t="shared" si="383"/>
        <v>706</v>
      </c>
      <c r="D5840" t="s">
        <v>28</v>
      </c>
      <c r="E5840" t="s">
        <v>52</v>
      </c>
      <c r="F5840" t="s">
        <v>178</v>
      </c>
      <c r="G5840" t="s">
        <v>10972</v>
      </c>
      <c r="H5840" t="str">
        <f t="shared" si="384"/>
        <v>93110</v>
      </c>
      <c r="I5840" t="s">
        <v>92</v>
      </c>
    </row>
    <row r="5841" spans="1:10" x14ac:dyDescent="0.3">
      <c r="A5841" t="str">
        <f>"48506125"</f>
        <v>48506125</v>
      </c>
      <c r="B5841" t="s">
        <v>10973</v>
      </c>
      <c r="C5841" t="str">
        <f t="shared" si="383"/>
        <v>706</v>
      </c>
      <c r="D5841" t="s">
        <v>28</v>
      </c>
      <c r="E5841" t="s">
        <v>52</v>
      </c>
      <c r="F5841" t="s">
        <v>362</v>
      </c>
      <c r="G5841" t="s">
        <v>10974</v>
      </c>
      <c r="H5841" t="str">
        <f t="shared" si="384"/>
        <v>93110</v>
      </c>
      <c r="I5841" t="s">
        <v>92</v>
      </c>
    </row>
    <row r="5842" spans="1:10" x14ac:dyDescent="0.3">
      <c r="A5842" t="str">
        <f>"46311742"</f>
        <v>46311742</v>
      </c>
      <c r="B5842" t="s">
        <v>10975</v>
      </c>
      <c r="C5842" t="str">
        <f t="shared" si="383"/>
        <v>706</v>
      </c>
      <c r="D5842" t="s">
        <v>28</v>
      </c>
      <c r="E5842" t="s">
        <v>23</v>
      </c>
      <c r="F5842" t="s">
        <v>1254</v>
      </c>
      <c r="G5842" t="s">
        <v>1593</v>
      </c>
      <c r="H5842" t="str">
        <f>"9499"</f>
        <v>9499</v>
      </c>
      <c r="I5842" t="s">
        <v>31</v>
      </c>
    </row>
    <row r="5843" spans="1:10" x14ac:dyDescent="0.3">
      <c r="A5843" t="str">
        <f>"40942546"</f>
        <v>40942546</v>
      </c>
      <c r="B5843" t="s">
        <v>10976</v>
      </c>
      <c r="C5843" t="str">
        <f t="shared" si="383"/>
        <v>706</v>
      </c>
      <c r="D5843" t="s">
        <v>28</v>
      </c>
      <c r="E5843" t="s">
        <v>23</v>
      </c>
      <c r="F5843" t="s">
        <v>87</v>
      </c>
      <c r="G5843" t="s">
        <v>10977</v>
      </c>
      <c r="H5843" t="str">
        <f>"931"</f>
        <v>931</v>
      </c>
      <c r="I5843" t="s">
        <v>26</v>
      </c>
    </row>
    <row r="5844" spans="1:10" x14ac:dyDescent="0.3">
      <c r="A5844" t="str">
        <f>"00536024"</f>
        <v>00536024</v>
      </c>
      <c r="B5844" t="s">
        <v>10978</v>
      </c>
      <c r="C5844" t="str">
        <f t="shared" si="383"/>
        <v>706</v>
      </c>
      <c r="D5844" t="s">
        <v>28</v>
      </c>
      <c r="E5844" t="s">
        <v>29</v>
      </c>
      <c r="F5844" t="s">
        <v>29</v>
      </c>
      <c r="G5844" t="s">
        <v>10979</v>
      </c>
      <c r="H5844" t="str">
        <f>"93110"</f>
        <v>93110</v>
      </c>
      <c r="I5844" t="s">
        <v>92</v>
      </c>
      <c r="J5844" t="s">
        <v>31</v>
      </c>
    </row>
    <row r="5845" spans="1:10" x14ac:dyDescent="0.3">
      <c r="A5845" t="str">
        <f>"26635259"</f>
        <v>26635259</v>
      </c>
      <c r="B5845" t="s">
        <v>10980</v>
      </c>
      <c r="C5845" t="str">
        <f t="shared" si="383"/>
        <v>706</v>
      </c>
      <c r="D5845" t="s">
        <v>28</v>
      </c>
      <c r="E5845" t="s">
        <v>23</v>
      </c>
      <c r="F5845" t="s">
        <v>23</v>
      </c>
      <c r="G5845" t="s">
        <v>10981</v>
      </c>
      <c r="H5845" t="str">
        <f>"93110"</f>
        <v>93110</v>
      </c>
      <c r="I5845" t="s">
        <v>92</v>
      </c>
    </row>
    <row r="5846" spans="1:10" x14ac:dyDescent="0.3">
      <c r="A5846" t="str">
        <f>"47934972"</f>
        <v>47934972</v>
      </c>
      <c r="B5846" t="s">
        <v>10982</v>
      </c>
      <c r="C5846" t="str">
        <f t="shared" si="383"/>
        <v>706</v>
      </c>
      <c r="D5846" t="s">
        <v>28</v>
      </c>
      <c r="E5846" t="s">
        <v>83</v>
      </c>
      <c r="F5846" t="s">
        <v>130</v>
      </c>
      <c r="G5846" t="s">
        <v>10983</v>
      </c>
      <c r="H5846" t="str">
        <f>"93110"</f>
        <v>93110</v>
      </c>
      <c r="I5846" t="s">
        <v>92</v>
      </c>
    </row>
    <row r="5847" spans="1:10" x14ac:dyDescent="0.3">
      <c r="A5847" t="str">
        <f>"27015840"</f>
        <v>27015840</v>
      </c>
      <c r="B5847" t="s">
        <v>10984</v>
      </c>
      <c r="C5847" t="str">
        <f t="shared" si="383"/>
        <v>706</v>
      </c>
      <c r="D5847" t="s">
        <v>28</v>
      </c>
      <c r="E5847" t="s">
        <v>83</v>
      </c>
      <c r="F5847" t="s">
        <v>873</v>
      </c>
      <c r="G5847" t="s">
        <v>4100</v>
      </c>
      <c r="H5847" t="str">
        <f>"93110"</f>
        <v>93110</v>
      </c>
      <c r="I5847" t="s">
        <v>92</v>
      </c>
    </row>
    <row r="5848" spans="1:10" x14ac:dyDescent="0.3">
      <c r="A5848" t="str">
        <f>"18046380"</f>
        <v>18046380</v>
      </c>
      <c r="B5848" t="s">
        <v>10985</v>
      </c>
      <c r="C5848" t="str">
        <f t="shared" si="383"/>
        <v>706</v>
      </c>
      <c r="D5848" t="s">
        <v>28</v>
      </c>
      <c r="E5848" t="s">
        <v>23</v>
      </c>
      <c r="F5848" t="s">
        <v>68</v>
      </c>
      <c r="G5848" t="s">
        <v>10986</v>
      </c>
      <c r="H5848" t="str">
        <f>"93190"</f>
        <v>93190</v>
      </c>
      <c r="I5848" t="s">
        <v>59</v>
      </c>
    </row>
    <row r="5849" spans="1:10" x14ac:dyDescent="0.3">
      <c r="A5849" t="str">
        <f>"65325630"</f>
        <v>65325630</v>
      </c>
      <c r="B5849" t="s">
        <v>10987</v>
      </c>
      <c r="C5849" t="str">
        <f t="shared" si="383"/>
        <v>706</v>
      </c>
      <c r="D5849" t="s">
        <v>28</v>
      </c>
      <c r="E5849" t="s">
        <v>52</v>
      </c>
      <c r="F5849" t="s">
        <v>52</v>
      </c>
      <c r="G5849" t="s">
        <v>10988</v>
      </c>
      <c r="H5849" t="str">
        <f>"94993"</f>
        <v>94993</v>
      </c>
      <c r="I5849" t="s">
        <v>50</v>
      </c>
    </row>
    <row r="5850" spans="1:10" x14ac:dyDescent="0.3">
      <c r="A5850" t="str">
        <f>"21844852"</f>
        <v>21844852</v>
      </c>
      <c r="B5850" t="s">
        <v>10989</v>
      </c>
      <c r="C5850" t="str">
        <f t="shared" si="383"/>
        <v>706</v>
      </c>
      <c r="D5850" t="s">
        <v>28</v>
      </c>
      <c r="E5850" t="s">
        <v>83</v>
      </c>
      <c r="F5850" t="s">
        <v>409</v>
      </c>
      <c r="G5850" t="s">
        <v>10990</v>
      </c>
      <c r="H5850" t="str">
        <f>"9499"</f>
        <v>9499</v>
      </c>
      <c r="I5850" t="s">
        <v>31</v>
      </c>
    </row>
    <row r="5851" spans="1:10" x14ac:dyDescent="0.3">
      <c r="A5851" t="str">
        <f>"21791741"</f>
        <v>21791741</v>
      </c>
      <c r="B5851" t="s">
        <v>10991</v>
      </c>
      <c r="C5851" t="str">
        <f t="shared" si="383"/>
        <v>706</v>
      </c>
      <c r="D5851" t="s">
        <v>28</v>
      </c>
      <c r="E5851" t="s">
        <v>83</v>
      </c>
      <c r="F5851" t="s">
        <v>83</v>
      </c>
      <c r="G5851" t="s">
        <v>2928</v>
      </c>
      <c r="H5851" t="str">
        <f>"9499"</f>
        <v>9499</v>
      </c>
      <c r="I5851" t="s">
        <v>31</v>
      </c>
    </row>
    <row r="5852" spans="1:10" x14ac:dyDescent="0.3">
      <c r="A5852" t="str">
        <f>"26593017"</f>
        <v>26593017</v>
      </c>
      <c r="B5852" t="s">
        <v>10992</v>
      </c>
      <c r="C5852" t="str">
        <f t="shared" si="383"/>
        <v>706</v>
      </c>
      <c r="D5852" t="s">
        <v>28</v>
      </c>
      <c r="E5852" t="s">
        <v>83</v>
      </c>
      <c r="F5852" t="s">
        <v>944</v>
      </c>
      <c r="G5852" t="s">
        <v>10993</v>
      </c>
      <c r="H5852" t="str">
        <f>"9499"</f>
        <v>9499</v>
      </c>
      <c r="I5852" t="s">
        <v>31</v>
      </c>
    </row>
    <row r="5853" spans="1:10" x14ac:dyDescent="0.3">
      <c r="A5853" t="str">
        <f>"06996213"</f>
        <v>06996213</v>
      </c>
      <c r="B5853" t="s">
        <v>10994</v>
      </c>
      <c r="C5853" t="str">
        <f t="shared" si="383"/>
        <v>706</v>
      </c>
      <c r="D5853" t="s">
        <v>28</v>
      </c>
      <c r="E5853" t="s">
        <v>23</v>
      </c>
      <c r="F5853" t="s">
        <v>141</v>
      </c>
      <c r="G5853" t="s">
        <v>10995</v>
      </c>
      <c r="H5853" t="str">
        <f>"94991"</f>
        <v>94991</v>
      </c>
      <c r="I5853" t="s">
        <v>433</v>
      </c>
    </row>
    <row r="5854" spans="1:10" x14ac:dyDescent="0.3">
      <c r="A5854" t="str">
        <f>"09716181"</f>
        <v>09716181</v>
      </c>
      <c r="B5854" t="s">
        <v>10996</v>
      </c>
      <c r="C5854" t="str">
        <f t="shared" si="383"/>
        <v>706</v>
      </c>
      <c r="D5854" t="s">
        <v>28</v>
      </c>
      <c r="E5854" t="s">
        <v>83</v>
      </c>
      <c r="F5854" t="s">
        <v>183</v>
      </c>
      <c r="G5854" t="s">
        <v>10997</v>
      </c>
      <c r="H5854" t="str">
        <f>"9499"</f>
        <v>9499</v>
      </c>
      <c r="I5854" t="s">
        <v>31</v>
      </c>
    </row>
    <row r="5855" spans="1:10" x14ac:dyDescent="0.3">
      <c r="A5855" t="str">
        <f>"03684750"</f>
        <v>03684750</v>
      </c>
      <c r="B5855" t="s">
        <v>10998</v>
      </c>
      <c r="C5855" t="str">
        <f t="shared" si="383"/>
        <v>706</v>
      </c>
      <c r="D5855" t="s">
        <v>28</v>
      </c>
      <c r="E5855" t="s">
        <v>29</v>
      </c>
      <c r="F5855" t="s">
        <v>195</v>
      </c>
      <c r="G5855" t="s">
        <v>10999</v>
      </c>
      <c r="H5855" t="str">
        <f>"9499"</f>
        <v>9499</v>
      </c>
      <c r="I5855" t="s">
        <v>31</v>
      </c>
    </row>
    <row r="5856" spans="1:10" x14ac:dyDescent="0.3">
      <c r="A5856" t="str">
        <f>"27045111"</f>
        <v>27045111</v>
      </c>
      <c r="B5856" t="s">
        <v>11000</v>
      </c>
      <c r="C5856" t="str">
        <f t="shared" si="383"/>
        <v>706</v>
      </c>
      <c r="D5856" t="s">
        <v>28</v>
      </c>
      <c r="E5856" t="s">
        <v>23</v>
      </c>
      <c r="F5856" t="s">
        <v>99</v>
      </c>
      <c r="G5856" t="s">
        <v>11001</v>
      </c>
      <c r="H5856" t="str">
        <f>"94"</f>
        <v>94</v>
      </c>
      <c r="I5856" t="s">
        <v>1016</v>
      </c>
    </row>
    <row r="5857" spans="1:12" x14ac:dyDescent="0.3">
      <c r="A5857" t="str">
        <f>"05979811"</f>
        <v>05979811</v>
      </c>
      <c r="B5857" t="s">
        <v>11002</v>
      </c>
      <c r="C5857" t="str">
        <f t="shared" si="383"/>
        <v>706</v>
      </c>
      <c r="D5857" t="s">
        <v>28</v>
      </c>
      <c r="E5857" t="s">
        <v>23</v>
      </c>
      <c r="F5857" t="s">
        <v>23</v>
      </c>
      <c r="G5857" t="s">
        <v>10106</v>
      </c>
      <c r="H5857" t="str">
        <f>"9499"</f>
        <v>9499</v>
      </c>
      <c r="I5857" t="s">
        <v>31</v>
      </c>
    </row>
    <row r="5858" spans="1:12" x14ac:dyDescent="0.3">
      <c r="A5858" t="str">
        <f>"26654369"</f>
        <v>26654369</v>
      </c>
      <c r="B5858" t="s">
        <v>11003</v>
      </c>
      <c r="C5858" t="str">
        <f t="shared" si="383"/>
        <v>706</v>
      </c>
      <c r="D5858" t="s">
        <v>28</v>
      </c>
      <c r="E5858" t="s">
        <v>52</v>
      </c>
      <c r="F5858" t="s">
        <v>920</v>
      </c>
      <c r="G5858" t="s">
        <v>11004</v>
      </c>
      <c r="H5858" t="str">
        <f>"9499"</f>
        <v>9499</v>
      </c>
      <c r="I5858" t="s">
        <v>31</v>
      </c>
    </row>
    <row r="5859" spans="1:12" x14ac:dyDescent="0.3">
      <c r="A5859" t="str">
        <f>"26647532"</f>
        <v>26647532</v>
      </c>
      <c r="B5859" t="s">
        <v>11005</v>
      </c>
      <c r="C5859" t="str">
        <f t="shared" si="383"/>
        <v>706</v>
      </c>
      <c r="D5859" t="s">
        <v>28</v>
      </c>
      <c r="E5859" t="s">
        <v>52</v>
      </c>
      <c r="F5859" t="s">
        <v>920</v>
      </c>
      <c r="G5859" t="s">
        <v>7079</v>
      </c>
      <c r="H5859" t="str">
        <f>"9499"</f>
        <v>9499</v>
      </c>
      <c r="I5859" t="s">
        <v>31</v>
      </c>
    </row>
    <row r="5860" spans="1:12" x14ac:dyDescent="0.3">
      <c r="A5860" t="str">
        <f>"26604183"</f>
        <v>26604183</v>
      </c>
      <c r="B5860" t="s">
        <v>11006</v>
      </c>
      <c r="C5860" t="str">
        <f t="shared" si="383"/>
        <v>706</v>
      </c>
      <c r="D5860" t="s">
        <v>28</v>
      </c>
      <c r="E5860" t="s">
        <v>52</v>
      </c>
      <c r="F5860" t="s">
        <v>920</v>
      </c>
      <c r="G5860" t="s">
        <v>11007</v>
      </c>
      <c r="H5860" t="str">
        <f>"9499"</f>
        <v>9499</v>
      </c>
      <c r="I5860" t="s">
        <v>31</v>
      </c>
    </row>
    <row r="5861" spans="1:12" x14ac:dyDescent="0.3">
      <c r="A5861" t="str">
        <f>"22873856"</f>
        <v>22873856</v>
      </c>
      <c r="B5861" t="s">
        <v>11008</v>
      </c>
      <c r="C5861" t="str">
        <f t="shared" si="383"/>
        <v>706</v>
      </c>
      <c r="D5861" t="s">
        <v>28</v>
      </c>
      <c r="E5861" t="s">
        <v>29</v>
      </c>
      <c r="F5861" t="s">
        <v>1796</v>
      </c>
      <c r="G5861" t="s">
        <v>11009</v>
      </c>
      <c r="H5861" t="str">
        <f>"9499"</f>
        <v>9499</v>
      </c>
      <c r="I5861" t="s">
        <v>31</v>
      </c>
    </row>
    <row r="5862" spans="1:12" x14ac:dyDescent="0.3">
      <c r="A5862" t="str">
        <f>"21505667"</f>
        <v>21505667</v>
      </c>
      <c r="B5862" t="s">
        <v>11010</v>
      </c>
      <c r="C5862" t="str">
        <f t="shared" si="383"/>
        <v>706</v>
      </c>
      <c r="D5862" t="s">
        <v>28</v>
      </c>
      <c r="E5862" t="s">
        <v>83</v>
      </c>
      <c r="F5862" t="s">
        <v>183</v>
      </c>
      <c r="G5862" t="s">
        <v>11011</v>
      </c>
      <c r="H5862" t="str">
        <f>"94991"</f>
        <v>94991</v>
      </c>
      <c r="I5862" t="s">
        <v>433</v>
      </c>
    </row>
    <row r="5863" spans="1:12" x14ac:dyDescent="0.3">
      <c r="A5863" t="str">
        <f>"05020735"</f>
        <v>05020735</v>
      </c>
      <c r="B5863" t="s">
        <v>11012</v>
      </c>
      <c r="C5863" t="str">
        <f t="shared" si="383"/>
        <v>706</v>
      </c>
      <c r="D5863" t="s">
        <v>28</v>
      </c>
      <c r="E5863" t="s">
        <v>23</v>
      </c>
      <c r="F5863" t="s">
        <v>24</v>
      </c>
      <c r="G5863" t="s">
        <v>7597</v>
      </c>
      <c r="H5863" t="str">
        <f>"9499"</f>
        <v>9499</v>
      </c>
      <c r="I5863" t="s">
        <v>31</v>
      </c>
    </row>
    <row r="5864" spans="1:12" x14ac:dyDescent="0.3">
      <c r="A5864" t="str">
        <f>"65841638"</f>
        <v>65841638</v>
      </c>
      <c r="B5864" t="s">
        <v>11013</v>
      </c>
      <c r="C5864" t="str">
        <f t="shared" si="383"/>
        <v>706</v>
      </c>
      <c r="D5864" t="s">
        <v>28</v>
      </c>
      <c r="E5864" t="s">
        <v>52</v>
      </c>
      <c r="F5864" t="s">
        <v>1729</v>
      </c>
      <c r="G5864" t="s">
        <v>11014</v>
      </c>
      <c r="H5864" t="str">
        <f>"9499"</f>
        <v>9499</v>
      </c>
      <c r="I5864" t="s">
        <v>31</v>
      </c>
      <c r="J5864" t="s">
        <v>498</v>
      </c>
      <c r="K5864" t="s">
        <v>209</v>
      </c>
      <c r="L5864" t="s">
        <v>2459</v>
      </c>
    </row>
    <row r="5865" spans="1:12" x14ac:dyDescent="0.3">
      <c r="A5865" t="str">
        <f>"03674029"</f>
        <v>03674029</v>
      </c>
      <c r="B5865" t="s">
        <v>11015</v>
      </c>
      <c r="C5865" t="str">
        <f t="shared" si="383"/>
        <v>706</v>
      </c>
      <c r="D5865" t="s">
        <v>28</v>
      </c>
      <c r="E5865" t="s">
        <v>52</v>
      </c>
      <c r="F5865" t="s">
        <v>52</v>
      </c>
      <c r="G5865" t="s">
        <v>7037</v>
      </c>
      <c r="H5865" t="str">
        <f>"9499"</f>
        <v>9499</v>
      </c>
      <c r="I5865" t="s">
        <v>31</v>
      </c>
    </row>
    <row r="5866" spans="1:12" x14ac:dyDescent="0.3">
      <c r="A5866" t="str">
        <f>"07424191"</f>
        <v>07424191</v>
      </c>
      <c r="B5866" t="s">
        <v>11016</v>
      </c>
      <c r="C5866" t="str">
        <f t="shared" si="383"/>
        <v>706</v>
      </c>
      <c r="D5866" t="s">
        <v>28</v>
      </c>
      <c r="E5866" t="s">
        <v>52</v>
      </c>
      <c r="F5866" t="s">
        <v>951</v>
      </c>
      <c r="G5866" t="s">
        <v>11017</v>
      </c>
      <c r="H5866" t="str">
        <f>"94993"</f>
        <v>94993</v>
      </c>
      <c r="I5866" t="s">
        <v>50</v>
      </c>
    </row>
    <row r="5867" spans="1:12" x14ac:dyDescent="0.3">
      <c r="A5867" t="str">
        <f>"22852786"</f>
        <v>22852786</v>
      </c>
      <c r="B5867" t="s">
        <v>11018</v>
      </c>
      <c r="C5867" t="str">
        <f t="shared" si="383"/>
        <v>706</v>
      </c>
      <c r="D5867" t="s">
        <v>28</v>
      </c>
      <c r="E5867" t="s">
        <v>29</v>
      </c>
      <c r="F5867" t="s">
        <v>503</v>
      </c>
      <c r="G5867" t="s">
        <v>11019</v>
      </c>
      <c r="H5867" t="str">
        <f t="shared" ref="H5867:H5872" si="385">"9499"</f>
        <v>9499</v>
      </c>
      <c r="I5867" t="s">
        <v>31</v>
      </c>
    </row>
    <row r="5868" spans="1:12" x14ac:dyDescent="0.3">
      <c r="A5868" t="str">
        <f>"66934389"</f>
        <v>66934389</v>
      </c>
      <c r="B5868" t="s">
        <v>11020</v>
      </c>
      <c r="C5868" t="str">
        <f t="shared" si="383"/>
        <v>706</v>
      </c>
      <c r="D5868" t="s">
        <v>28</v>
      </c>
      <c r="E5868" t="s">
        <v>29</v>
      </c>
      <c r="F5868" t="s">
        <v>503</v>
      </c>
      <c r="G5868" t="s">
        <v>11021</v>
      </c>
      <c r="H5868" t="str">
        <f t="shared" si="385"/>
        <v>9499</v>
      </c>
      <c r="I5868" t="s">
        <v>31</v>
      </c>
    </row>
    <row r="5869" spans="1:12" x14ac:dyDescent="0.3">
      <c r="A5869" t="str">
        <f>"07804121"</f>
        <v>07804121</v>
      </c>
      <c r="B5869" t="s">
        <v>11022</v>
      </c>
      <c r="C5869" t="str">
        <f t="shared" si="383"/>
        <v>706</v>
      </c>
      <c r="D5869" t="s">
        <v>28</v>
      </c>
      <c r="E5869" t="s">
        <v>29</v>
      </c>
      <c r="F5869" t="s">
        <v>38</v>
      </c>
      <c r="G5869" t="s">
        <v>11023</v>
      </c>
      <c r="H5869" t="str">
        <f t="shared" si="385"/>
        <v>9499</v>
      </c>
      <c r="I5869" t="s">
        <v>31</v>
      </c>
    </row>
    <row r="5870" spans="1:12" x14ac:dyDescent="0.3">
      <c r="A5870" t="str">
        <f>"22710621"</f>
        <v>22710621</v>
      </c>
      <c r="B5870" t="s">
        <v>11024</v>
      </c>
      <c r="C5870" t="str">
        <f t="shared" si="383"/>
        <v>706</v>
      </c>
      <c r="D5870" t="s">
        <v>28</v>
      </c>
      <c r="E5870" t="s">
        <v>29</v>
      </c>
      <c r="F5870" t="s">
        <v>1874</v>
      </c>
      <c r="G5870" t="s">
        <v>11025</v>
      </c>
      <c r="H5870" t="str">
        <f t="shared" si="385"/>
        <v>9499</v>
      </c>
      <c r="I5870" t="s">
        <v>31</v>
      </c>
    </row>
    <row r="5871" spans="1:12" x14ac:dyDescent="0.3">
      <c r="A5871" t="str">
        <f>"05166861"</f>
        <v>05166861</v>
      </c>
      <c r="B5871" t="s">
        <v>11026</v>
      </c>
      <c r="C5871" t="str">
        <f t="shared" si="383"/>
        <v>706</v>
      </c>
      <c r="D5871" t="s">
        <v>28</v>
      </c>
      <c r="E5871" t="s">
        <v>52</v>
      </c>
      <c r="F5871" t="s">
        <v>796</v>
      </c>
      <c r="G5871" t="s">
        <v>11027</v>
      </c>
      <c r="H5871" t="str">
        <f t="shared" si="385"/>
        <v>9499</v>
      </c>
      <c r="I5871" t="s">
        <v>31</v>
      </c>
    </row>
    <row r="5872" spans="1:12" x14ac:dyDescent="0.3">
      <c r="A5872" t="str">
        <f>"22611380"</f>
        <v>22611380</v>
      </c>
      <c r="B5872" t="s">
        <v>11028</v>
      </c>
      <c r="C5872" t="str">
        <f t="shared" si="383"/>
        <v>706</v>
      </c>
      <c r="D5872" t="s">
        <v>28</v>
      </c>
      <c r="E5872" t="s">
        <v>23</v>
      </c>
      <c r="F5872" t="s">
        <v>23</v>
      </c>
      <c r="G5872" t="s">
        <v>11029</v>
      </c>
      <c r="H5872" t="str">
        <f t="shared" si="385"/>
        <v>9499</v>
      </c>
      <c r="I5872" t="s">
        <v>31</v>
      </c>
    </row>
    <row r="5873" spans="1:11" x14ac:dyDescent="0.3">
      <c r="A5873" t="str">
        <f>"22876910"</f>
        <v>22876910</v>
      </c>
      <c r="B5873" t="s">
        <v>11030</v>
      </c>
      <c r="C5873" t="str">
        <f t="shared" si="383"/>
        <v>706</v>
      </c>
      <c r="D5873" t="s">
        <v>28</v>
      </c>
      <c r="E5873" t="s">
        <v>23</v>
      </c>
      <c r="F5873" t="s">
        <v>5347</v>
      </c>
      <c r="G5873" t="s">
        <v>11031</v>
      </c>
      <c r="H5873" t="str">
        <f>"93190"</f>
        <v>93190</v>
      </c>
      <c r="I5873" t="s">
        <v>59</v>
      </c>
    </row>
    <row r="5874" spans="1:11" x14ac:dyDescent="0.3">
      <c r="A5874" t="str">
        <f>"09728139"</f>
        <v>09728139</v>
      </c>
      <c r="B5874" t="s">
        <v>11032</v>
      </c>
      <c r="C5874" t="str">
        <f t="shared" si="383"/>
        <v>706</v>
      </c>
      <c r="D5874" t="s">
        <v>28</v>
      </c>
      <c r="E5874" t="s">
        <v>83</v>
      </c>
      <c r="F5874" t="s">
        <v>183</v>
      </c>
      <c r="G5874" t="s">
        <v>11033</v>
      </c>
      <c r="H5874" t="str">
        <f>"9499"</f>
        <v>9499</v>
      </c>
      <c r="I5874" t="s">
        <v>31</v>
      </c>
    </row>
    <row r="5875" spans="1:11" x14ac:dyDescent="0.3">
      <c r="A5875" t="str">
        <f>"46256245"</f>
        <v>46256245</v>
      </c>
      <c r="B5875" t="s">
        <v>11034</v>
      </c>
      <c r="C5875" t="str">
        <f>"736"</f>
        <v>736</v>
      </c>
      <c r="D5875" t="s">
        <v>22</v>
      </c>
      <c r="E5875" t="s">
        <v>52</v>
      </c>
      <c r="F5875" t="s">
        <v>52</v>
      </c>
      <c r="G5875" t="s">
        <v>11035</v>
      </c>
      <c r="H5875" t="str">
        <f>"9499"</f>
        <v>9499</v>
      </c>
      <c r="I5875" t="s">
        <v>31</v>
      </c>
      <c r="J5875" t="s">
        <v>161</v>
      </c>
      <c r="K5875" t="s">
        <v>126</v>
      </c>
    </row>
    <row r="5876" spans="1:11" x14ac:dyDescent="0.3">
      <c r="A5876" t="str">
        <f>"48489328"</f>
        <v>48489328</v>
      </c>
      <c r="B5876" t="s">
        <v>11036</v>
      </c>
      <c r="C5876" t="str">
        <f>"736"</f>
        <v>736</v>
      </c>
      <c r="D5876" t="s">
        <v>22</v>
      </c>
      <c r="E5876" t="s">
        <v>52</v>
      </c>
      <c r="F5876" t="s">
        <v>2078</v>
      </c>
      <c r="G5876" t="s">
        <v>11037</v>
      </c>
      <c r="H5876" t="str">
        <f>"9499"</f>
        <v>9499</v>
      </c>
      <c r="I5876" t="s">
        <v>31</v>
      </c>
    </row>
    <row r="5877" spans="1:11" x14ac:dyDescent="0.3">
      <c r="A5877" t="str">
        <f>"07720211"</f>
        <v>07720211</v>
      </c>
      <c r="B5877" t="s">
        <v>11038</v>
      </c>
      <c r="C5877" t="str">
        <f t="shared" ref="C5877:C5898" si="386">"706"</f>
        <v>706</v>
      </c>
      <c r="D5877" t="s">
        <v>28</v>
      </c>
      <c r="E5877" t="s">
        <v>23</v>
      </c>
      <c r="F5877" t="s">
        <v>24</v>
      </c>
      <c r="G5877" t="s">
        <v>11039</v>
      </c>
      <c r="H5877" t="str">
        <f>"93190"</f>
        <v>93190</v>
      </c>
      <c r="I5877" t="s">
        <v>59</v>
      </c>
    </row>
    <row r="5878" spans="1:11" x14ac:dyDescent="0.3">
      <c r="A5878" t="str">
        <f>"03640019"</f>
        <v>03640019</v>
      </c>
      <c r="B5878" t="s">
        <v>11040</v>
      </c>
      <c r="C5878" t="str">
        <f t="shared" si="386"/>
        <v>706</v>
      </c>
      <c r="D5878" t="s">
        <v>28</v>
      </c>
      <c r="E5878" t="s">
        <v>52</v>
      </c>
      <c r="F5878" t="s">
        <v>379</v>
      </c>
      <c r="G5878" t="s">
        <v>11041</v>
      </c>
      <c r="H5878" t="str">
        <f t="shared" ref="H5878:H5889" si="387">"9499"</f>
        <v>9499</v>
      </c>
      <c r="I5878" t="s">
        <v>31</v>
      </c>
    </row>
    <row r="5879" spans="1:11" x14ac:dyDescent="0.3">
      <c r="A5879" t="str">
        <f>"22825908"</f>
        <v>22825908</v>
      </c>
      <c r="B5879" t="s">
        <v>11042</v>
      </c>
      <c r="C5879" t="str">
        <f t="shared" si="386"/>
        <v>706</v>
      </c>
      <c r="D5879" t="s">
        <v>28</v>
      </c>
      <c r="E5879" t="s">
        <v>23</v>
      </c>
      <c r="F5879" t="s">
        <v>2318</v>
      </c>
      <c r="G5879" t="s">
        <v>11043</v>
      </c>
      <c r="H5879" t="str">
        <f t="shared" si="387"/>
        <v>9499</v>
      </c>
      <c r="I5879" t="s">
        <v>31</v>
      </c>
    </row>
    <row r="5880" spans="1:11" x14ac:dyDescent="0.3">
      <c r="A5880" t="str">
        <f>"21317950"</f>
        <v>21317950</v>
      </c>
      <c r="B5880" t="s">
        <v>11044</v>
      </c>
      <c r="C5880" t="str">
        <f t="shared" si="386"/>
        <v>706</v>
      </c>
      <c r="D5880" t="s">
        <v>28</v>
      </c>
      <c r="E5880" t="s">
        <v>52</v>
      </c>
      <c r="F5880" t="s">
        <v>612</v>
      </c>
      <c r="G5880" t="s">
        <v>11045</v>
      </c>
      <c r="H5880" t="str">
        <f t="shared" si="387"/>
        <v>9499</v>
      </c>
      <c r="I5880" t="s">
        <v>31</v>
      </c>
    </row>
    <row r="5881" spans="1:11" x14ac:dyDescent="0.3">
      <c r="A5881" t="str">
        <f>"22862030"</f>
        <v>22862030</v>
      </c>
      <c r="B5881" t="s">
        <v>11046</v>
      </c>
      <c r="C5881" t="str">
        <f t="shared" si="386"/>
        <v>706</v>
      </c>
      <c r="D5881" t="s">
        <v>28</v>
      </c>
      <c r="E5881" t="s">
        <v>23</v>
      </c>
      <c r="F5881" t="s">
        <v>190</v>
      </c>
      <c r="G5881" t="s">
        <v>11047</v>
      </c>
      <c r="H5881" t="str">
        <f t="shared" si="387"/>
        <v>9499</v>
      </c>
      <c r="I5881" t="s">
        <v>31</v>
      </c>
    </row>
    <row r="5882" spans="1:11" x14ac:dyDescent="0.3">
      <c r="A5882" t="str">
        <f>"26566877"</f>
        <v>26566877</v>
      </c>
      <c r="B5882" t="s">
        <v>11048</v>
      </c>
      <c r="C5882" t="str">
        <f t="shared" si="386"/>
        <v>706</v>
      </c>
      <c r="D5882" t="s">
        <v>28</v>
      </c>
      <c r="E5882" t="s">
        <v>52</v>
      </c>
      <c r="F5882" t="s">
        <v>52</v>
      </c>
      <c r="G5882" t="s">
        <v>11049</v>
      </c>
      <c r="H5882" t="str">
        <f t="shared" si="387"/>
        <v>9499</v>
      </c>
      <c r="I5882" t="s">
        <v>31</v>
      </c>
    </row>
    <row r="5883" spans="1:11" x14ac:dyDescent="0.3">
      <c r="A5883" t="str">
        <f>"05788013"</f>
        <v>05788013</v>
      </c>
      <c r="B5883" t="s">
        <v>11050</v>
      </c>
      <c r="C5883" t="str">
        <f t="shared" si="386"/>
        <v>706</v>
      </c>
      <c r="D5883" t="s">
        <v>28</v>
      </c>
      <c r="E5883" t="s">
        <v>52</v>
      </c>
      <c r="F5883" t="s">
        <v>781</v>
      </c>
      <c r="G5883" t="s">
        <v>11051</v>
      </c>
      <c r="H5883" t="str">
        <f t="shared" si="387"/>
        <v>9499</v>
      </c>
      <c r="I5883" t="s">
        <v>31</v>
      </c>
    </row>
    <row r="5884" spans="1:11" x14ac:dyDescent="0.3">
      <c r="A5884" t="str">
        <f>"21224552"</f>
        <v>21224552</v>
      </c>
      <c r="B5884" t="s">
        <v>11052</v>
      </c>
      <c r="C5884" t="str">
        <f t="shared" si="386"/>
        <v>706</v>
      </c>
      <c r="D5884" t="s">
        <v>28</v>
      </c>
      <c r="E5884" t="s">
        <v>52</v>
      </c>
      <c r="F5884" t="s">
        <v>65</v>
      </c>
      <c r="G5884" t="s">
        <v>11053</v>
      </c>
      <c r="H5884" t="str">
        <f t="shared" si="387"/>
        <v>9499</v>
      </c>
      <c r="I5884" t="s">
        <v>31</v>
      </c>
    </row>
    <row r="5885" spans="1:11" x14ac:dyDescent="0.3">
      <c r="A5885" t="str">
        <f>"23122820"</f>
        <v>23122820</v>
      </c>
      <c r="B5885" t="s">
        <v>11054</v>
      </c>
      <c r="C5885" t="str">
        <f t="shared" si="386"/>
        <v>706</v>
      </c>
      <c r="D5885" t="s">
        <v>28</v>
      </c>
      <c r="E5885" t="s">
        <v>83</v>
      </c>
      <c r="F5885" t="s">
        <v>83</v>
      </c>
      <c r="G5885" t="s">
        <v>11055</v>
      </c>
      <c r="H5885" t="str">
        <f t="shared" si="387"/>
        <v>9499</v>
      </c>
      <c r="I5885" t="s">
        <v>31</v>
      </c>
      <c r="J5885" t="s">
        <v>146</v>
      </c>
    </row>
    <row r="5886" spans="1:11" x14ac:dyDescent="0.3">
      <c r="A5886" t="str">
        <f>"22877983"</f>
        <v>22877983</v>
      </c>
      <c r="B5886" t="s">
        <v>11056</v>
      </c>
      <c r="C5886" t="str">
        <f t="shared" si="386"/>
        <v>706</v>
      </c>
      <c r="D5886" t="s">
        <v>28</v>
      </c>
      <c r="E5886" t="s">
        <v>83</v>
      </c>
      <c r="F5886" t="s">
        <v>175</v>
      </c>
      <c r="G5886" t="s">
        <v>11057</v>
      </c>
      <c r="H5886" t="str">
        <f t="shared" si="387"/>
        <v>9499</v>
      </c>
      <c r="I5886" t="s">
        <v>31</v>
      </c>
    </row>
    <row r="5887" spans="1:11" x14ac:dyDescent="0.3">
      <c r="A5887" t="str">
        <f>"14109786"</f>
        <v>14109786</v>
      </c>
      <c r="B5887" t="s">
        <v>11058</v>
      </c>
      <c r="C5887" t="str">
        <f t="shared" si="386"/>
        <v>706</v>
      </c>
      <c r="D5887" t="s">
        <v>28</v>
      </c>
      <c r="E5887" t="s">
        <v>29</v>
      </c>
      <c r="F5887" t="s">
        <v>45</v>
      </c>
      <c r="G5887" t="s">
        <v>11059</v>
      </c>
      <c r="H5887" t="str">
        <f t="shared" si="387"/>
        <v>9499</v>
      </c>
      <c r="I5887" t="s">
        <v>31</v>
      </c>
    </row>
    <row r="5888" spans="1:11" x14ac:dyDescent="0.3">
      <c r="A5888" t="str">
        <f>"26678128"</f>
        <v>26678128</v>
      </c>
      <c r="B5888" t="s">
        <v>11060</v>
      </c>
      <c r="C5888" t="str">
        <f t="shared" si="386"/>
        <v>706</v>
      </c>
      <c r="D5888" t="s">
        <v>28</v>
      </c>
      <c r="E5888" t="s">
        <v>29</v>
      </c>
      <c r="F5888" t="s">
        <v>29</v>
      </c>
      <c r="G5888" t="s">
        <v>7185</v>
      </c>
      <c r="H5888" t="str">
        <f t="shared" si="387"/>
        <v>9499</v>
      </c>
      <c r="I5888" t="s">
        <v>31</v>
      </c>
    </row>
    <row r="5889" spans="1:26" x14ac:dyDescent="0.3">
      <c r="A5889" t="str">
        <f>"68728778"</f>
        <v>68728778</v>
      </c>
      <c r="B5889" t="s">
        <v>11061</v>
      </c>
      <c r="C5889" t="str">
        <f t="shared" si="386"/>
        <v>706</v>
      </c>
      <c r="D5889" t="s">
        <v>28</v>
      </c>
      <c r="E5889" t="s">
        <v>23</v>
      </c>
      <c r="F5889" t="s">
        <v>3995</v>
      </c>
      <c r="G5889" t="s">
        <v>11062</v>
      </c>
      <c r="H5889" t="str">
        <f t="shared" si="387"/>
        <v>9499</v>
      </c>
      <c r="I5889" t="s">
        <v>31</v>
      </c>
    </row>
    <row r="5890" spans="1:26" x14ac:dyDescent="0.3">
      <c r="A5890" t="str">
        <f>"26605813"</f>
        <v>26605813</v>
      </c>
      <c r="B5890" t="s">
        <v>11063</v>
      </c>
      <c r="C5890" t="str">
        <f t="shared" si="386"/>
        <v>706</v>
      </c>
      <c r="D5890" t="s">
        <v>28</v>
      </c>
      <c r="E5890" t="s">
        <v>23</v>
      </c>
      <c r="F5890" t="s">
        <v>23</v>
      </c>
      <c r="G5890" t="s">
        <v>11064</v>
      </c>
      <c r="H5890" t="str">
        <f>"93110"</f>
        <v>93110</v>
      </c>
      <c r="I5890" t="s">
        <v>92</v>
      </c>
    </row>
    <row r="5891" spans="1:26" x14ac:dyDescent="0.3">
      <c r="A5891" t="str">
        <f>"08823197"</f>
        <v>08823197</v>
      </c>
      <c r="B5891" t="s">
        <v>11065</v>
      </c>
      <c r="C5891" t="str">
        <f t="shared" si="386"/>
        <v>706</v>
      </c>
      <c r="D5891" t="s">
        <v>28</v>
      </c>
      <c r="E5891" t="s">
        <v>52</v>
      </c>
      <c r="F5891" t="s">
        <v>6722</v>
      </c>
      <c r="G5891" t="s">
        <v>11066</v>
      </c>
      <c r="H5891" t="str">
        <f>"9499"</f>
        <v>9499</v>
      </c>
      <c r="I5891" t="s">
        <v>31</v>
      </c>
    </row>
    <row r="5892" spans="1:26" x14ac:dyDescent="0.3">
      <c r="A5892" t="str">
        <f>"01460536"</f>
        <v>01460536</v>
      </c>
      <c r="B5892" t="s">
        <v>11067</v>
      </c>
      <c r="C5892" t="str">
        <f t="shared" si="386"/>
        <v>706</v>
      </c>
      <c r="D5892" t="s">
        <v>28</v>
      </c>
      <c r="E5892" t="s">
        <v>52</v>
      </c>
      <c r="F5892" t="s">
        <v>6722</v>
      </c>
      <c r="G5892" t="s">
        <v>8542</v>
      </c>
      <c r="H5892" t="str">
        <f>"94993"</f>
        <v>94993</v>
      </c>
      <c r="I5892" t="s">
        <v>50</v>
      </c>
    </row>
    <row r="5893" spans="1:26" x14ac:dyDescent="0.3">
      <c r="A5893" t="str">
        <f>"04743989"</f>
        <v>04743989</v>
      </c>
      <c r="B5893" t="s">
        <v>11068</v>
      </c>
      <c r="C5893" t="str">
        <f t="shared" si="386"/>
        <v>706</v>
      </c>
      <c r="D5893" t="s">
        <v>28</v>
      </c>
      <c r="E5893" t="s">
        <v>23</v>
      </c>
      <c r="F5893" t="s">
        <v>24</v>
      </c>
      <c r="G5893" t="s">
        <v>11069</v>
      </c>
      <c r="H5893" t="str">
        <f>"93190"</f>
        <v>93190</v>
      </c>
      <c r="I5893" t="s">
        <v>59</v>
      </c>
    </row>
    <row r="5894" spans="1:26" x14ac:dyDescent="0.3">
      <c r="A5894" t="str">
        <f>"26581884"</f>
        <v>26581884</v>
      </c>
      <c r="B5894" t="s">
        <v>11070</v>
      </c>
      <c r="C5894" t="str">
        <f t="shared" si="386"/>
        <v>706</v>
      </c>
      <c r="D5894" t="s">
        <v>28</v>
      </c>
      <c r="E5894" t="s">
        <v>23</v>
      </c>
      <c r="F5894" t="s">
        <v>107</v>
      </c>
      <c r="G5894" t="s">
        <v>11071</v>
      </c>
      <c r="H5894" t="str">
        <f>"94993"</f>
        <v>94993</v>
      </c>
      <c r="I5894" t="s">
        <v>50</v>
      </c>
    </row>
    <row r="5895" spans="1:26" x14ac:dyDescent="0.3">
      <c r="A5895" t="str">
        <f>"05202469"</f>
        <v>05202469</v>
      </c>
      <c r="B5895" t="s">
        <v>11072</v>
      </c>
      <c r="C5895" t="str">
        <f t="shared" si="386"/>
        <v>706</v>
      </c>
      <c r="D5895" t="s">
        <v>28</v>
      </c>
      <c r="E5895" t="s">
        <v>52</v>
      </c>
      <c r="F5895" t="s">
        <v>178</v>
      </c>
      <c r="G5895" t="s">
        <v>5661</v>
      </c>
      <c r="H5895" t="str">
        <f>"9499"</f>
        <v>9499</v>
      </c>
      <c r="I5895" t="s">
        <v>31</v>
      </c>
    </row>
    <row r="5896" spans="1:26" x14ac:dyDescent="0.3">
      <c r="A5896" t="str">
        <f>"06307388"</f>
        <v>06307388</v>
      </c>
      <c r="B5896" t="s">
        <v>11073</v>
      </c>
      <c r="C5896" t="str">
        <f t="shared" si="386"/>
        <v>706</v>
      </c>
      <c r="D5896" t="s">
        <v>28</v>
      </c>
      <c r="E5896" t="s">
        <v>23</v>
      </c>
      <c r="F5896" t="s">
        <v>24</v>
      </c>
      <c r="G5896" t="s">
        <v>11074</v>
      </c>
      <c r="H5896" t="str">
        <f>"94993"</f>
        <v>94993</v>
      </c>
      <c r="I5896" t="s">
        <v>50</v>
      </c>
    </row>
    <row r="5897" spans="1:26" x14ac:dyDescent="0.3">
      <c r="A5897" t="str">
        <f>"07651953"</f>
        <v>07651953</v>
      </c>
      <c r="B5897" t="s">
        <v>11075</v>
      </c>
      <c r="C5897" t="str">
        <f t="shared" si="386"/>
        <v>706</v>
      </c>
      <c r="D5897" t="s">
        <v>28</v>
      </c>
      <c r="E5897" t="s">
        <v>29</v>
      </c>
      <c r="F5897" t="s">
        <v>1004</v>
      </c>
      <c r="G5897" t="s">
        <v>2365</v>
      </c>
      <c r="H5897" t="str">
        <f>"94993"</f>
        <v>94993</v>
      </c>
      <c r="I5897" t="s">
        <v>50</v>
      </c>
    </row>
    <row r="5898" spans="1:26" x14ac:dyDescent="0.3">
      <c r="A5898" t="str">
        <f>"22860771"</f>
        <v>22860771</v>
      </c>
      <c r="B5898" t="s">
        <v>11076</v>
      </c>
      <c r="C5898" t="str">
        <f t="shared" si="386"/>
        <v>706</v>
      </c>
      <c r="D5898" t="s">
        <v>28</v>
      </c>
      <c r="E5898" t="s">
        <v>52</v>
      </c>
      <c r="F5898" t="s">
        <v>65</v>
      </c>
      <c r="G5898" t="s">
        <v>11077</v>
      </c>
      <c r="H5898" t="str">
        <f>"94993"</f>
        <v>94993</v>
      </c>
      <c r="I5898" t="s">
        <v>50</v>
      </c>
    </row>
    <row r="5899" spans="1:26" x14ac:dyDescent="0.3">
      <c r="A5899" t="str">
        <f>"22749675"</f>
        <v>22749675</v>
      </c>
      <c r="B5899" t="s">
        <v>11078</v>
      </c>
      <c r="C5899" t="str">
        <f>"736"</f>
        <v>736</v>
      </c>
      <c r="D5899" t="s">
        <v>22</v>
      </c>
      <c r="E5899" t="s">
        <v>52</v>
      </c>
      <c r="F5899" t="s">
        <v>612</v>
      </c>
      <c r="G5899" t="s">
        <v>963</v>
      </c>
      <c r="H5899" t="str">
        <f>"9499"</f>
        <v>9499</v>
      </c>
      <c r="I5899" t="s">
        <v>31</v>
      </c>
    </row>
    <row r="5900" spans="1:26" x14ac:dyDescent="0.3">
      <c r="A5900" t="str">
        <f>"08203148"</f>
        <v>08203148</v>
      </c>
      <c r="B5900" t="s">
        <v>11079</v>
      </c>
      <c r="C5900" t="str">
        <f>"706"</f>
        <v>706</v>
      </c>
      <c r="D5900" t="s">
        <v>28</v>
      </c>
      <c r="E5900" t="s">
        <v>52</v>
      </c>
      <c r="F5900" t="s">
        <v>274</v>
      </c>
      <c r="G5900" t="s">
        <v>11080</v>
      </c>
      <c r="H5900" t="str">
        <f>"94993"</f>
        <v>94993</v>
      </c>
      <c r="I5900" t="s">
        <v>50</v>
      </c>
    </row>
    <row r="5901" spans="1:26" x14ac:dyDescent="0.3">
      <c r="A5901" t="str">
        <f>"02231158"</f>
        <v>02231158</v>
      </c>
      <c r="B5901" t="s">
        <v>11081</v>
      </c>
      <c r="C5901" t="str">
        <f>"706"</f>
        <v>706</v>
      </c>
      <c r="D5901" t="s">
        <v>28</v>
      </c>
      <c r="E5901" t="s">
        <v>23</v>
      </c>
      <c r="F5901" t="s">
        <v>23</v>
      </c>
      <c r="G5901" t="s">
        <v>7641</v>
      </c>
      <c r="H5901" t="str">
        <f>"9499"</f>
        <v>9499</v>
      </c>
      <c r="I5901" t="s">
        <v>31</v>
      </c>
    </row>
    <row r="5902" spans="1:26" x14ac:dyDescent="0.3">
      <c r="A5902" t="str">
        <f>"04095642"</f>
        <v>04095642</v>
      </c>
      <c r="B5902" t="s">
        <v>11082</v>
      </c>
      <c r="C5902" t="str">
        <f>"706"</f>
        <v>706</v>
      </c>
      <c r="D5902" t="s">
        <v>28</v>
      </c>
      <c r="E5902" t="s">
        <v>23</v>
      </c>
      <c r="F5902" t="s">
        <v>23</v>
      </c>
      <c r="G5902" t="s">
        <v>11083</v>
      </c>
      <c r="H5902" t="str">
        <f>"9499"</f>
        <v>9499</v>
      </c>
      <c r="I5902" t="s">
        <v>31</v>
      </c>
    </row>
    <row r="5903" spans="1:26" x14ac:dyDescent="0.3">
      <c r="A5903" t="str">
        <f>"06273777"</f>
        <v>06273777</v>
      </c>
      <c r="B5903" t="s">
        <v>11084</v>
      </c>
      <c r="C5903" t="str">
        <f>"706"</f>
        <v>706</v>
      </c>
      <c r="D5903" t="s">
        <v>28</v>
      </c>
      <c r="E5903" t="s">
        <v>23</v>
      </c>
      <c r="F5903" t="s">
        <v>23</v>
      </c>
      <c r="G5903" t="s">
        <v>11085</v>
      </c>
      <c r="H5903" t="str">
        <f>"9499"</f>
        <v>9499</v>
      </c>
      <c r="I5903" t="s">
        <v>31</v>
      </c>
    </row>
    <row r="5904" spans="1:26" x14ac:dyDescent="0.3">
      <c r="A5904" t="str">
        <f>"29293979"</f>
        <v>29293979</v>
      </c>
      <c r="B5904" t="s">
        <v>11086</v>
      </c>
      <c r="C5904" t="str">
        <f>"141"</f>
        <v>141</v>
      </c>
      <c r="D5904" t="s">
        <v>112</v>
      </c>
      <c r="E5904" t="s">
        <v>52</v>
      </c>
      <c r="F5904" t="s">
        <v>234</v>
      </c>
      <c r="G5904" t="s">
        <v>3697</v>
      </c>
      <c r="H5904" t="str">
        <f>"87900"</f>
        <v>87900</v>
      </c>
      <c r="I5904" t="s">
        <v>1187</v>
      </c>
      <c r="J5904" t="s">
        <v>155</v>
      </c>
      <c r="K5904" t="s">
        <v>258</v>
      </c>
      <c r="L5904" t="s">
        <v>2348</v>
      </c>
      <c r="M5904" t="s">
        <v>903</v>
      </c>
      <c r="N5904" t="s">
        <v>156</v>
      </c>
      <c r="O5904" t="s">
        <v>5266</v>
      </c>
      <c r="P5904" t="s">
        <v>159</v>
      </c>
      <c r="Q5904" t="s">
        <v>146</v>
      </c>
      <c r="R5904" t="s">
        <v>1135</v>
      </c>
      <c r="S5904" t="s">
        <v>989</v>
      </c>
      <c r="T5904" t="s">
        <v>262</v>
      </c>
      <c r="U5904" t="s">
        <v>2893</v>
      </c>
      <c r="V5904" t="s">
        <v>905</v>
      </c>
      <c r="W5904" t="str">
        <f>"90020"</f>
        <v>90020</v>
      </c>
      <c r="X5904" t="s">
        <v>163</v>
      </c>
      <c r="Y5904" t="str">
        <f>"95220"</f>
        <v>95220</v>
      </c>
      <c r="Z5904" t="s">
        <v>4236</v>
      </c>
    </row>
    <row r="5905" spans="1:9" x14ac:dyDescent="0.3">
      <c r="A5905" t="str">
        <f>"62330110"</f>
        <v>62330110</v>
      </c>
      <c r="B5905" t="s">
        <v>11087</v>
      </c>
      <c r="C5905" t="str">
        <f t="shared" ref="C5905:C5910" si="388">"736"</f>
        <v>736</v>
      </c>
      <c r="D5905" t="s">
        <v>22</v>
      </c>
      <c r="E5905" t="s">
        <v>29</v>
      </c>
      <c r="F5905" t="s">
        <v>1221</v>
      </c>
      <c r="G5905" t="s">
        <v>11088</v>
      </c>
      <c r="H5905" t="str">
        <f>"9499"</f>
        <v>9499</v>
      </c>
      <c r="I5905" t="s">
        <v>31</v>
      </c>
    </row>
    <row r="5906" spans="1:9" x14ac:dyDescent="0.3">
      <c r="A5906" t="str">
        <f>"48473189"</f>
        <v>48473189</v>
      </c>
      <c r="B5906" t="s">
        <v>11089</v>
      </c>
      <c r="C5906" t="str">
        <f t="shared" si="388"/>
        <v>736</v>
      </c>
      <c r="D5906" t="s">
        <v>22</v>
      </c>
      <c r="E5906" t="s">
        <v>23</v>
      </c>
      <c r="F5906" t="s">
        <v>24</v>
      </c>
      <c r="G5906" t="s">
        <v>11090</v>
      </c>
      <c r="H5906" t="str">
        <f>"94993"</f>
        <v>94993</v>
      </c>
      <c r="I5906" t="s">
        <v>50</v>
      </c>
    </row>
    <row r="5907" spans="1:9" x14ac:dyDescent="0.3">
      <c r="A5907" t="str">
        <f>"75003198"</f>
        <v>75003198</v>
      </c>
      <c r="B5907" t="s">
        <v>11091</v>
      </c>
      <c r="C5907" t="str">
        <f t="shared" si="388"/>
        <v>736</v>
      </c>
      <c r="D5907" t="s">
        <v>22</v>
      </c>
      <c r="E5907" t="s">
        <v>29</v>
      </c>
      <c r="F5907" t="s">
        <v>681</v>
      </c>
      <c r="G5907" t="s">
        <v>11092</v>
      </c>
      <c r="H5907" t="str">
        <f>"94993"</f>
        <v>94993</v>
      </c>
      <c r="I5907" t="s">
        <v>50</v>
      </c>
    </row>
    <row r="5908" spans="1:9" x14ac:dyDescent="0.3">
      <c r="A5908" t="str">
        <f>"75149958"</f>
        <v>75149958</v>
      </c>
      <c r="B5908" t="s">
        <v>11093</v>
      </c>
      <c r="C5908" t="str">
        <f t="shared" si="388"/>
        <v>736</v>
      </c>
      <c r="D5908" t="s">
        <v>22</v>
      </c>
      <c r="E5908" t="s">
        <v>52</v>
      </c>
      <c r="F5908" t="s">
        <v>234</v>
      </c>
      <c r="G5908" t="s">
        <v>8849</v>
      </c>
      <c r="H5908" t="str">
        <f>"94993"</f>
        <v>94993</v>
      </c>
      <c r="I5908" t="s">
        <v>50</v>
      </c>
    </row>
    <row r="5909" spans="1:9" x14ac:dyDescent="0.3">
      <c r="A5909" t="str">
        <f>"05693462"</f>
        <v>05693462</v>
      </c>
      <c r="B5909" t="s">
        <v>11094</v>
      </c>
      <c r="C5909" t="str">
        <f t="shared" si="388"/>
        <v>736</v>
      </c>
      <c r="D5909" t="s">
        <v>22</v>
      </c>
      <c r="E5909" t="s">
        <v>29</v>
      </c>
      <c r="F5909" t="s">
        <v>29</v>
      </c>
      <c r="G5909" t="s">
        <v>11095</v>
      </c>
      <c r="H5909" t="str">
        <f>"94993"</f>
        <v>94993</v>
      </c>
      <c r="I5909" t="s">
        <v>50</v>
      </c>
    </row>
    <row r="5910" spans="1:9" x14ac:dyDescent="0.3">
      <c r="A5910" t="str">
        <f>"17066611"</f>
        <v>17066611</v>
      </c>
      <c r="B5910" t="s">
        <v>11096</v>
      </c>
      <c r="C5910" t="str">
        <f t="shared" si="388"/>
        <v>736</v>
      </c>
      <c r="D5910" t="s">
        <v>22</v>
      </c>
      <c r="E5910" t="s">
        <v>83</v>
      </c>
      <c r="F5910" t="s">
        <v>83</v>
      </c>
      <c r="G5910" t="s">
        <v>11097</v>
      </c>
      <c r="H5910" t="str">
        <f>"94993"</f>
        <v>94993</v>
      </c>
      <c r="I5910" t="s">
        <v>50</v>
      </c>
    </row>
    <row r="5911" spans="1:9" x14ac:dyDescent="0.3">
      <c r="A5911" t="str">
        <f>"22716033"</f>
        <v>22716033</v>
      </c>
      <c r="B5911" t="s">
        <v>11098</v>
      </c>
      <c r="C5911" t="str">
        <f t="shared" ref="C5911:C5924" si="389">"706"</f>
        <v>706</v>
      </c>
      <c r="D5911" t="s">
        <v>28</v>
      </c>
      <c r="E5911" t="s">
        <v>29</v>
      </c>
      <c r="F5911" t="s">
        <v>29</v>
      </c>
      <c r="G5911" t="s">
        <v>6248</v>
      </c>
      <c r="H5911" t="str">
        <f t="shared" ref="H5911:H5916" si="390">"9499"</f>
        <v>9499</v>
      </c>
      <c r="I5911" t="s">
        <v>31</v>
      </c>
    </row>
    <row r="5912" spans="1:9" x14ac:dyDescent="0.3">
      <c r="A5912" t="str">
        <f>"70893144"</f>
        <v>70893144</v>
      </c>
      <c r="B5912" t="s">
        <v>11099</v>
      </c>
      <c r="C5912" t="str">
        <f t="shared" si="389"/>
        <v>706</v>
      </c>
      <c r="D5912" t="s">
        <v>28</v>
      </c>
      <c r="E5912" t="s">
        <v>52</v>
      </c>
      <c r="F5912" t="s">
        <v>52</v>
      </c>
      <c r="G5912" t="s">
        <v>1240</v>
      </c>
      <c r="H5912" t="str">
        <f t="shared" si="390"/>
        <v>9499</v>
      </c>
      <c r="I5912" t="s">
        <v>31</v>
      </c>
    </row>
    <row r="5913" spans="1:9" x14ac:dyDescent="0.3">
      <c r="A5913" t="str">
        <f>"22822704"</f>
        <v>22822704</v>
      </c>
      <c r="B5913" t="s">
        <v>11100</v>
      </c>
      <c r="C5913" t="str">
        <f t="shared" si="389"/>
        <v>706</v>
      </c>
      <c r="D5913" t="s">
        <v>28</v>
      </c>
      <c r="E5913" t="s">
        <v>52</v>
      </c>
      <c r="F5913" t="s">
        <v>52</v>
      </c>
      <c r="G5913" t="s">
        <v>439</v>
      </c>
      <c r="H5913" t="str">
        <f t="shared" si="390"/>
        <v>9499</v>
      </c>
      <c r="I5913" t="s">
        <v>31</v>
      </c>
    </row>
    <row r="5914" spans="1:9" x14ac:dyDescent="0.3">
      <c r="A5914" t="str">
        <f>"05653801"</f>
        <v>05653801</v>
      </c>
      <c r="B5914" t="s">
        <v>11101</v>
      </c>
      <c r="C5914" t="str">
        <f t="shared" si="389"/>
        <v>706</v>
      </c>
      <c r="D5914" t="s">
        <v>28</v>
      </c>
      <c r="E5914" t="s">
        <v>52</v>
      </c>
      <c r="F5914" t="s">
        <v>113</v>
      </c>
      <c r="G5914" t="s">
        <v>11102</v>
      </c>
      <c r="H5914" t="str">
        <f t="shared" si="390"/>
        <v>9499</v>
      </c>
      <c r="I5914" t="s">
        <v>31</v>
      </c>
    </row>
    <row r="5915" spans="1:9" x14ac:dyDescent="0.3">
      <c r="A5915" t="str">
        <f>"22875832"</f>
        <v>22875832</v>
      </c>
      <c r="B5915" t="s">
        <v>11103</v>
      </c>
      <c r="C5915" t="str">
        <f t="shared" si="389"/>
        <v>706</v>
      </c>
      <c r="D5915" t="s">
        <v>28</v>
      </c>
      <c r="E5915" t="s">
        <v>52</v>
      </c>
      <c r="F5915" t="s">
        <v>113</v>
      </c>
      <c r="G5915" t="s">
        <v>11104</v>
      </c>
      <c r="H5915" t="str">
        <f t="shared" si="390"/>
        <v>9499</v>
      </c>
      <c r="I5915" t="s">
        <v>31</v>
      </c>
    </row>
    <row r="5916" spans="1:9" x14ac:dyDescent="0.3">
      <c r="A5916" t="str">
        <f>"02022281"</f>
        <v>02022281</v>
      </c>
      <c r="B5916" t="s">
        <v>11105</v>
      </c>
      <c r="C5916" t="str">
        <f t="shared" si="389"/>
        <v>706</v>
      </c>
      <c r="D5916" t="s">
        <v>28</v>
      </c>
      <c r="E5916" t="s">
        <v>52</v>
      </c>
      <c r="F5916" t="s">
        <v>514</v>
      </c>
      <c r="G5916" t="s">
        <v>11106</v>
      </c>
      <c r="H5916" t="str">
        <f t="shared" si="390"/>
        <v>9499</v>
      </c>
      <c r="I5916" t="s">
        <v>31</v>
      </c>
    </row>
    <row r="5917" spans="1:9" x14ac:dyDescent="0.3">
      <c r="A5917" t="str">
        <f>"06298087"</f>
        <v>06298087</v>
      </c>
      <c r="B5917" t="s">
        <v>11107</v>
      </c>
      <c r="C5917" t="str">
        <f t="shared" si="389"/>
        <v>706</v>
      </c>
      <c r="D5917" t="s">
        <v>28</v>
      </c>
      <c r="E5917" t="s">
        <v>83</v>
      </c>
      <c r="F5917" t="s">
        <v>537</v>
      </c>
      <c r="G5917" t="s">
        <v>11108</v>
      </c>
      <c r="H5917" t="str">
        <f>"94996"</f>
        <v>94996</v>
      </c>
      <c r="I5917" t="s">
        <v>47</v>
      </c>
    </row>
    <row r="5918" spans="1:9" x14ac:dyDescent="0.3">
      <c r="A5918" t="str">
        <f>"01172816"</f>
        <v>01172816</v>
      </c>
      <c r="B5918" t="s">
        <v>11109</v>
      </c>
      <c r="C5918" t="str">
        <f t="shared" si="389"/>
        <v>706</v>
      </c>
      <c r="D5918" t="s">
        <v>28</v>
      </c>
      <c r="E5918" t="s">
        <v>23</v>
      </c>
      <c r="F5918" t="s">
        <v>24</v>
      </c>
      <c r="G5918" t="s">
        <v>11110</v>
      </c>
      <c r="H5918" t="str">
        <f>"93110"</f>
        <v>93110</v>
      </c>
      <c r="I5918" t="s">
        <v>92</v>
      </c>
    </row>
    <row r="5919" spans="1:9" x14ac:dyDescent="0.3">
      <c r="A5919" t="str">
        <f>"14090414"</f>
        <v>14090414</v>
      </c>
      <c r="B5919" t="s">
        <v>11111</v>
      </c>
      <c r="C5919" t="str">
        <f t="shared" si="389"/>
        <v>706</v>
      </c>
      <c r="D5919" t="s">
        <v>28</v>
      </c>
      <c r="E5919" t="s">
        <v>23</v>
      </c>
      <c r="F5919" t="s">
        <v>23</v>
      </c>
      <c r="G5919" t="s">
        <v>464</v>
      </c>
      <c r="H5919" t="str">
        <f>"9499"</f>
        <v>9499</v>
      </c>
      <c r="I5919" t="s">
        <v>31</v>
      </c>
    </row>
    <row r="5920" spans="1:9" x14ac:dyDescent="0.3">
      <c r="A5920" t="str">
        <f>"17351294"</f>
        <v>17351294</v>
      </c>
      <c r="B5920" t="s">
        <v>11112</v>
      </c>
      <c r="C5920" t="str">
        <f t="shared" si="389"/>
        <v>706</v>
      </c>
      <c r="D5920" t="s">
        <v>28</v>
      </c>
      <c r="E5920" t="s">
        <v>83</v>
      </c>
      <c r="F5920" t="s">
        <v>537</v>
      </c>
      <c r="G5920" t="s">
        <v>11108</v>
      </c>
      <c r="H5920" t="str">
        <f>"9499"</f>
        <v>9499</v>
      </c>
      <c r="I5920" t="s">
        <v>31</v>
      </c>
    </row>
    <row r="5921" spans="1:12" x14ac:dyDescent="0.3">
      <c r="A5921" t="str">
        <f>"15531295"</f>
        <v>15531295</v>
      </c>
      <c r="B5921" t="s">
        <v>11113</v>
      </c>
      <c r="C5921" t="str">
        <f t="shared" si="389"/>
        <v>706</v>
      </c>
      <c r="D5921" t="s">
        <v>28</v>
      </c>
      <c r="E5921" t="s">
        <v>52</v>
      </c>
      <c r="F5921" t="s">
        <v>52</v>
      </c>
      <c r="G5921" t="s">
        <v>11114</v>
      </c>
      <c r="H5921" t="str">
        <f>"9499"</f>
        <v>9499</v>
      </c>
      <c r="I5921" t="s">
        <v>31</v>
      </c>
      <c r="J5921" t="s">
        <v>59</v>
      </c>
    </row>
    <row r="5922" spans="1:12" x14ac:dyDescent="0.3">
      <c r="A5922" t="str">
        <f>"18190120"</f>
        <v>18190120</v>
      </c>
      <c r="B5922" t="s">
        <v>11115</v>
      </c>
      <c r="C5922" t="str">
        <f t="shared" si="389"/>
        <v>706</v>
      </c>
      <c r="D5922" t="s">
        <v>28</v>
      </c>
      <c r="E5922" t="s">
        <v>83</v>
      </c>
      <c r="F5922" t="s">
        <v>83</v>
      </c>
      <c r="G5922" t="s">
        <v>11116</v>
      </c>
      <c r="H5922" t="str">
        <f>"9499"</f>
        <v>9499</v>
      </c>
      <c r="I5922" t="s">
        <v>31</v>
      </c>
    </row>
    <row r="5923" spans="1:12" x14ac:dyDescent="0.3">
      <c r="A5923" t="str">
        <f>"26627108"</f>
        <v>26627108</v>
      </c>
      <c r="B5923" t="s">
        <v>11117</v>
      </c>
      <c r="C5923" t="str">
        <f t="shared" si="389"/>
        <v>706</v>
      </c>
      <c r="D5923" t="s">
        <v>28</v>
      </c>
      <c r="E5923" t="s">
        <v>23</v>
      </c>
      <c r="F5923" t="s">
        <v>23</v>
      </c>
      <c r="G5923" t="s">
        <v>11118</v>
      </c>
      <c r="H5923" t="str">
        <f>"9499"</f>
        <v>9499</v>
      </c>
      <c r="I5923" t="s">
        <v>31</v>
      </c>
    </row>
    <row r="5924" spans="1:12" x14ac:dyDescent="0.3">
      <c r="A5924" t="str">
        <f>"06859551"</f>
        <v>06859551</v>
      </c>
      <c r="B5924" t="s">
        <v>11119</v>
      </c>
      <c r="C5924" t="str">
        <f t="shared" si="389"/>
        <v>706</v>
      </c>
      <c r="D5924" t="s">
        <v>28</v>
      </c>
      <c r="E5924" t="s">
        <v>83</v>
      </c>
      <c r="F5924" t="s">
        <v>944</v>
      </c>
      <c r="G5924" t="s">
        <v>11120</v>
      </c>
      <c r="H5924" t="str">
        <f>"94991"</f>
        <v>94991</v>
      </c>
      <c r="I5924" t="s">
        <v>433</v>
      </c>
    </row>
    <row r="5925" spans="1:12" x14ac:dyDescent="0.3">
      <c r="A5925" t="str">
        <f>"75046351"</f>
        <v>75046351</v>
      </c>
      <c r="B5925" t="s">
        <v>11121</v>
      </c>
      <c r="C5925" t="str">
        <f>"736"</f>
        <v>736</v>
      </c>
      <c r="D5925" t="s">
        <v>22</v>
      </c>
      <c r="E5925" t="s">
        <v>23</v>
      </c>
      <c r="F5925" t="s">
        <v>1880</v>
      </c>
      <c r="G5925" t="s">
        <v>8425</v>
      </c>
      <c r="H5925" t="str">
        <f>"9499"</f>
        <v>9499</v>
      </c>
      <c r="I5925" t="s">
        <v>31</v>
      </c>
    </row>
    <row r="5926" spans="1:12" x14ac:dyDescent="0.3">
      <c r="A5926" t="str">
        <f>"71251626"</f>
        <v>71251626</v>
      </c>
      <c r="B5926" t="s">
        <v>11122</v>
      </c>
      <c r="C5926" t="str">
        <f>"736"</f>
        <v>736</v>
      </c>
      <c r="D5926" t="s">
        <v>22</v>
      </c>
      <c r="E5926" t="s">
        <v>23</v>
      </c>
      <c r="F5926" t="s">
        <v>350</v>
      </c>
      <c r="G5926" t="s">
        <v>4582</v>
      </c>
      <c r="H5926" t="str">
        <f>"9499"</f>
        <v>9499</v>
      </c>
      <c r="I5926" t="s">
        <v>31</v>
      </c>
      <c r="J5926" t="s">
        <v>260</v>
      </c>
      <c r="K5926" t="s">
        <v>161</v>
      </c>
      <c r="L5926" t="s">
        <v>209</v>
      </c>
    </row>
    <row r="5927" spans="1:12" x14ac:dyDescent="0.3">
      <c r="A5927" t="str">
        <f>"75092506"</f>
        <v>75092506</v>
      </c>
      <c r="B5927" t="s">
        <v>11123</v>
      </c>
      <c r="C5927" t="str">
        <f>"736"</f>
        <v>736</v>
      </c>
      <c r="D5927" t="s">
        <v>22</v>
      </c>
      <c r="E5927" t="s">
        <v>23</v>
      </c>
      <c r="F5927" t="s">
        <v>721</v>
      </c>
      <c r="G5927" t="s">
        <v>11124</v>
      </c>
      <c r="H5927" t="str">
        <f>"9499"</f>
        <v>9499</v>
      </c>
      <c r="I5927" t="s">
        <v>31</v>
      </c>
      <c r="J5927" t="s">
        <v>126</v>
      </c>
    </row>
    <row r="5928" spans="1:12" x14ac:dyDescent="0.3">
      <c r="A5928" t="str">
        <f>"26609479"</f>
        <v>26609479</v>
      </c>
      <c r="B5928" t="s">
        <v>11125</v>
      </c>
      <c r="C5928" t="str">
        <f t="shared" ref="C5928:C5934" si="391">"706"</f>
        <v>706</v>
      </c>
      <c r="D5928" t="s">
        <v>28</v>
      </c>
      <c r="E5928" t="s">
        <v>23</v>
      </c>
      <c r="F5928" t="s">
        <v>350</v>
      </c>
      <c r="G5928" t="s">
        <v>4582</v>
      </c>
      <c r="H5928" t="str">
        <f>"9499"</f>
        <v>9499</v>
      </c>
      <c r="I5928" t="s">
        <v>31</v>
      </c>
      <c r="J5928" t="s">
        <v>258</v>
      </c>
      <c r="K5928" t="s">
        <v>260</v>
      </c>
      <c r="L5928" t="s">
        <v>11126</v>
      </c>
    </row>
    <row r="5929" spans="1:12" x14ac:dyDescent="0.3">
      <c r="A5929" t="str">
        <f>"22680489"</f>
        <v>22680489</v>
      </c>
      <c r="B5929" t="s">
        <v>11127</v>
      </c>
      <c r="C5929" t="str">
        <f t="shared" si="391"/>
        <v>706</v>
      </c>
      <c r="D5929" t="s">
        <v>28</v>
      </c>
      <c r="E5929" t="s">
        <v>23</v>
      </c>
      <c r="F5929" t="s">
        <v>23</v>
      </c>
      <c r="G5929" t="s">
        <v>11128</v>
      </c>
      <c r="H5929" t="str">
        <f>"94991"</f>
        <v>94991</v>
      </c>
      <c r="I5929" t="s">
        <v>433</v>
      </c>
    </row>
    <row r="5930" spans="1:12" x14ac:dyDescent="0.3">
      <c r="A5930" t="str">
        <f>"07695977"</f>
        <v>07695977</v>
      </c>
      <c r="B5930" t="s">
        <v>11129</v>
      </c>
      <c r="C5930" t="str">
        <f t="shared" si="391"/>
        <v>706</v>
      </c>
      <c r="D5930" t="s">
        <v>28</v>
      </c>
      <c r="E5930" t="s">
        <v>23</v>
      </c>
      <c r="F5930" t="s">
        <v>23</v>
      </c>
      <c r="G5930" t="s">
        <v>279</v>
      </c>
      <c r="H5930" t="str">
        <f>"9499"</f>
        <v>9499</v>
      </c>
      <c r="I5930" t="s">
        <v>31</v>
      </c>
    </row>
    <row r="5931" spans="1:12" x14ac:dyDescent="0.3">
      <c r="A5931" t="str">
        <f>"00563439"</f>
        <v>00563439</v>
      </c>
      <c r="B5931" t="s">
        <v>11130</v>
      </c>
      <c r="C5931" t="str">
        <f t="shared" si="391"/>
        <v>706</v>
      </c>
      <c r="D5931" t="s">
        <v>28</v>
      </c>
      <c r="E5931" t="s">
        <v>52</v>
      </c>
      <c r="F5931" t="s">
        <v>113</v>
      </c>
      <c r="G5931" t="s">
        <v>11131</v>
      </c>
      <c r="H5931" t="str">
        <f>"9499"</f>
        <v>9499</v>
      </c>
      <c r="I5931" t="s">
        <v>31</v>
      </c>
    </row>
    <row r="5932" spans="1:12" x14ac:dyDescent="0.3">
      <c r="A5932" t="str">
        <f>"67028144"</f>
        <v>67028144</v>
      </c>
      <c r="B5932" t="s">
        <v>11132</v>
      </c>
      <c r="C5932" t="str">
        <f t="shared" si="391"/>
        <v>706</v>
      </c>
      <c r="D5932" t="s">
        <v>28</v>
      </c>
      <c r="E5932" t="s">
        <v>23</v>
      </c>
      <c r="F5932" t="s">
        <v>23</v>
      </c>
      <c r="G5932" t="s">
        <v>11133</v>
      </c>
      <c r="H5932" t="str">
        <f>"889"</f>
        <v>889</v>
      </c>
      <c r="I5932" t="s">
        <v>5965</v>
      </c>
    </row>
    <row r="5933" spans="1:12" x14ac:dyDescent="0.3">
      <c r="A5933" t="str">
        <f>"02442388"</f>
        <v>02442388</v>
      </c>
      <c r="B5933" t="s">
        <v>11134</v>
      </c>
      <c r="C5933" t="str">
        <f t="shared" si="391"/>
        <v>706</v>
      </c>
      <c r="D5933" t="s">
        <v>28</v>
      </c>
      <c r="E5933" t="s">
        <v>29</v>
      </c>
      <c r="F5933" t="s">
        <v>195</v>
      </c>
      <c r="G5933" t="s">
        <v>11135</v>
      </c>
      <c r="H5933" t="str">
        <f>"9499"</f>
        <v>9499</v>
      </c>
      <c r="I5933" t="s">
        <v>31</v>
      </c>
    </row>
    <row r="5934" spans="1:12" x14ac:dyDescent="0.3">
      <c r="A5934" t="str">
        <f>"22725989"</f>
        <v>22725989</v>
      </c>
      <c r="B5934" t="s">
        <v>11136</v>
      </c>
      <c r="C5934" t="str">
        <f t="shared" si="391"/>
        <v>706</v>
      </c>
      <c r="D5934" t="s">
        <v>28</v>
      </c>
      <c r="E5934" t="s">
        <v>23</v>
      </c>
      <c r="F5934" t="s">
        <v>23</v>
      </c>
      <c r="G5934" t="s">
        <v>6747</v>
      </c>
      <c r="H5934" t="str">
        <f>"9499"</f>
        <v>9499</v>
      </c>
      <c r="I5934" t="s">
        <v>31</v>
      </c>
    </row>
    <row r="5935" spans="1:12" x14ac:dyDescent="0.3">
      <c r="A5935" t="str">
        <f>"06519342"</f>
        <v>06519342</v>
      </c>
      <c r="B5935" t="s">
        <v>11137</v>
      </c>
      <c r="C5935" t="str">
        <f>"706"</f>
        <v>706</v>
      </c>
      <c r="D5935" t="s">
        <v>28</v>
      </c>
      <c r="E5935" t="s">
        <v>29</v>
      </c>
      <c r="F5935" t="s">
        <v>1266</v>
      </c>
      <c r="G5935" t="s">
        <v>11138</v>
      </c>
      <c r="H5935" t="str">
        <f>"9499"</f>
        <v>9499</v>
      </c>
      <c r="I5935" t="s">
        <v>31</v>
      </c>
    </row>
    <row r="5936" spans="1:12" x14ac:dyDescent="0.3">
      <c r="A5936" t="str">
        <f>"06056482"</f>
        <v>06056482</v>
      </c>
      <c r="B5936" t="s">
        <v>11139</v>
      </c>
      <c r="C5936" t="str">
        <f>"706"</f>
        <v>706</v>
      </c>
      <c r="D5936" t="s">
        <v>28</v>
      </c>
      <c r="E5936" t="s">
        <v>52</v>
      </c>
      <c r="F5936" t="s">
        <v>113</v>
      </c>
      <c r="G5936" t="s">
        <v>11140</v>
      </c>
      <c r="H5936" t="str">
        <f>"94999"</f>
        <v>94999</v>
      </c>
      <c r="I5936" t="s">
        <v>202</v>
      </c>
    </row>
    <row r="5937" spans="1:9" x14ac:dyDescent="0.3">
      <c r="A5937" t="str">
        <f>"18190111"</f>
        <v>18190111</v>
      </c>
      <c r="B5937" t="s">
        <v>11141</v>
      </c>
      <c r="C5937" t="str">
        <f>"736"</f>
        <v>736</v>
      </c>
      <c r="D5937" t="s">
        <v>22</v>
      </c>
      <c r="E5937" t="s">
        <v>83</v>
      </c>
      <c r="F5937" t="s">
        <v>83</v>
      </c>
      <c r="G5937" t="s">
        <v>11142</v>
      </c>
      <c r="H5937" t="str">
        <f>"94996"</f>
        <v>94996</v>
      </c>
      <c r="I5937" t="s">
        <v>47</v>
      </c>
    </row>
    <row r="5938" spans="1:9" x14ac:dyDescent="0.3">
      <c r="A5938" t="str">
        <f>"75060230"</f>
        <v>75060230</v>
      </c>
      <c r="B5938" t="s">
        <v>11143</v>
      </c>
      <c r="C5938" t="str">
        <f>"736"</f>
        <v>736</v>
      </c>
      <c r="D5938" t="s">
        <v>22</v>
      </c>
      <c r="E5938" t="s">
        <v>29</v>
      </c>
      <c r="F5938" t="s">
        <v>29</v>
      </c>
      <c r="G5938" t="s">
        <v>10194</v>
      </c>
      <c r="H5938" t="str">
        <f>"94996"</f>
        <v>94996</v>
      </c>
      <c r="I5938" t="s">
        <v>47</v>
      </c>
    </row>
    <row r="5939" spans="1:9" x14ac:dyDescent="0.3">
      <c r="A5939" t="str">
        <f>"06959598"</f>
        <v>06959598</v>
      </c>
      <c r="B5939" t="s">
        <v>11144</v>
      </c>
      <c r="C5939" t="str">
        <f t="shared" ref="C5939:C5945" si="392">"706"</f>
        <v>706</v>
      </c>
      <c r="D5939" t="s">
        <v>28</v>
      </c>
      <c r="E5939" t="s">
        <v>52</v>
      </c>
      <c r="F5939" t="s">
        <v>52</v>
      </c>
      <c r="G5939" t="s">
        <v>11145</v>
      </c>
      <c r="H5939" t="str">
        <f>"9499"</f>
        <v>9499</v>
      </c>
      <c r="I5939" t="s">
        <v>31</v>
      </c>
    </row>
    <row r="5940" spans="1:9" x14ac:dyDescent="0.3">
      <c r="A5940" t="str">
        <f>"23002883"</f>
        <v>23002883</v>
      </c>
      <c r="B5940" t="s">
        <v>11146</v>
      </c>
      <c r="C5940" t="str">
        <f t="shared" si="392"/>
        <v>706</v>
      </c>
      <c r="D5940" t="s">
        <v>28</v>
      </c>
      <c r="E5940" t="s">
        <v>52</v>
      </c>
      <c r="F5940" t="s">
        <v>52</v>
      </c>
      <c r="G5940" t="s">
        <v>11147</v>
      </c>
      <c r="H5940" t="str">
        <f>"9499"</f>
        <v>9499</v>
      </c>
      <c r="I5940" t="s">
        <v>31</v>
      </c>
    </row>
    <row r="5941" spans="1:9" x14ac:dyDescent="0.3">
      <c r="A5941" t="str">
        <f>"04633474"</f>
        <v>04633474</v>
      </c>
      <c r="B5941" t="s">
        <v>11148</v>
      </c>
      <c r="C5941" t="str">
        <f t="shared" si="392"/>
        <v>706</v>
      </c>
      <c r="D5941" t="s">
        <v>28</v>
      </c>
      <c r="E5941" t="s">
        <v>23</v>
      </c>
      <c r="F5941" t="s">
        <v>23</v>
      </c>
      <c r="G5941" t="s">
        <v>11149</v>
      </c>
      <c r="H5941" t="str">
        <f>"93120"</f>
        <v>93120</v>
      </c>
      <c r="I5941" t="s">
        <v>54</v>
      </c>
    </row>
    <row r="5942" spans="1:9" x14ac:dyDescent="0.3">
      <c r="A5942" t="str">
        <f>"02254433"</f>
        <v>02254433</v>
      </c>
      <c r="B5942" t="s">
        <v>11150</v>
      </c>
      <c r="C5942" t="str">
        <f t="shared" si="392"/>
        <v>706</v>
      </c>
      <c r="D5942" t="s">
        <v>28</v>
      </c>
      <c r="E5942" t="s">
        <v>23</v>
      </c>
      <c r="F5942" t="s">
        <v>1063</v>
      </c>
      <c r="G5942" t="s">
        <v>6796</v>
      </c>
      <c r="H5942" t="str">
        <f>"9499"</f>
        <v>9499</v>
      </c>
      <c r="I5942" t="s">
        <v>31</v>
      </c>
    </row>
    <row r="5943" spans="1:9" x14ac:dyDescent="0.3">
      <c r="A5943" t="str">
        <f>"03642259"</f>
        <v>03642259</v>
      </c>
      <c r="B5943" t="s">
        <v>11151</v>
      </c>
      <c r="C5943" t="str">
        <f t="shared" si="392"/>
        <v>706</v>
      </c>
      <c r="D5943" t="s">
        <v>28</v>
      </c>
      <c r="E5943" t="s">
        <v>29</v>
      </c>
      <c r="F5943" t="s">
        <v>29</v>
      </c>
      <c r="G5943" t="s">
        <v>4280</v>
      </c>
      <c r="H5943" t="str">
        <f>"9499"</f>
        <v>9499</v>
      </c>
      <c r="I5943" t="s">
        <v>31</v>
      </c>
    </row>
    <row r="5944" spans="1:9" x14ac:dyDescent="0.3">
      <c r="A5944" t="str">
        <f>"03467643"</f>
        <v>03467643</v>
      </c>
      <c r="B5944" t="s">
        <v>11152</v>
      </c>
      <c r="C5944" t="str">
        <f t="shared" si="392"/>
        <v>706</v>
      </c>
      <c r="D5944" t="s">
        <v>28</v>
      </c>
      <c r="E5944" t="s">
        <v>23</v>
      </c>
      <c r="F5944" t="s">
        <v>23</v>
      </c>
      <c r="G5944" t="s">
        <v>11153</v>
      </c>
      <c r="H5944" t="str">
        <f>"9499"</f>
        <v>9499</v>
      </c>
      <c r="I5944" t="s">
        <v>31</v>
      </c>
    </row>
    <row r="5945" spans="1:9" x14ac:dyDescent="0.3">
      <c r="A5945" t="str">
        <f>"05676401"</f>
        <v>05676401</v>
      </c>
      <c r="B5945" t="s">
        <v>11154</v>
      </c>
      <c r="C5945" t="str">
        <f t="shared" si="392"/>
        <v>706</v>
      </c>
      <c r="D5945" t="s">
        <v>28</v>
      </c>
      <c r="E5945" t="s">
        <v>83</v>
      </c>
      <c r="F5945" t="s">
        <v>473</v>
      </c>
      <c r="G5945" t="s">
        <v>5821</v>
      </c>
      <c r="H5945" t="str">
        <f>"9499"</f>
        <v>9499</v>
      </c>
      <c r="I5945" t="s">
        <v>31</v>
      </c>
    </row>
    <row r="5946" spans="1:9" x14ac:dyDescent="0.3">
      <c r="A5946" t="str">
        <f>"22733485"</f>
        <v>22733485</v>
      </c>
      <c r="B5946" t="s">
        <v>11155</v>
      </c>
      <c r="C5946" t="str">
        <f>"706"</f>
        <v>706</v>
      </c>
      <c r="D5946" t="s">
        <v>28</v>
      </c>
      <c r="E5946" t="s">
        <v>23</v>
      </c>
      <c r="F5946" t="s">
        <v>23</v>
      </c>
      <c r="G5946" t="s">
        <v>7140</v>
      </c>
      <c r="H5946" t="str">
        <f>"9499"</f>
        <v>9499</v>
      </c>
      <c r="I5946" t="s">
        <v>31</v>
      </c>
    </row>
    <row r="5947" spans="1:9" x14ac:dyDescent="0.3">
      <c r="A5947" t="str">
        <f>"21240264"</f>
        <v>21240264</v>
      </c>
      <c r="B5947" t="s">
        <v>11156</v>
      </c>
      <c r="C5947" t="str">
        <f>"706"</f>
        <v>706</v>
      </c>
      <c r="D5947" t="s">
        <v>28</v>
      </c>
      <c r="E5947" t="s">
        <v>23</v>
      </c>
      <c r="F5947" t="s">
        <v>5614</v>
      </c>
      <c r="G5947" t="s">
        <v>11157</v>
      </c>
      <c r="H5947" t="str">
        <f>"94996"</f>
        <v>94996</v>
      </c>
      <c r="I5947" t="s">
        <v>47</v>
      </c>
    </row>
    <row r="5948" spans="1:9" x14ac:dyDescent="0.3">
      <c r="A5948" t="str">
        <f>"07352263"</f>
        <v>07352263</v>
      </c>
      <c r="B5948" t="s">
        <v>11158</v>
      </c>
      <c r="C5948" t="str">
        <f>"161"</f>
        <v>161</v>
      </c>
      <c r="D5948" t="s">
        <v>152</v>
      </c>
      <c r="E5948" t="s">
        <v>29</v>
      </c>
      <c r="F5948" t="s">
        <v>29</v>
      </c>
      <c r="G5948" t="s">
        <v>11159</v>
      </c>
      <c r="H5948" t="str">
        <f>"55909"</f>
        <v>55909</v>
      </c>
      <c r="I5948" t="s">
        <v>11160</v>
      </c>
    </row>
    <row r="5949" spans="1:9" x14ac:dyDescent="0.3">
      <c r="A5949" t="str">
        <f>"04472691"</f>
        <v>04472691</v>
      </c>
      <c r="B5949" t="s">
        <v>11161</v>
      </c>
      <c r="C5949" t="str">
        <f>"161"</f>
        <v>161</v>
      </c>
      <c r="D5949" t="s">
        <v>152</v>
      </c>
      <c r="E5949" t="s">
        <v>29</v>
      </c>
      <c r="F5949" t="s">
        <v>1874</v>
      </c>
      <c r="G5949" t="s">
        <v>11025</v>
      </c>
      <c r="H5949" t="str">
        <f>"94996"</f>
        <v>94996</v>
      </c>
      <c r="I5949" t="s">
        <v>47</v>
      </c>
    </row>
    <row r="5950" spans="1:9" x14ac:dyDescent="0.3">
      <c r="A5950" t="str">
        <f>"27045005"</f>
        <v>27045005</v>
      </c>
      <c r="B5950" t="s">
        <v>11162</v>
      </c>
      <c r="C5950" t="str">
        <f>"706"</f>
        <v>706</v>
      </c>
      <c r="D5950" t="s">
        <v>28</v>
      </c>
      <c r="E5950" t="s">
        <v>29</v>
      </c>
      <c r="F5950" t="s">
        <v>574</v>
      </c>
      <c r="G5950" t="s">
        <v>11163</v>
      </c>
      <c r="H5950" t="str">
        <f>"9499"</f>
        <v>9499</v>
      </c>
      <c r="I5950" t="s">
        <v>31</v>
      </c>
    </row>
    <row r="5951" spans="1:9" x14ac:dyDescent="0.3">
      <c r="A5951" t="str">
        <f>"08633045"</f>
        <v>08633045</v>
      </c>
      <c r="B5951" t="s">
        <v>11164</v>
      </c>
      <c r="C5951" t="str">
        <f>"706"</f>
        <v>706</v>
      </c>
      <c r="D5951" t="s">
        <v>28</v>
      </c>
      <c r="E5951" t="s">
        <v>83</v>
      </c>
      <c r="F5951" t="s">
        <v>183</v>
      </c>
      <c r="G5951" t="s">
        <v>11165</v>
      </c>
      <c r="H5951" t="str">
        <f>"9499"</f>
        <v>9499</v>
      </c>
      <c r="I5951" t="s">
        <v>31</v>
      </c>
    </row>
    <row r="5952" spans="1:9" x14ac:dyDescent="0.3">
      <c r="A5952" t="str">
        <f>"05980119"</f>
        <v>05980119</v>
      </c>
      <c r="B5952" t="s">
        <v>11166</v>
      </c>
      <c r="C5952" t="str">
        <f>"706"</f>
        <v>706</v>
      </c>
      <c r="D5952" t="s">
        <v>28</v>
      </c>
      <c r="E5952" t="s">
        <v>23</v>
      </c>
      <c r="F5952" t="s">
        <v>141</v>
      </c>
      <c r="G5952" t="s">
        <v>11167</v>
      </c>
      <c r="H5952" t="str">
        <f>"9499"</f>
        <v>9499</v>
      </c>
      <c r="I5952" t="s">
        <v>31</v>
      </c>
    </row>
    <row r="5953" spans="1:11" x14ac:dyDescent="0.3">
      <c r="A5953" t="str">
        <f>"69648336"</f>
        <v>69648336</v>
      </c>
      <c r="B5953" t="s">
        <v>11168</v>
      </c>
      <c r="C5953" t="str">
        <f t="shared" ref="C5953:C5958" si="393">"736"</f>
        <v>736</v>
      </c>
      <c r="D5953" t="s">
        <v>22</v>
      </c>
      <c r="E5953" t="s">
        <v>52</v>
      </c>
      <c r="F5953" t="s">
        <v>94</v>
      </c>
      <c r="G5953" t="s">
        <v>11169</v>
      </c>
      <c r="H5953" t="str">
        <f>"9499"</f>
        <v>9499</v>
      </c>
      <c r="I5953" t="s">
        <v>31</v>
      </c>
    </row>
    <row r="5954" spans="1:11" x14ac:dyDescent="0.3">
      <c r="A5954" t="str">
        <f>"00433811"</f>
        <v>00433811</v>
      </c>
      <c r="B5954" t="s">
        <v>11170</v>
      </c>
      <c r="C5954" t="str">
        <f t="shared" si="393"/>
        <v>736</v>
      </c>
      <c r="D5954" t="s">
        <v>22</v>
      </c>
      <c r="E5954" t="s">
        <v>83</v>
      </c>
      <c r="F5954" t="s">
        <v>83</v>
      </c>
      <c r="G5954" t="s">
        <v>11171</v>
      </c>
      <c r="H5954" t="str">
        <f>"94993"</f>
        <v>94993</v>
      </c>
      <c r="I5954" t="s">
        <v>50</v>
      </c>
    </row>
    <row r="5955" spans="1:11" x14ac:dyDescent="0.3">
      <c r="A5955" t="str">
        <f>"00433845"</f>
        <v>00433845</v>
      </c>
      <c r="B5955" t="s">
        <v>11172</v>
      </c>
      <c r="C5955" t="str">
        <f t="shared" si="393"/>
        <v>736</v>
      </c>
      <c r="D5955" t="s">
        <v>22</v>
      </c>
      <c r="E5955" t="s">
        <v>52</v>
      </c>
      <c r="F5955" t="s">
        <v>52</v>
      </c>
      <c r="G5955" t="s">
        <v>439</v>
      </c>
      <c r="H5955" t="str">
        <f>"94993"</f>
        <v>94993</v>
      </c>
      <c r="I5955" t="s">
        <v>50</v>
      </c>
    </row>
    <row r="5956" spans="1:11" x14ac:dyDescent="0.3">
      <c r="A5956" t="str">
        <f>"00433985"</f>
        <v>00433985</v>
      </c>
      <c r="B5956" t="s">
        <v>11173</v>
      </c>
      <c r="C5956" t="str">
        <f t="shared" si="393"/>
        <v>736</v>
      </c>
      <c r="D5956" t="s">
        <v>22</v>
      </c>
      <c r="E5956" t="s">
        <v>29</v>
      </c>
      <c r="F5956" t="s">
        <v>195</v>
      </c>
      <c r="G5956" t="s">
        <v>11174</v>
      </c>
      <c r="H5956" t="str">
        <f>"94993"</f>
        <v>94993</v>
      </c>
      <c r="I5956" t="s">
        <v>50</v>
      </c>
    </row>
    <row r="5957" spans="1:11" x14ac:dyDescent="0.3">
      <c r="A5957" t="str">
        <f>"00433781"</f>
        <v>00433781</v>
      </c>
      <c r="B5957" t="s">
        <v>11175</v>
      </c>
      <c r="C5957" t="str">
        <f t="shared" si="393"/>
        <v>736</v>
      </c>
      <c r="D5957" t="s">
        <v>22</v>
      </c>
      <c r="E5957" t="s">
        <v>23</v>
      </c>
      <c r="F5957" t="s">
        <v>23</v>
      </c>
      <c r="G5957" t="s">
        <v>353</v>
      </c>
      <c r="H5957" t="str">
        <f>"94993"</f>
        <v>94993</v>
      </c>
      <c r="I5957" t="s">
        <v>50</v>
      </c>
    </row>
    <row r="5958" spans="1:11" x14ac:dyDescent="0.3">
      <c r="A5958" t="str">
        <f>"70238421"</f>
        <v>70238421</v>
      </c>
      <c r="B5958" t="s">
        <v>11176</v>
      </c>
      <c r="C5958" t="str">
        <f t="shared" si="393"/>
        <v>736</v>
      </c>
      <c r="D5958" t="s">
        <v>22</v>
      </c>
      <c r="E5958" t="s">
        <v>29</v>
      </c>
      <c r="F5958" t="s">
        <v>195</v>
      </c>
      <c r="G5958" t="s">
        <v>11177</v>
      </c>
      <c r="H5958" t="str">
        <f>"94993"</f>
        <v>94993</v>
      </c>
      <c r="I5958" t="s">
        <v>50</v>
      </c>
    </row>
    <row r="5959" spans="1:11" x14ac:dyDescent="0.3">
      <c r="A5959" t="str">
        <f>"22754300"</f>
        <v>22754300</v>
      </c>
      <c r="B5959" t="s">
        <v>11178</v>
      </c>
      <c r="C5959" t="str">
        <f t="shared" ref="C5959:C5966" si="394">"706"</f>
        <v>706</v>
      </c>
      <c r="D5959" t="s">
        <v>28</v>
      </c>
      <c r="E5959" t="s">
        <v>23</v>
      </c>
      <c r="F5959" t="s">
        <v>5347</v>
      </c>
      <c r="G5959" t="s">
        <v>11179</v>
      </c>
      <c r="H5959" t="str">
        <f>"9499"</f>
        <v>9499</v>
      </c>
      <c r="I5959" t="s">
        <v>31</v>
      </c>
    </row>
    <row r="5960" spans="1:11" x14ac:dyDescent="0.3">
      <c r="A5960" t="str">
        <f>"07972903"</f>
        <v>07972903</v>
      </c>
      <c r="B5960" t="s">
        <v>11180</v>
      </c>
      <c r="C5960" t="str">
        <f t="shared" si="394"/>
        <v>706</v>
      </c>
      <c r="D5960" t="s">
        <v>28</v>
      </c>
      <c r="E5960" t="s">
        <v>23</v>
      </c>
      <c r="F5960" t="s">
        <v>23</v>
      </c>
      <c r="G5960" t="s">
        <v>11181</v>
      </c>
      <c r="H5960" t="str">
        <f>"93190"</f>
        <v>93190</v>
      </c>
      <c r="I5960" t="s">
        <v>59</v>
      </c>
    </row>
    <row r="5961" spans="1:11" x14ac:dyDescent="0.3">
      <c r="A5961" t="str">
        <f>"08773262"</f>
        <v>08773262</v>
      </c>
      <c r="B5961" t="s">
        <v>11182</v>
      </c>
      <c r="C5961" t="str">
        <f t="shared" si="394"/>
        <v>706</v>
      </c>
      <c r="D5961" t="s">
        <v>28</v>
      </c>
      <c r="E5961" t="s">
        <v>52</v>
      </c>
      <c r="F5961" t="s">
        <v>2736</v>
      </c>
      <c r="G5961" t="s">
        <v>11183</v>
      </c>
      <c r="H5961" t="str">
        <f>"9499"</f>
        <v>9499</v>
      </c>
      <c r="I5961" t="s">
        <v>31</v>
      </c>
    </row>
    <row r="5962" spans="1:11" x14ac:dyDescent="0.3">
      <c r="A5962" t="str">
        <f>"69211680"</f>
        <v>69211680</v>
      </c>
      <c r="B5962" t="s">
        <v>11184</v>
      </c>
      <c r="C5962" t="str">
        <f t="shared" si="394"/>
        <v>706</v>
      </c>
      <c r="D5962" t="s">
        <v>28</v>
      </c>
      <c r="E5962" t="s">
        <v>29</v>
      </c>
      <c r="F5962" t="s">
        <v>1796</v>
      </c>
      <c r="G5962" t="s">
        <v>11185</v>
      </c>
      <c r="H5962" t="str">
        <f>"90030"</f>
        <v>90030</v>
      </c>
      <c r="I5962" t="s">
        <v>1252</v>
      </c>
    </row>
    <row r="5963" spans="1:11" x14ac:dyDescent="0.3">
      <c r="A5963" t="str">
        <f>"22879528"</f>
        <v>22879528</v>
      </c>
      <c r="B5963" t="s">
        <v>11186</v>
      </c>
      <c r="C5963" t="str">
        <f t="shared" si="394"/>
        <v>706</v>
      </c>
      <c r="D5963" t="s">
        <v>28</v>
      </c>
      <c r="E5963" t="s">
        <v>23</v>
      </c>
      <c r="F5963" t="s">
        <v>4156</v>
      </c>
      <c r="G5963" t="s">
        <v>11187</v>
      </c>
      <c r="H5963" t="str">
        <f>"93190"</f>
        <v>93190</v>
      </c>
      <c r="I5963" t="s">
        <v>59</v>
      </c>
    </row>
    <row r="5964" spans="1:11" x14ac:dyDescent="0.3">
      <c r="A5964" t="str">
        <f>"22757422"</f>
        <v>22757422</v>
      </c>
      <c r="B5964" t="s">
        <v>11188</v>
      </c>
      <c r="C5964" t="str">
        <f t="shared" si="394"/>
        <v>706</v>
      </c>
      <c r="D5964" t="s">
        <v>28</v>
      </c>
      <c r="E5964" t="s">
        <v>29</v>
      </c>
      <c r="F5964" t="s">
        <v>29</v>
      </c>
      <c r="G5964" t="s">
        <v>11189</v>
      </c>
      <c r="H5964" t="str">
        <f>"93190"</f>
        <v>93190</v>
      </c>
      <c r="I5964" t="s">
        <v>59</v>
      </c>
    </row>
    <row r="5965" spans="1:11" x14ac:dyDescent="0.3">
      <c r="A5965" t="str">
        <f>"02713667"</f>
        <v>02713667</v>
      </c>
      <c r="B5965" t="s">
        <v>11190</v>
      </c>
      <c r="C5965" t="str">
        <f t="shared" si="394"/>
        <v>706</v>
      </c>
      <c r="D5965" t="s">
        <v>28</v>
      </c>
      <c r="E5965" t="s">
        <v>29</v>
      </c>
      <c r="F5965" t="s">
        <v>195</v>
      </c>
      <c r="G5965" t="s">
        <v>11191</v>
      </c>
      <c r="H5965" t="str">
        <f>"94993"</f>
        <v>94993</v>
      </c>
      <c r="I5965" t="s">
        <v>50</v>
      </c>
    </row>
    <row r="5966" spans="1:11" x14ac:dyDescent="0.3">
      <c r="A5966" t="str">
        <f>"08920907"</f>
        <v>08920907</v>
      </c>
      <c r="B5966" t="s">
        <v>11192</v>
      </c>
      <c r="C5966" t="str">
        <f t="shared" si="394"/>
        <v>706</v>
      </c>
      <c r="D5966" t="s">
        <v>28</v>
      </c>
      <c r="E5966" t="s">
        <v>29</v>
      </c>
      <c r="F5966" t="s">
        <v>29</v>
      </c>
      <c r="G5966" t="s">
        <v>11193</v>
      </c>
      <c r="H5966" t="str">
        <f t="shared" ref="H5966:H5970" si="395">"9499"</f>
        <v>9499</v>
      </c>
      <c r="I5966" t="s">
        <v>31</v>
      </c>
    </row>
    <row r="5967" spans="1:11" x14ac:dyDescent="0.3">
      <c r="A5967" t="str">
        <f>"01678540"</f>
        <v>01678540</v>
      </c>
      <c r="B5967" t="s">
        <v>11194</v>
      </c>
      <c r="C5967" t="str">
        <f>"141"</f>
        <v>141</v>
      </c>
      <c r="D5967" t="s">
        <v>112</v>
      </c>
      <c r="E5967" t="s">
        <v>83</v>
      </c>
      <c r="F5967" t="s">
        <v>520</v>
      </c>
      <c r="G5967" t="s">
        <v>11195</v>
      </c>
      <c r="H5967" t="str">
        <f t="shared" si="395"/>
        <v>9499</v>
      </c>
      <c r="I5967" t="s">
        <v>31</v>
      </c>
      <c r="J5967" t="s">
        <v>160</v>
      </c>
      <c r="K5967" t="s">
        <v>146</v>
      </c>
    </row>
    <row r="5968" spans="1:11" x14ac:dyDescent="0.3">
      <c r="A5968" t="str">
        <f>"01879006"</f>
        <v>01879006</v>
      </c>
      <c r="B5968" t="s">
        <v>11196</v>
      </c>
      <c r="C5968" t="str">
        <f>"706"</f>
        <v>706</v>
      </c>
      <c r="D5968" t="s">
        <v>28</v>
      </c>
      <c r="E5968" t="s">
        <v>29</v>
      </c>
      <c r="F5968" t="s">
        <v>29</v>
      </c>
      <c r="G5968" t="s">
        <v>11197</v>
      </c>
      <c r="H5968" t="str">
        <f t="shared" si="395"/>
        <v>9499</v>
      </c>
      <c r="I5968" t="s">
        <v>31</v>
      </c>
    </row>
    <row r="5969" spans="1:10" x14ac:dyDescent="0.3">
      <c r="A5969" t="str">
        <f>"21095604"</f>
        <v>21095604</v>
      </c>
      <c r="B5969" t="s">
        <v>11198</v>
      </c>
      <c r="C5969" t="str">
        <f>"706"</f>
        <v>706</v>
      </c>
      <c r="D5969" t="s">
        <v>28</v>
      </c>
      <c r="E5969" t="s">
        <v>29</v>
      </c>
      <c r="F5969" t="s">
        <v>3236</v>
      </c>
      <c r="G5969" t="s">
        <v>11199</v>
      </c>
      <c r="H5969" t="str">
        <f t="shared" si="395"/>
        <v>9499</v>
      </c>
      <c r="I5969" t="s">
        <v>31</v>
      </c>
    </row>
    <row r="5970" spans="1:10" x14ac:dyDescent="0.3">
      <c r="A5970" t="str">
        <f>"08154074"</f>
        <v>08154074</v>
      </c>
      <c r="B5970" t="s">
        <v>11200</v>
      </c>
      <c r="C5970" t="str">
        <f>"736"</f>
        <v>736</v>
      </c>
      <c r="D5970" t="s">
        <v>22</v>
      </c>
      <c r="E5970" t="s">
        <v>29</v>
      </c>
      <c r="F5970" t="s">
        <v>38</v>
      </c>
      <c r="G5970" t="s">
        <v>11201</v>
      </c>
      <c r="H5970" t="str">
        <f t="shared" si="395"/>
        <v>9499</v>
      </c>
      <c r="I5970" t="s">
        <v>31</v>
      </c>
    </row>
    <row r="5971" spans="1:10" x14ac:dyDescent="0.3">
      <c r="A5971" t="str">
        <f>"27027562"</f>
        <v>27027562</v>
      </c>
      <c r="B5971" t="s">
        <v>11202</v>
      </c>
      <c r="C5971" t="str">
        <f>"706"</f>
        <v>706</v>
      </c>
      <c r="D5971" t="s">
        <v>28</v>
      </c>
      <c r="E5971" t="s">
        <v>23</v>
      </c>
      <c r="F5971" t="s">
        <v>1935</v>
      </c>
      <c r="G5971" t="s">
        <v>11203</v>
      </c>
      <c r="H5971" t="str">
        <f>"93110"</f>
        <v>93110</v>
      </c>
      <c r="I5971" t="s">
        <v>92</v>
      </c>
    </row>
    <row r="5972" spans="1:10" x14ac:dyDescent="0.3">
      <c r="A5972" t="str">
        <f>"22664416"</f>
        <v>22664416</v>
      </c>
      <c r="B5972" t="s">
        <v>11204</v>
      </c>
      <c r="C5972" t="str">
        <f>"706"</f>
        <v>706</v>
      </c>
      <c r="D5972" t="s">
        <v>28</v>
      </c>
      <c r="E5972" t="s">
        <v>29</v>
      </c>
      <c r="F5972" t="s">
        <v>135</v>
      </c>
      <c r="G5972" t="s">
        <v>11205</v>
      </c>
      <c r="H5972" t="str">
        <f t="shared" ref="H5972:H5978" si="396">"9499"</f>
        <v>9499</v>
      </c>
      <c r="I5972" t="s">
        <v>31</v>
      </c>
    </row>
    <row r="5973" spans="1:10" x14ac:dyDescent="0.3">
      <c r="A5973" t="str">
        <f>"25842871"</f>
        <v>25842871</v>
      </c>
      <c r="B5973" t="s">
        <v>11206</v>
      </c>
      <c r="C5973" t="str">
        <f>"117"</f>
        <v>117</v>
      </c>
      <c r="D5973" t="s">
        <v>1371</v>
      </c>
      <c r="E5973" t="s">
        <v>29</v>
      </c>
      <c r="F5973" t="s">
        <v>503</v>
      </c>
      <c r="G5973" t="s">
        <v>11207</v>
      </c>
      <c r="H5973" t="str">
        <f t="shared" si="396"/>
        <v>9499</v>
      </c>
      <c r="I5973" t="s">
        <v>31</v>
      </c>
    </row>
    <row r="5974" spans="1:10" x14ac:dyDescent="0.3">
      <c r="A5974" t="str">
        <f>"22689834"</f>
        <v>22689834</v>
      </c>
      <c r="B5974" t="s">
        <v>11208</v>
      </c>
      <c r="C5974" t="str">
        <f t="shared" ref="C5974:C5981" si="397">"706"</f>
        <v>706</v>
      </c>
      <c r="D5974" t="s">
        <v>28</v>
      </c>
      <c r="E5974" t="s">
        <v>29</v>
      </c>
      <c r="F5974" t="s">
        <v>29</v>
      </c>
      <c r="G5974" t="s">
        <v>11209</v>
      </c>
      <c r="H5974" t="str">
        <f t="shared" si="396"/>
        <v>9499</v>
      </c>
      <c r="I5974" t="s">
        <v>31</v>
      </c>
    </row>
    <row r="5975" spans="1:10" x14ac:dyDescent="0.3">
      <c r="A5975" t="str">
        <f>"62334328"</f>
        <v>62334328</v>
      </c>
      <c r="B5975" t="s">
        <v>11210</v>
      </c>
      <c r="C5975" t="str">
        <f t="shared" si="397"/>
        <v>706</v>
      </c>
      <c r="D5975" t="s">
        <v>28</v>
      </c>
      <c r="E5975" t="s">
        <v>29</v>
      </c>
      <c r="F5975" t="s">
        <v>1926</v>
      </c>
      <c r="G5975" t="s">
        <v>11211</v>
      </c>
      <c r="H5975" t="str">
        <f t="shared" si="396"/>
        <v>9499</v>
      </c>
      <c r="I5975" t="s">
        <v>31</v>
      </c>
    </row>
    <row r="5976" spans="1:10" x14ac:dyDescent="0.3">
      <c r="A5976" t="str">
        <f>"10899472"</f>
        <v>10899472</v>
      </c>
      <c r="B5976" t="s">
        <v>11212</v>
      </c>
      <c r="C5976" t="str">
        <f t="shared" si="397"/>
        <v>706</v>
      </c>
      <c r="D5976" t="s">
        <v>28</v>
      </c>
      <c r="E5976" t="s">
        <v>29</v>
      </c>
      <c r="F5976" t="s">
        <v>195</v>
      </c>
      <c r="G5976" t="s">
        <v>11213</v>
      </c>
      <c r="H5976" t="str">
        <f t="shared" si="396"/>
        <v>9499</v>
      </c>
      <c r="I5976" t="s">
        <v>31</v>
      </c>
    </row>
    <row r="5977" spans="1:10" x14ac:dyDescent="0.3">
      <c r="A5977" t="str">
        <f>"70640424"</f>
        <v>70640424</v>
      </c>
      <c r="B5977" t="s">
        <v>11214</v>
      </c>
      <c r="C5977" t="str">
        <f t="shared" si="397"/>
        <v>706</v>
      </c>
      <c r="D5977" t="s">
        <v>28</v>
      </c>
      <c r="E5977" t="s">
        <v>29</v>
      </c>
      <c r="F5977" t="s">
        <v>195</v>
      </c>
      <c r="G5977" t="s">
        <v>11215</v>
      </c>
      <c r="H5977" t="str">
        <f t="shared" si="396"/>
        <v>9499</v>
      </c>
      <c r="I5977" t="s">
        <v>31</v>
      </c>
    </row>
    <row r="5978" spans="1:10" x14ac:dyDescent="0.3">
      <c r="A5978" t="str">
        <f>"22737421"</f>
        <v>22737421</v>
      </c>
      <c r="B5978" t="s">
        <v>11216</v>
      </c>
      <c r="C5978" t="str">
        <f t="shared" si="397"/>
        <v>706</v>
      </c>
      <c r="D5978" t="s">
        <v>28</v>
      </c>
      <c r="E5978" t="s">
        <v>23</v>
      </c>
      <c r="F5978" t="s">
        <v>107</v>
      </c>
      <c r="G5978" t="s">
        <v>11217</v>
      </c>
      <c r="H5978" t="str">
        <f t="shared" si="396"/>
        <v>9499</v>
      </c>
      <c r="I5978" t="s">
        <v>31</v>
      </c>
    </row>
    <row r="5979" spans="1:10" x14ac:dyDescent="0.3">
      <c r="A5979" t="str">
        <f>"26666111"</f>
        <v>26666111</v>
      </c>
      <c r="B5979" t="s">
        <v>11218</v>
      </c>
      <c r="C5979" t="str">
        <f t="shared" si="397"/>
        <v>706</v>
      </c>
      <c r="D5979" t="s">
        <v>28</v>
      </c>
      <c r="E5979" t="s">
        <v>29</v>
      </c>
      <c r="F5979" t="s">
        <v>1121</v>
      </c>
      <c r="G5979" t="s">
        <v>11219</v>
      </c>
      <c r="H5979" t="str">
        <f>"90010"</f>
        <v>90010</v>
      </c>
      <c r="I5979" t="s">
        <v>2014</v>
      </c>
    </row>
    <row r="5980" spans="1:10" x14ac:dyDescent="0.3">
      <c r="A5980" t="str">
        <f>"21667837"</f>
        <v>21667837</v>
      </c>
      <c r="B5980" t="s">
        <v>11220</v>
      </c>
      <c r="C5980" t="str">
        <f t="shared" si="397"/>
        <v>706</v>
      </c>
      <c r="D5980" t="s">
        <v>28</v>
      </c>
      <c r="E5980" t="s">
        <v>83</v>
      </c>
      <c r="F5980" t="s">
        <v>175</v>
      </c>
      <c r="G5980" t="s">
        <v>11221</v>
      </c>
      <c r="H5980" t="str">
        <f>"9499"</f>
        <v>9499</v>
      </c>
      <c r="I5980" t="s">
        <v>31</v>
      </c>
    </row>
    <row r="5981" spans="1:10" x14ac:dyDescent="0.3">
      <c r="A5981" t="str">
        <f>"19986041"</f>
        <v>19986041</v>
      </c>
      <c r="B5981" t="s">
        <v>11222</v>
      </c>
      <c r="C5981" t="str">
        <f t="shared" si="397"/>
        <v>706</v>
      </c>
      <c r="D5981" t="s">
        <v>28</v>
      </c>
      <c r="E5981" t="s">
        <v>29</v>
      </c>
      <c r="F5981" t="s">
        <v>681</v>
      </c>
      <c r="G5981" t="s">
        <v>11223</v>
      </c>
      <c r="H5981" t="str">
        <f>"93190"</f>
        <v>93190</v>
      </c>
      <c r="I5981" t="s">
        <v>59</v>
      </c>
    </row>
    <row r="5982" spans="1:10" x14ac:dyDescent="0.3">
      <c r="A5982" t="str">
        <f>"29450543"</f>
        <v>29450543</v>
      </c>
      <c r="B5982" t="s">
        <v>11224</v>
      </c>
      <c r="C5982" t="str">
        <f>"141"</f>
        <v>141</v>
      </c>
      <c r="D5982" t="s">
        <v>112</v>
      </c>
      <c r="E5982" t="s">
        <v>29</v>
      </c>
      <c r="F5982" t="s">
        <v>1266</v>
      </c>
      <c r="G5982" t="s">
        <v>11225</v>
      </c>
      <c r="H5982" t="str">
        <f>"63910"</f>
        <v>63910</v>
      </c>
      <c r="I5982" t="s">
        <v>989</v>
      </c>
      <c r="J5982" t="s">
        <v>262</v>
      </c>
    </row>
    <row r="5983" spans="1:10" x14ac:dyDescent="0.3">
      <c r="A5983" t="str">
        <f>"22725253"</f>
        <v>22725253</v>
      </c>
      <c r="B5983" t="s">
        <v>11226</v>
      </c>
      <c r="C5983" t="str">
        <f>"706"</f>
        <v>706</v>
      </c>
      <c r="D5983" t="s">
        <v>28</v>
      </c>
      <c r="E5983" t="s">
        <v>23</v>
      </c>
      <c r="F5983" t="s">
        <v>107</v>
      </c>
      <c r="G5983" t="s">
        <v>2901</v>
      </c>
      <c r="H5983" t="str">
        <f>"93110"</f>
        <v>93110</v>
      </c>
      <c r="I5983" t="s">
        <v>92</v>
      </c>
    </row>
    <row r="5984" spans="1:10" x14ac:dyDescent="0.3">
      <c r="A5984" t="str">
        <f>"49157116"</f>
        <v>49157116</v>
      </c>
      <c r="B5984" t="s">
        <v>11227</v>
      </c>
      <c r="C5984" t="str">
        <f>"706"</f>
        <v>706</v>
      </c>
      <c r="D5984" t="s">
        <v>28</v>
      </c>
      <c r="E5984" t="s">
        <v>23</v>
      </c>
      <c r="F5984" t="s">
        <v>107</v>
      </c>
      <c r="G5984" t="s">
        <v>11228</v>
      </c>
      <c r="H5984" t="str">
        <f>"9499"</f>
        <v>9499</v>
      </c>
      <c r="I5984" t="s">
        <v>31</v>
      </c>
      <c r="J5984" t="s">
        <v>11229</v>
      </c>
    </row>
    <row r="5985" spans="1:9" x14ac:dyDescent="0.3">
      <c r="A5985" t="str">
        <f>"21200629"</f>
        <v>21200629</v>
      </c>
      <c r="B5985" t="s">
        <v>11230</v>
      </c>
      <c r="C5985" t="str">
        <f>"736"</f>
        <v>736</v>
      </c>
      <c r="D5985" t="s">
        <v>22</v>
      </c>
      <c r="E5985" t="s">
        <v>29</v>
      </c>
      <c r="F5985" t="s">
        <v>681</v>
      </c>
      <c r="G5985" t="s">
        <v>11231</v>
      </c>
      <c r="H5985" t="str">
        <f>"9499"</f>
        <v>9499</v>
      </c>
      <c r="I5985" t="s">
        <v>31</v>
      </c>
    </row>
    <row r="5986" spans="1:9" x14ac:dyDescent="0.3">
      <c r="A5986" t="str">
        <f>"66934354"</f>
        <v>66934354</v>
      </c>
      <c r="B5986" t="s">
        <v>11232</v>
      </c>
      <c r="C5986" t="str">
        <f>"706"</f>
        <v>706</v>
      </c>
      <c r="D5986" t="s">
        <v>28</v>
      </c>
      <c r="E5986" t="s">
        <v>29</v>
      </c>
      <c r="F5986" t="s">
        <v>195</v>
      </c>
      <c r="G5986" t="s">
        <v>11233</v>
      </c>
      <c r="H5986" t="str">
        <f>"9499"</f>
        <v>9499</v>
      </c>
      <c r="I5986" t="s">
        <v>31</v>
      </c>
    </row>
    <row r="5987" spans="1:9" x14ac:dyDescent="0.3">
      <c r="A5987" t="str">
        <f>"66184479"</f>
        <v>66184479</v>
      </c>
      <c r="B5987" t="s">
        <v>11234</v>
      </c>
      <c r="C5987" t="str">
        <f>"706"</f>
        <v>706</v>
      </c>
      <c r="D5987" t="s">
        <v>28</v>
      </c>
      <c r="E5987" t="s">
        <v>29</v>
      </c>
      <c r="F5987" t="s">
        <v>38</v>
      </c>
      <c r="G5987" t="s">
        <v>11235</v>
      </c>
      <c r="H5987" t="str">
        <f>"93120"</f>
        <v>93120</v>
      </c>
      <c r="I5987" t="s">
        <v>54</v>
      </c>
    </row>
    <row r="5988" spans="1:9" x14ac:dyDescent="0.3">
      <c r="A5988" t="str">
        <f>"22676759"</f>
        <v>22676759</v>
      </c>
      <c r="B5988" t="s">
        <v>11236</v>
      </c>
      <c r="C5988" t="str">
        <f>"706"</f>
        <v>706</v>
      </c>
      <c r="D5988" t="s">
        <v>28</v>
      </c>
      <c r="E5988" t="s">
        <v>29</v>
      </c>
      <c r="F5988" t="s">
        <v>29</v>
      </c>
      <c r="G5988" t="s">
        <v>11237</v>
      </c>
      <c r="H5988" t="str">
        <f>"93110"</f>
        <v>93110</v>
      </c>
      <c r="I5988" t="s">
        <v>92</v>
      </c>
    </row>
    <row r="5989" spans="1:9" x14ac:dyDescent="0.3">
      <c r="A5989" t="str">
        <f>"07165986"</f>
        <v>07165986</v>
      </c>
      <c r="B5989" t="s">
        <v>11238</v>
      </c>
      <c r="C5989" t="str">
        <f>"706"</f>
        <v>706</v>
      </c>
      <c r="D5989" t="s">
        <v>28</v>
      </c>
      <c r="E5989" t="s">
        <v>29</v>
      </c>
      <c r="F5989" t="s">
        <v>718</v>
      </c>
      <c r="G5989" t="s">
        <v>11239</v>
      </c>
      <c r="H5989" t="str">
        <f>"93190"</f>
        <v>93190</v>
      </c>
      <c r="I5989" t="s">
        <v>59</v>
      </c>
    </row>
    <row r="5990" spans="1:9" x14ac:dyDescent="0.3">
      <c r="A5990" t="str">
        <f>"22667059"</f>
        <v>22667059</v>
      </c>
      <c r="B5990" t="s">
        <v>11240</v>
      </c>
      <c r="C5990" t="str">
        <f>"706"</f>
        <v>706</v>
      </c>
      <c r="D5990" t="s">
        <v>28</v>
      </c>
      <c r="E5990" t="s">
        <v>23</v>
      </c>
      <c r="F5990" t="s">
        <v>107</v>
      </c>
      <c r="G5990" t="s">
        <v>11241</v>
      </c>
      <c r="H5990" t="str">
        <f>"9499"</f>
        <v>9499</v>
      </c>
      <c r="I5990" t="s">
        <v>31</v>
      </c>
    </row>
    <row r="5991" spans="1:9" x14ac:dyDescent="0.3">
      <c r="A5991" t="str">
        <f>"71208607"</f>
        <v>71208607</v>
      </c>
      <c r="B5991" t="s">
        <v>11242</v>
      </c>
      <c r="C5991" t="str">
        <f>"736"</f>
        <v>736</v>
      </c>
      <c r="D5991" t="s">
        <v>22</v>
      </c>
      <c r="E5991" t="s">
        <v>23</v>
      </c>
      <c r="F5991" t="s">
        <v>975</v>
      </c>
      <c r="G5991" t="s">
        <v>11243</v>
      </c>
      <c r="H5991" t="str">
        <f>"94993"</f>
        <v>94993</v>
      </c>
      <c r="I5991" t="s">
        <v>50</v>
      </c>
    </row>
    <row r="5992" spans="1:9" x14ac:dyDescent="0.3">
      <c r="A5992" t="str">
        <f>"26652587"</f>
        <v>26652587</v>
      </c>
      <c r="B5992" t="s">
        <v>11244</v>
      </c>
      <c r="C5992" t="str">
        <f t="shared" ref="C5992:C6022" si="398">"706"</f>
        <v>706</v>
      </c>
      <c r="D5992" t="s">
        <v>28</v>
      </c>
      <c r="E5992" t="s">
        <v>29</v>
      </c>
      <c r="F5992" t="s">
        <v>195</v>
      </c>
      <c r="G5992" t="s">
        <v>11245</v>
      </c>
      <c r="H5992" t="str">
        <f>"9499"</f>
        <v>9499</v>
      </c>
      <c r="I5992" t="s">
        <v>31</v>
      </c>
    </row>
    <row r="5993" spans="1:9" x14ac:dyDescent="0.3">
      <c r="A5993" t="str">
        <f>"65891589"</f>
        <v>65891589</v>
      </c>
      <c r="B5993" t="s">
        <v>11246</v>
      </c>
      <c r="C5993" t="str">
        <f t="shared" si="398"/>
        <v>706</v>
      </c>
      <c r="D5993" t="s">
        <v>28</v>
      </c>
      <c r="E5993" t="s">
        <v>29</v>
      </c>
      <c r="F5993" t="s">
        <v>29</v>
      </c>
      <c r="G5993" t="s">
        <v>9673</v>
      </c>
      <c r="H5993" t="str">
        <f>"9499"</f>
        <v>9499</v>
      </c>
      <c r="I5993" t="s">
        <v>31</v>
      </c>
    </row>
    <row r="5994" spans="1:9" x14ac:dyDescent="0.3">
      <c r="A5994" t="str">
        <f>"02499436"</f>
        <v>02499436</v>
      </c>
      <c r="B5994" t="s">
        <v>11247</v>
      </c>
      <c r="C5994" t="str">
        <f t="shared" si="398"/>
        <v>706</v>
      </c>
      <c r="D5994" t="s">
        <v>28</v>
      </c>
      <c r="E5994" t="s">
        <v>23</v>
      </c>
      <c r="F5994" t="s">
        <v>23</v>
      </c>
      <c r="G5994" t="s">
        <v>11248</v>
      </c>
      <c r="H5994" t="str">
        <f>"90030"</f>
        <v>90030</v>
      </c>
      <c r="I5994" t="s">
        <v>1252</v>
      </c>
    </row>
    <row r="5995" spans="1:9" x14ac:dyDescent="0.3">
      <c r="A5995" t="str">
        <f>"69707448"</f>
        <v>69707448</v>
      </c>
      <c r="B5995" t="s">
        <v>11249</v>
      </c>
      <c r="C5995" t="str">
        <f t="shared" si="398"/>
        <v>706</v>
      </c>
      <c r="D5995" t="s">
        <v>28</v>
      </c>
      <c r="E5995" t="s">
        <v>83</v>
      </c>
      <c r="F5995" t="s">
        <v>227</v>
      </c>
      <c r="G5995" t="s">
        <v>5602</v>
      </c>
      <c r="H5995" t="str">
        <f>"90010"</f>
        <v>90010</v>
      </c>
      <c r="I5995" t="s">
        <v>2014</v>
      </c>
    </row>
    <row r="5996" spans="1:9" x14ac:dyDescent="0.3">
      <c r="A5996" t="str">
        <f>"09476555"</f>
        <v>09476555</v>
      </c>
      <c r="B5996" t="s">
        <v>11250</v>
      </c>
      <c r="C5996" t="str">
        <f t="shared" si="398"/>
        <v>706</v>
      </c>
      <c r="D5996" t="s">
        <v>28</v>
      </c>
      <c r="E5996" t="s">
        <v>29</v>
      </c>
      <c r="F5996" t="s">
        <v>29</v>
      </c>
      <c r="G5996" t="s">
        <v>6211</v>
      </c>
      <c r="H5996" t="str">
        <f>"93190"</f>
        <v>93190</v>
      </c>
      <c r="I5996" t="s">
        <v>59</v>
      </c>
    </row>
    <row r="5997" spans="1:9" x14ac:dyDescent="0.3">
      <c r="A5997" t="str">
        <f>"01830376"</f>
        <v>01830376</v>
      </c>
      <c r="B5997" t="s">
        <v>11251</v>
      </c>
      <c r="C5997" t="str">
        <f t="shared" si="398"/>
        <v>706</v>
      </c>
      <c r="D5997" t="s">
        <v>28</v>
      </c>
      <c r="E5997" t="s">
        <v>29</v>
      </c>
      <c r="F5997" t="s">
        <v>29</v>
      </c>
      <c r="G5997" t="s">
        <v>11252</v>
      </c>
      <c r="H5997" t="str">
        <f>"9499"</f>
        <v>9499</v>
      </c>
      <c r="I5997" t="s">
        <v>31</v>
      </c>
    </row>
    <row r="5998" spans="1:9" x14ac:dyDescent="0.3">
      <c r="A5998" t="str">
        <f>"22864440"</f>
        <v>22864440</v>
      </c>
      <c r="B5998" t="s">
        <v>11253</v>
      </c>
      <c r="C5998" t="str">
        <f t="shared" si="398"/>
        <v>706</v>
      </c>
      <c r="D5998" t="s">
        <v>28</v>
      </c>
      <c r="E5998" t="s">
        <v>29</v>
      </c>
      <c r="F5998" t="s">
        <v>195</v>
      </c>
      <c r="G5998" t="s">
        <v>11254</v>
      </c>
      <c r="H5998" t="str">
        <f>"93120"</f>
        <v>93120</v>
      </c>
      <c r="I5998" t="s">
        <v>54</v>
      </c>
    </row>
    <row r="5999" spans="1:9" x14ac:dyDescent="0.3">
      <c r="A5999" t="str">
        <f>"21039038"</f>
        <v>21039038</v>
      </c>
      <c r="B5999" t="s">
        <v>11255</v>
      </c>
      <c r="C5999" t="str">
        <f t="shared" si="398"/>
        <v>706</v>
      </c>
      <c r="D5999" t="s">
        <v>28</v>
      </c>
      <c r="E5999" t="s">
        <v>29</v>
      </c>
      <c r="F5999" t="s">
        <v>1569</v>
      </c>
      <c r="G5999" t="s">
        <v>11256</v>
      </c>
      <c r="H5999" t="str">
        <f t="shared" ref="H5999:H6005" si="399">"9499"</f>
        <v>9499</v>
      </c>
      <c r="I5999" t="s">
        <v>31</v>
      </c>
    </row>
    <row r="6000" spans="1:9" x14ac:dyDescent="0.3">
      <c r="A6000" t="str">
        <f>"65891244"</f>
        <v>65891244</v>
      </c>
      <c r="B6000" t="s">
        <v>11257</v>
      </c>
      <c r="C6000" t="str">
        <f t="shared" si="398"/>
        <v>706</v>
      </c>
      <c r="D6000" t="s">
        <v>28</v>
      </c>
      <c r="E6000" t="s">
        <v>29</v>
      </c>
      <c r="F6000" t="s">
        <v>38</v>
      </c>
      <c r="G6000" t="s">
        <v>1723</v>
      </c>
      <c r="H6000" t="str">
        <f t="shared" si="399"/>
        <v>9499</v>
      </c>
      <c r="I6000" t="s">
        <v>31</v>
      </c>
    </row>
    <row r="6001" spans="1:9" x14ac:dyDescent="0.3">
      <c r="A6001" t="str">
        <f>"04284291"</f>
        <v>04284291</v>
      </c>
      <c r="B6001" t="s">
        <v>11258</v>
      </c>
      <c r="C6001" t="str">
        <f t="shared" si="398"/>
        <v>706</v>
      </c>
      <c r="D6001" t="s">
        <v>28</v>
      </c>
      <c r="E6001" t="s">
        <v>29</v>
      </c>
      <c r="F6001" t="s">
        <v>2220</v>
      </c>
      <c r="G6001" t="s">
        <v>4846</v>
      </c>
      <c r="H6001" t="str">
        <f t="shared" si="399"/>
        <v>9499</v>
      </c>
      <c r="I6001" t="s">
        <v>31</v>
      </c>
    </row>
    <row r="6002" spans="1:9" x14ac:dyDescent="0.3">
      <c r="A6002" t="str">
        <f>"26616548"</f>
        <v>26616548</v>
      </c>
      <c r="B6002" t="s">
        <v>11259</v>
      </c>
      <c r="C6002" t="str">
        <f t="shared" si="398"/>
        <v>706</v>
      </c>
      <c r="D6002" t="s">
        <v>28</v>
      </c>
      <c r="E6002" t="s">
        <v>29</v>
      </c>
      <c r="F6002" t="s">
        <v>29</v>
      </c>
      <c r="G6002" t="s">
        <v>11260</v>
      </c>
      <c r="H6002" t="str">
        <f t="shared" si="399"/>
        <v>9499</v>
      </c>
      <c r="I6002" t="s">
        <v>31</v>
      </c>
    </row>
    <row r="6003" spans="1:9" x14ac:dyDescent="0.3">
      <c r="A6003" t="str">
        <f>"04947916"</f>
        <v>04947916</v>
      </c>
      <c r="B6003" t="s">
        <v>11261</v>
      </c>
      <c r="C6003" t="str">
        <f t="shared" si="398"/>
        <v>706</v>
      </c>
      <c r="D6003" t="s">
        <v>28</v>
      </c>
      <c r="E6003" t="s">
        <v>29</v>
      </c>
      <c r="F6003" t="s">
        <v>1796</v>
      </c>
      <c r="G6003" t="s">
        <v>11262</v>
      </c>
      <c r="H6003" t="str">
        <f t="shared" si="399"/>
        <v>9499</v>
      </c>
      <c r="I6003" t="s">
        <v>31</v>
      </c>
    </row>
    <row r="6004" spans="1:9" x14ac:dyDescent="0.3">
      <c r="A6004" t="str">
        <f>"26656361"</f>
        <v>26656361</v>
      </c>
      <c r="B6004" t="s">
        <v>11263</v>
      </c>
      <c r="C6004" t="str">
        <f t="shared" si="398"/>
        <v>706</v>
      </c>
      <c r="D6004" t="s">
        <v>28</v>
      </c>
      <c r="E6004" t="s">
        <v>29</v>
      </c>
      <c r="F6004" t="s">
        <v>138</v>
      </c>
      <c r="G6004" t="s">
        <v>11264</v>
      </c>
      <c r="H6004" t="str">
        <f t="shared" si="399"/>
        <v>9499</v>
      </c>
      <c r="I6004" t="s">
        <v>31</v>
      </c>
    </row>
    <row r="6005" spans="1:9" x14ac:dyDescent="0.3">
      <c r="A6005" t="str">
        <f>"46311360"</f>
        <v>46311360</v>
      </c>
      <c r="B6005" t="s">
        <v>11265</v>
      </c>
      <c r="C6005" t="str">
        <f t="shared" si="398"/>
        <v>706</v>
      </c>
      <c r="D6005" t="s">
        <v>28</v>
      </c>
      <c r="E6005" t="s">
        <v>23</v>
      </c>
      <c r="F6005" t="s">
        <v>23</v>
      </c>
      <c r="G6005" t="s">
        <v>2636</v>
      </c>
      <c r="H6005" t="str">
        <f t="shared" si="399"/>
        <v>9499</v>
      </c>
      <c r="I6005" t="s">
        <v>31</v>
      </c>
    </row>
    <row r="6006" spans="1:9" x14ac:dyDescent="0.3">
      <c r="A6006" t="str">
        <f>"48739308"</f>
        <v>48739308</v>
      </c>
      <c r="B6006" t="s">
        <v>11266</v>
      </c>
      <c r="C6006" t="str">
        <f t="shared" si="398"/>
        <v>706</v>
      </c>
      <c r="D6006" t="s">
        <v>28</v>
      </c>
      <c r="E6006" t="s">
        <v>29</v>
      </c>
      <c r="F6006" t="s">
        <v>45</v>
      </c>
      <c r="G6006" t="s">
        <v>4790</v>
      </c>
      <c r="H6006" t="str">
        <f>"93290"</f>
        <v>93290</v>
      </c>
      <c r="I6006" t="s">
        <v>126</v>
      </c>
    </row>
    <row r="6007" spans="1:9" x14ac:dyDescent="0.3">
      <c r="A6007" t="str">
        <f>"18190090"</f>
        <v>18190090</v>
      </c>
      <c r="B6007" t="s">
        <v>11267</v>
      </c>
      <c r="C6007" t="str">
        <f t="shared" si="398"/>
        <v>706</v>
      </c>
      <c r="D6007" t="s">
        <v>28</v>
      </c>
      <c r="E6007" t="s">
        <v>83</v>
      </c>
      <c r="F6007" t="s">
        <v>175</v>
      </c>
      <c r="G6007" t="s">
        <v>11268</v>
      </c>
      <c r="H6007" t="str">
        <f>"9499"</f>
        <v>9499</v>
      </c>
      <c r="I6007" t="s">
        <v>31</v>
      </c>
    </row>
    <row r="6008" spans="1:9" x14ac:dyDescent="0.3">
      <c r="A6008" t="str">
        <f>"65792611"</f>
        <v>65792611</v>
      </c>
      <c r="B6008" t="s">
        <v>11269</v>
      </c>
      <c r="C6008" t="str">
        <f t="shared" si="398"/>
        <v>706</v>
      </c>
      <c r="D6008" t="s">
        <v>28</v>
      </c>
      <c r="E6008" t="s">
        <v>23</v>
      </c>
      <c r="F6008" t="s">
        <v>1581</v>
      </c>
      <c r="G6008" t="s">
        <v>68</v>
      </c>
      <c r="H6008" t="str">
        <f>"9499"</f>
        <v>9499</v>
      </c>
      <c r="I6008" t="s">
        <v>31</v>
      </c>
    </row>
    <row r="6009" spans="1:9" x14ac:dyDescent="0.3">
      <c r="A6009" t="str">
        <f>"62182811"</f>
        <v>62182811</v>
      </c>
      <c r="B6009" t="s">
        <v>11270</v>
      </c>
      <c r="C6009" t="str">
        <f t="shared" si="398"/>
        <v>706</v>
      </c>
      <c r="D6009" t="s">
        <v>28</v>
      </c>
      <c r="E6009" t="s">
        <v>23</v>
      </c>
      <c r="F6009" t="s">
        <v>1555</v>
      </c>
      <c r="G6009" t="s">
        <v>11271</v>
      </c>
      <c r="H6009" t="str">
        <f>"9499"</f>
        <v>9499</v>
      </c>
      <c r="I6009" t="s">
        <v>31</v>
      </c>
    </row>
    <row r="6010" spans="1:9" x14ac:dyDescent="0.3">
      <c r="A6010" t="str">
        <f>"04019776"</f>
        <v>04019776</v>
      </c>
      <c r="B6010" t="s">
        <v>11272</v>
      </c>
      <c r="C6010" t="str">
        <f t="shared" si="398"/>
        <v>706</v>
      </c>
      <c r="D6010" t="s">
        <v>28</v>
      </c>
      <c r="E6010" t="s">
        <v>29</v>
      </c>
      <c r="F6010" t="s">
        <v>138</v>
      </c>
      <c r="G6010" t="s">
        <v>11273</v>
      </c>
      <c r="H6010" t="str">
        <f>"90030"</f>
        <v>90030</v>
      </c>
      <c r="I6010" t="s">
        <v>1252</v>
      </c>
    </row>
    <row r="6011" spans="1:9" x14ac:dyDescent="0.3">
      <c r="A6011" t="str">
        <f>"22742026"</f>
        <v>22742026</v>
      </c>
      <c r="B6011" t="s">
        <v>11274</v>
      </c>
      <c r="C6011" t="str">
        <f t="shared" si="398"/>
        <v>706</v>
      </c>
      <c r="D6011" t="s">
        <v>28</v>
      </c>
      <c r="E6011" t="s">
        <v>23</v>
      </c>
      <c r="F6011" t="s">
        <v>2620</v>
      </c>
      <c r="G6011" t="s">
        <v>2621</v>
      </c>
      <c r="H6011" t="str">
        <f>"93120"</f>
        <v>93120</v>
      </c>
      <c r="I6011" t="s">
        <v>54</v>
      </c>
    </row>
    <row r="6012" spans="1:9" x14ac:dyDescent="0.3">
      <c r="A6012" t="str">
        <f>"26588331"</f>
        <v>26588331</v>
      </c>
      <c r="B6012" t="s">
        <v>11275</v>
      </c>
      <c r="C6012" t="str">
        <f t="shared" si="398"/>
        <v>706</v>
      </c>
      <c r="D6012" t="s">
        <v>28</v>
      </c>
      <c r="E6012" t="s">
        <v>29</v>
      </c>
      <c r="F6012" t="s">
        <v>29</v>
      </c>
      <c r="G6012" t="s">
        <v>11276</v>
      </c>
      <c r="H6012" t="str">
        <f>"93110"</f>
        <v>93110</v>
      </c>
      <c r="I6012" t="s">
        <v>92</v>
      </c>
    </row>
    <row r="6013" spans="1:9" x14ac:dyDescent="0.3">
      <c r="A6013" t="str">
        <f>"26570726"</f>
        <v>26570726</v>
      </c>
      <c r="B6013" t="s">
        <v>11277</v>
      </c>
      <c r="C6013" t="str">
        <f t="shared" si="398"/>
        <v>706</v>
      </c>
      <c r="D6013" t="s">
        <v>28</v>
      </c>
      <c r="E6013" t="s">
        <v>29</v>
      </c>
      <c r="F6013" t="s">
        <v>29</v>
      </c>
      <c r="G6013" t="s">
        <v>11278</v>
      </c>
      <c r="H6013" t="str">
        <f>"93120"</f>
        <v>93120</v>
      </c>
      <c r="I6013" t="s">
        <v>54</v>
      </c>
    </row>
    <row r="6014" spans="1:9" x14ac:dyDescent="0.3">
      <c r="A6014" t="str">
        <f>"09973613"</f>
        <v>09973613</v>
      </c>
      <c r="B6014" t="s">
        <v>11279</v>
      </c>
      <c r="C6014" t="str">
        <f t="shared" si="398"/>
        <v>706</v>
      </c>
      <c r="D6014" t="s">
        <v>28</v>
      </c>
      <c r="E6014" t="s">
        <v>83</v>
      </c>
      <c r="F6014" t="s">
        <v>175</v>
      </c>
      <c r="G6014" t="s">
        <v>11280</v>
      </c>
      <c r="H6014" t="str">
        <f>"9499"</f>
        <v>9499</v>
      </c>
      <c r="I6014" t="s">
        <v>31</v>
      </c>
    </row>
    <row r="6015" spans="1:9" x14ac:dyDescent="0.3">
      <c r="A6015" t="str">
        <f>"70886211"</f>
        <v>70886211</v>
      </c>
      <c r="B6015" t="s">
        <v>11281</v>
      </c>
      <c r="C6015" t="str">
        <f t="shared" si="398"/>
        <v>706</v>
      </c>
      <c r="D6015" t="s">
        <v>28</v>
      </c>
      <c r="E6015" t="s">
        <v>29</v>
      </c>
      <c r="F6015" t="s">
        <v>195</v>
      </c>
      <c r="G6015" t="s">
        <v>11282</v>
      </c>
      <c r="H6015" t="str">
        <f>"9499"</f>
        <v>9499</v>
      </c>
      <c r="I6015" t="s">
        <v>31</v>
      </c>
    </row>
    <row r="6016" spans="1:9" x14ac:dyDescent="0.3">
      <c r="A6016" t="str">
        <f>"04268318"</f>
        <v>04268318</v>
      </c>
      <c r="B6016" t="s">
        <v>11283</v>
      </c>
      <c r="C6016" t="str">
        <f t="shared" si="398"/>
        <v>706</v>
      </c>
      <c r="D6016" t="s">
        <v>28</v>
      </c>
      <c r="E6016" t="s">
        <v>29</v>
      </c>
      <c r="F6016" t="s">
        <v>38</v>
      </c>
      <c r="G6016" t="s">
        <v>11284</v>
      </c>
      <c r="H6016" t="str">
        <f>"93190"</f>
        <v>93190</v>
      </c>
      <c r="I6016" t="s">
        <v>59</v>
      </c>
    </row>
    <row r="6017" spans="1:9" x14ac:dyDescent="0.3">
      <c r="A6017" t="str">
        <f>"70238961"</f>
        <v>70238961</v>
      </c>
      <c r="B6017" t="s">
        <v>11285</v>
      </c>
      <c r="C6017" t="str">
        <f t="shared" si="398"/>
        <v>706</v>
      </c>
      <c r="D6017" t="s">
        <v>28</v>
      </c>
      <c r="E6017" t="s">
        <v>29</v>
      </c>
      <c r="F6017" t="s">
        <v>38</v>
      </c>
      <c r="G6017" t="s">
        <v>11286</v>
      </c>
      <c r="H6017" t="str">
        <f>"931"</f>
        <v>931</v>
      </c>
      <c r="I6017" t="s">
        <v>26</v>
      </c>
    </row>
    <row r="6018" spans="1:9" x14ac:dyDescent="0.3">
      <c r="A6018" t="str">
        <f>"22889353"</f>
        <v>22889353</v>
      </c>
      <c r="B6018" t="s">
        <v>11287</v>
      </c>
      <c r="C6018" t="str">
        <f t="shared" si="398"/>
        <v>706</v>
      </c>
      <c r="D6018" t="s">
        <v>28</v>
      </c>
      <c r="E6018" t="s">
        <v>29</v>
      </c>
      <c r="F6018" t="s">
        <v>852</v>
      </c>
      <c r="G6018" t="s">
        <v>11288</v>
      </c>
      <c r="H6018" t="str">
        <f>"9499"</f>
        <v>9499</v>
      </c>
      <c r="I6018" t="s">
        <v>31</v>
      </c>
    </row>
    <row r="6019" spans="1:9" x14ac:dyDescent="0.3">
      <c r="A6019" t="str">
        <f>"21896739"</f>
        <v>21896739</v>
      </c>
      <c r="B6019" t="s">
        <v>11289</v>
      </c>
      <c r="C6019" t="str">
        <f t="shared" si="398"/>
        <v>706</v>
      </c>
      <c r="D6019" t="s">
        <v>28</v>
      </c>
      <c r="E6019" t="s">
        <v>23</v>
      </c>
      <c r="F6019" t="s">
        <v>2717</v>
      </c>
      <c r="G6019" t="s">
        <v>11290</v>
      </c>
      <c r="H6019" t="str">
        <f>"94993"</f>
        <v>94993</v>
      </c>
      <c r="I6019" t="s">
        <v>50</v>
      </c>
    </row>
    <row r="6020" spans="1:9" x14ac:dyDescent="0.3">
      <c r="A6020" t="str">
        <f>"05287669"</f>
        <v>05287669</v>
      </c>
      <c r="B6020" t="s">
        <v>11291</v>
      </c>
      <c r="C6020" t="str">
        <f t="shared" si="398"/>
        <v>706</v>
      </c>
      <c r="D6020" t="s">
        <v>28</v>
      </c>
      <c r="E6020" t="s">
        <v>29</v>
      </c>
      <c r="F6020" t="s">
        <v>250</v>
      </c>
      <c r="G6020" t="s">
        <v>11292</v>
      </c>
      <c r="H6020" t="str">
        <f>"93190"</f>
        <v>93190</v>
      </c>
      <c r="I6020" t="s">
        <v>59</v>
      </c>
    </row>
    <row r="6021" spans="1:9" x14ac:dyDescent="0.3">
      <c r="A6021" t="str">
        <f>"22906398"</f>
        <v>22906398</v>
      </c>
      <c r="B6021" t="s">
        <v>11293</v>
      </c>
      <c r="C6021" t="str">
        <f t="shared" si="398"/>
        <v>706</v>
      </c>
      <c r="D6021" t="s">
        <v>28</v>
      </c>
      <c r="E6021" t="s">
        <v>29</v>
      </c>
      <c r="F6021" t="s">
        <v>195</v>
      </c>
      <c r="G6021" t="s">
        <v>11294</v>
      </c>
      <c r="H6021" t="str">
        <f>"94995"</f>
        <v>94995</v>
      </c>
      <c r="I6021" t="s">
        <v>232</v>
      </c>
    </row>
    <row r="6022" spans="1:9" x14ac:dyDescent="0.3">
      <c r="A6022" t="str">
        <f>"27044831"</f>
        <v>27044831</v>
      </c>
      <c r="B6022" t="s">
        <v>11295</v>
      </c>
      <c r="C6022" t="str">
        <f t="shared" si="398"/>
        <v>706</v>
      </c>
      <c r="D6022" t="s">
        <v>28</v>
      </c>
      <c r="E6022" t="s">
        <v>29</v>
      </c>
      <c r="F6022" t="s">
        <v>38</v>
      </c>
      <c r="G6022" t="s">
        <v>11296</v>
      </c>
      <c r="H6022" t="str">
        <f>"94"</f>
        <v>94</v>
      </c>
      <c r="I6022" t="s">
        <v>1016</v>
      </c>
    </row>
    <row r="6023" spans="1:9" x14ac:dyDescent="0.3">
      <c r="A6023" t="str">
        <f>"69747083"</f>
        <v>69747083</v>
      </c>
      <c r="B6023" t="s">
        <v>11297</v>
      </c>
      <c r="C6023" t="str">
        <f>"736"</f>
        <v>736</v>
      </c>
      <c r="D6023" t="s">
        <v>22</v>
      </c>
      <c r="E6023" t="s">
        <v>23</v>
      </c>
      <c r="F6023" t="s">
        <v>23</v>
      </c>
      <c r="G6023" t="s">
        <v>11298</v>
      </c>
      <c r="H6023" t="str">
        <f>"9499"</f>
        <v>9499</v>
      </c>
      <c r="I6023" t="s">
        <v>31</v>
      </c>
    </row>
    <row r="6024" spans="1:9" x14ac:dyDescent="0.3">
      <c r="A6024" t="str">
        <f>"14190508"</f>
        <v>14190508</v>
      </c>
      <c r="B6024" t="s">
        <v>11299</v>
      </c>
      <c r="C6024" t="str">
        <f>"706"</f>
        <v>706</v>
      </c>
      <c r="D6024" t="s">
        <v>28</v>
      </c>
      <c r="E6024" t="s">
        <v>23</v>
      </c>
      <c r="F6024" t="s">
        <v>23</v>
      </c>
      <c r="G6024" t="s">
        <v>761</v>
      </c>
      <c r="H6024" t="str">
        <f>"9499"</f>
        <v>9499</v>
      </c>
      <c r="I6024" t="s">
        <v>31</v>
      </c>
    </row>
    <row r="6025" spans="1:9" x14ac:dyDescent="0.3">
      <c r="A6025" t="str">
        <f>"10663941"</f>
        <v>10663941</v>
      </c>
      <c r="B6025" t="s">
        <v>11300</v>
      </c>
      <c r="C6025" t="str">
        <f>"706"</f>
        <v>706</v>
      </c>
      <c r="D6025" t="s">
        <v>28</v>
      </c>
      <c r="E6025" t="s">
        <v>23</v>
      </c>
      <c r="F6025" t="s">
        <v>24</v>
      </c>
      <c r="G6025" t="s">
        <v>11301</v>
      </c>
      <c r="H6025" t="str">
        <f>"94996"</f>
        <v>94996</v>
      </c>
      <c r="I6025" t="s">
        <v>47</v>
      </c>
    </row>
    <row r="6026" spans="1:9" x14ac:dyDescent="0.3">
      <c r="A6026" t="str">
        <f>"22715258"</f>
        <v>22715258</v>
      </c>
      <c r="B6026" t="s">
        <v>11302</v>
      </c>
      <c r="C6026" t="str">
        <f>"706"</f>
        <v>706</v>
      </c>
      <c r="D6026" t="s">
        <v>28</v>
      </c>
      <c r="E6026" t="s">
        <v>29</v>
      </c>
      <c r="F6026" t="s">
        <v>195</v>
      </c>
      <c r="G6026" t="s">
        <v>2890</v>
      </c>
      <c r="H6026" t="str">
        <f>"94999"</f>
        <v>94999</v>
      </c>
      <c r="I6026" t="s">
        <v>202</v>
      </c>
    </row>
    <row r="6027" spans="1:9" x14ac:dyDescent="0.3">
      <c r="A6027" t="str">
        <f>"22254684"</f>
        <v>22254684</v>
      </c>
      <c r="B6027" t="s">
        <v>11303</v>
      </c>
      <c r="C6027" t="str">
        <f>"161"</f>
        <v>161</v>
      </c>
      <c r="D6027" t="s">
        <v>152</v>
      </c>
      <c r="E6027" t="s">
        <v>23</v>
      </c>
      <c r="F6027" t="s">
        <v>459</v>
      </c>
      <c r="G6027" t="s">
        <v>11304</v>
      </c>
      <c r="H6027" t="str">
        <f>"9499"</f>
        <v>9499</v>
      </c>
      <c r="I6027" t="s">
        <v>31</v>
      </c>
    </row>
    <row r="6028" spans="1:9" x14ac:dyDescent="0.3">
      <c r="A6028" t="str">
        <f>"04626516"</f>
        <v>04626516</v>
      </c>
      <c r="B6028" t="s">
        <v>11305</v>
      </c>
      <c r="C6028" t="str">
        <f>"706"</f>
        <v>706</v>
      </c>
      <c r="D6028" t="s">
        <v>28</v>
      </c>
      <c r="E6028" t="s">
        <v>23</v>
      </c>
      <c r="F6028" t="s">
        <v>24</v>
      </c>
      <c r="G6028" t="s">
        <v>11306</v>
      </c>
      <c r="H6028" t="str">
        <f>"9499"</f>
        <v>9499</v>
      </c>
      <c r="I6028" t="s">
        <v>31</v>
      </c>
    </row>
    <row r="6029" spans="1:9" x14ac:dyDescent="0.3">
      <c r="A6029" t="str">
        <f>"07929561"</f>
        <v>07929561</v>
      </c>
      <c r="B6029" t="s">
        <v>11307</v>
      </c>
      <c r="C6029" t="str">
        <f>"706"</f>
        <v>706</v>
      </c>
      <c r="D6029" t="s">
        <v>28</v>
      </c>
      <c r="E6029" t="s">
        <v>83</v>
      </c>
      <c r="F6029" t="s">
        <v>5486</v>
      </c>
      <c r="G6029" t="s">
        <v>6164</v>
      </c>
      <c r="H6029" t="str">
        <f>"9499"</f>
        <v>9499</v>
      </c>
      <c r="I6029" t="s">
        <v>31</v>
      </c>
    </row>
    <row r="6030" spans="1:9" x14ac:dyDescent="0.3">
      <c r="A6030" t="str">
        <f>"22844015"</f>
        <v>22844015</v>
      </c>
      <c r="B6030" t="s">
        <v>11308</v>
      </c>
      <c r="C6030" t="str">
        <f>"706"</f>
        <v>706</v>
      </c>
      <c r="D6030" t="s">
        <v>28</v>
      </c>
      <c r="E6030" t="s">
        <v>29</v>
      </c>
      <c r="F6030" t="s">
        <v>718</v>
      </c>
      <c r="G6030" t="s">
        <v>1748</v>
      </c>
      <c r="H6030" t="str">
        <f>"9499"</f>
        <v>9499</v>
      </c>
      <c r="I6030" t="s">
        <v>31</v>
      </c>
    </row>
    <row r="6031" spans="1:9" x14ac:dyDescent="0.3">
      <c r="A6031" t="str">
        <f>"05828147"</f>
        <v>05828147</v>
      </c>
      <c r="B6031" t="s">
        <v>11309</v>
      </c>
      <c r="C6031" t="str">
        <f>"118"</f>
        <v>118</v>
      </c>
      <c r="D6031" t="s">
        <v>337</v>
      </c>
      <c r="E6031" t="s">
        <v>29</v>
      </c>
      <c r="F6031" t="s">
        <v>117</v>
      </c>
      <c r="G6031" t="s">
        <v>11310</v>
      </c>
      <c r="H6031" t="str">
        <f>"9499"</f>
        <v>9499</v>
      </c>
      <c r="I6031" t="s">
        <v>31</v>
      </c>
    </row>
    <row r="6032" spans="1:9" x14ac:dyDescent="0.3">
      <c r="A6032" t="str">
        <f>"06489800"</f>
        <v>06489800</v>
      </c>
      <c r="B6032" t="s">
        <v>11311</v>
      </c>
      <c r="C6032" t="str">
        <f t="shared" ref="C6032:C6047" si="400">"706"</f>
        <v>706</v>
      </c>
      <c r="D6032" t="s">
        <v>28</v>
      </c>
      <c r="E6032" t="s">
        <v>83</v>
      </c>
      <c r="F6032" t="s">
        <v>83</v>
      </c>
      <c r="G6032" t="s">
        <v>11312</v>
      </c>
      <c r="H6032" t="str">
        <f>"94996"</f>
        <v>94996</v>
      </c>
      <c r="I6032" t="s">
        <v>47</v>
      </c>
    </row>
    <row r="6033" spans="1:9" x14ac:dyDescent="0.3">
      <c r="A6033" t="str">
        <f>"04012810"</f>
        <v>04012810</v>
      </c>
      <c r="B6033" t="s">
        <v>11313</v>
      </c>
      <c r="C6033" t="str">
        <f t="shared" si="400"/>
        <v>706</v>
      </c>
      <c r="D6033" t="s">
        <v>28</v>
      </c>
      <c r="E6033" t="s">
        <v>52</v>
      </c>
      <c r="F6033" t="s">
        <v>234</v>
      </c>
      <c r="G6033" t="s">
        <v>11314</v>
      </c>
      <c r="H6033" t="str">
        <f>"94999"</f>
        <v>94999</v>
      </c>
      <c r="I6033" t="s">
        <v>202</v>
      </c>
    </row>
    <row r="6034" spans="1:9" x14ac:dyDescent="0.3">
      <c r="A6034" t="str">
        <f>"04875435"</f>
        <v>04875435</v>
      </c>
      <c r="B6034" t="s">
        <v>11315</v>
      </c>
      <c r="C6034" t="str">
        <f t="shared" si="400"/>
        <v>706</v>
      </c>
      <c r="D6034" t="s">
        <v>28</v>
      </c>
      <c r="E6034" t="s">
        <v>52</v>
      </c>
      <c r="F6034" t="s">
        <v>113</v>
      </c>
      <c r="G6034" t="s">
        <v>11316</v>
      </c>
      <c r="H6034" t="str">
        <f t="shared" ref="H6034:H6040" si="401">"9499"</f>
        <v>9499</v>
      </c>
      <c r="I6034" t="s">
        <v>31</v>
      </c>
    </row>
    <row r="6035" spans="1:9" x14ac:dyDescent="0.3">
      <c r="A6035" t="str">
        <f>"27031411"</f>
        <v>27031411</v>
      </c>
      <c r="B6035" t="s">
        <v>11317</v>
      </c>
      <c r="C6035" t="str">
        <f t="shared" si="400"/>
        <v>706</v>
      </c>
      <c r="D6035" t="s">
        <v>28</v>
      </c>
      <c r="E6035" t="s">
        <v>52</v>
      </c>
      <c r="F6035" t="s">
        <v>144</v>
      </c>
      <c r="G6035" t="s">
        <v>1076</v>
      </c>
      <c r="H6035" t="str">
        <f t="shared" si="401"/>
        <v>9499</v>
      </c>
      <c r="I6035" t="s">
        <v>31</v>
      </c>
    </row>
    <row r="6036" spans="1:9" x14ac:dyDescent="0.3">
      <c r="A6036" t="str">
        <f>"26674041"</f>
        <v>26674041</v>
      </c>
      <c r="B6036" t="s">
        <v>11318</v>
      </c>
      <c r="C6036" t="str">
        <f t="shared" si="400"/>
        <v>706</v>
      </c>
      <c r="D6036" t="s">
        <v>28</v>
      </c>
      <c r="E6036" t="s">
        <v>29</v>
      </c>
      <c r="F6036" t="s">
        <v>38</v>
      </c>
      <c r="G6036" t="s">
        <v>11319</v>
      </c>
      <c r="H6036" t="str">
        <f t="shared" si="401"/>
        <v>9499</v>
      </c>
      <c r="I6036" t="s">
        <v>31</v>
      </c>
    </row>
    <row r="6037" spans="1:9" x14ac:dyDescent="0.3">
      <c r="A6037" t="str">
        <f>"19501862"</f>
        <v>19501862</v>
      </c>
      <c r="B6037" t="s">
        <v>11320</v>
      </c>
      <c r="C6037" t="str">
        <f t="shared" si="400"/>
        <v>706</v>
      </c>
      <c r="D6037" t="s">
        <v>28</v>
      </c>
      <c r="E6037" t="s">
        <v>23</v>
      </c>
      <c r="F6037" t="s">
        <v>459</v>
      </c>
      <c r="G6037" t="s">
        <v>11321</v>
      </c>
      <c r="H6037" t="str">
        <f t="shared" si="401"/>
        <v>9499</v>
      </c>
      <c r="I6037" t="s">
        <v>31</v>
      </c>
    </row>
    <row r="6038" spans="1:9" x14ac:dyDescent="0.3">
      <c r="A6038" t="str">
        <f>"04846117"</f>
        <v>04846117</v>
      </c>
      <c r="B6038" t="s">
        <v>11322</v>
      </c>
      <c r="C6038" t="str">
        <f t="shared" si="400"/>
        <v>706</v>
      </c>
      <c r="D6038" t="s">
        <v>28</v>
      </c>
      <c r="E6038" t="s">
        <v>52</v>
      </c>
      <c r="F6038" t="s">
        <v>234</v>
      </c>
      <c r="G6038" t="s">
        <v>11323</v>
      </c>
      <c r="H6038" t="str">
        <f t="shared" si="401"/>
        <v>9499</v>
      </c>
      <c r="I6038" t="s">
        <v>31</v>
      </c>
    </row>
    <row r="6039" spans="1:9" x14ac:dyDescent="0.3">
      <c r="A6039" t="str">
        <f>"70865124"</f>
        <v>70865124</v>
      </c>
      <c r="B6039" t="s">
        <v>11324</v>
      </c>
      <c r="C6039" t="str">
        <f t="shared" si="400"/>
        <v>706</v>
      </c>
      <c r="D6039" t="s">
        <v>28</v>
      </c>
      <c r="E6039" t="s">
        <v>23</v>
      </c>
      <c r="F6039" t="s">
        <v>245</v>
      </c>
      <c r="G6039" t="s">
        <v>11325</v>
      </c>
      <c r="H6039" t="str">
        <f t="shared" si="401"/>
        <v>9499</v>
      </c>
      <c r="I6039" t="s">
        <v>31</v>
      </c>
    </row>
    <row r="6040" spans="1:9" x14ac:dyDescent="0.3">
      <c r="A6040" t="str">
        <f>"01536176"</f>
        <v>01536176</v>
      </c>
      <c r="B6040" t="s">
        <v>11326</v>
      </c>
      <c r="C6040" t="str">
        <f t="shared" si="400"/>
        <v>706</v>
      </c>
      <c r="D6040" t="s">
        <v>28</v>
      </c>
      <c r="E6040" t="s">
        <v>23</v>
      </c>
      <c r="F6040" t="s">
        <v>1697</v>
      </c>
      <c r="G6040" t="s">
        <v>11327</v>
      </c>
      <c r="H6040" t="str">
        <f t="shared" si="401"/>
        <v>9499</v>
      </c>
      <c r="I6040" t="s">
        <v>31</v>
      </c>
    </row>
    <row r="6041" spans="1:9" x14ac:dyDescent="0.3">
      <c r="A6041" t="str">
        <f>"09577505"</f>
        <v>09577505</v>
      </c>
      <c r="B6041" t="s">
        <v>11328</v>
      </c>
      <c r="C6041" t="str">
        <f t="shared" si="400"/>
        <v>706</v>
      </c>
      <c r="D6041" t="s">
        <v>28</v>
      </c>
      <c r="E6041" t="s">
        <v>23</v>
      </c>
      <c r="F6041" t="s">
        <v>107</v>
      </c>
      <c r="G6041" t="s">
        <v>11329</v>
      </c>
      <c r="H6041" t="str">
        <f>"93190"</f>
        <v>93190</v>
      </c>
      <c r="I6041" t="s">
        <v>59</v>
      </c>
    </row>
    <row r="6042" spans="1:9" x14ac:dyDescent="0.3">
      <c r="A6042" t="str">
        <f>"26604027"</f>
        <v>26604027</v>
      </c>
      <c r="B6042" t="s">
        <v>11330</v>
      </c>
      <c r="C6042" t="str">
        <f t="shared" si="400"/>
        <v>706</v>
      </c>
      <c r="D6042" t="s">
        <v>28</v>
      </c>
      <c r="E6042" t="s">
        <v>29</v>
      </c>
      <c r="F6042" t="s">
        <v>29</v>
      </c>
      <c r="G6042" t="s">
        <v>11331</v>
      </c>
      <c r="H6042" t="str">
        <f>"9499"</f>
        <v>9499</v>
      </c>
      <c r="I6042" t="s">
        <v>31</v>
      </c>
    </row>
    <row r="6043" spans="1:9" x14ac:dyDescent="0.3">
      <c r="A6043" t="str">
        <f>"06360971"</f>
        <v>06360971</v>
      </c>
      <c r="B6043" t="s">
        <v>11332</v>
      </c>
      <c r="C6043" t="str">
        <f t="shared" si="400"/>
        <v>706</v>
      </c>
      <c r="D6043" t="s">
        <v>28</v>
      </c>
      <c r="E6043" t="s">
        <v>52</v>
      </c>
      <c r="F6043" t="s">
        <v>488</v>
      </c>
      <c r="G6043" t="s">
        <v>1768</v>
      </c>
      <c r="H6043" t="str">
        <f>"9499"</f>
        <v>9499</v>
      </c>
      <c r="I6043" t="s">
        <v>31</v>
      </c>
    </row>
    <row r="6044" spans="1:9" x14ac:dyDescent="0.3">
      <c r="A6044" t="str">
        <f>"27011160"</f>
        <v>27011160</v>
      </c>
      <c r="B6044" t="s">
        <v>11333</v>
      </c>
      <c r="C6044" t="str">
        <f t="shared" si="400"/>
        <v>706</v>
      </c>
      <c r="D6044" t="s">
        <v>28</v>
      </c>
      <c r="E6044" t="s">
        <v>52</v>
      </c>
      <c r="F6044" t="s">
        <v>52</v>
      </c>
      <c r="G6044" t="s">
        <v>2346</v>
      </c>
      <c r="H6044" t="str">
        <f>"9499"</f>
        <v>9499</v>
      </c>
      <c r="I6044" t="s">
        <v>31</v>
      </c>
    </row>
    <row r="6045" spans="1:9" x14ac:dyDescent="0.3">
      <c r="A6045" t="str">
        <f>"16361016"</f>
        <v>16361016</v>
      </c>
      <c r="B6045" t="s">
        <v>11334</v>
      </c>
      <c r="C6045" t="str">
        <f t="shared" si="400"/>
        <v>706</v>
      </c>
      <c r="D6045" t="s">
        <v>28</v>
      </c>
      <c r="E6045" t="s">
        <v>52</v>
      </c>
      <c r="F6045" t="s">
        <v>52</v>
      </c>
      <c r="G6045" t="s">
        <v>430</v>
      </c>
      <c r="H6045" t="str">
        <f>"93110"</f>
        <v>93110</v>
      </c>
      <c r="I6045" t="s">
        <v>92</v>
      </c>
    </row>
    <row r="6046" spans="1:9" x14ac:dyDescent="0.3">
      <c r="A6046" t="str">
        <f>"70933014"</f>
        <v>70933014</v>
      </c>
      <c r="B6046" t="s">
        <v>11335</v>
      </c>
      <c r="C6046" t="str">
        <f t="shared" si="400"/>
        <v>706</v>
      </c>
      <c r="D6046" t="s">
        <v>28</v>
      </c>
      <c r="E6046" t="s">
        <v>29</v>
      </c>
      <c r="F6046" t="s">
        <v>3480</v>
      </c>
      <c r="G6046" t="s">
        <v>11336</v>
      </c>
      <c r="H6046" t="str">
        <f>"94996"</f>
        <v>94996</v>
      </c>
      <c r="I6046" t="s">
        <v>47</v>
      </c>
    </row>
    <row r="6047" spans="1:9" x14ac:dyDescent="0.3">
      <c r="A6047" t="str">
        <f>"26990997"</f>
        <v>26990997</v>
      </c>
      <c r="B6047" t="s">
        <v>11337</v>
      </c>
      <c r="C6047" t="str">
        <f t="shared" si="400"/>
        <v>706</v>
      </c>
      <c r="D6047" t="s">
        <v>28</v>
      </c>
      <c r="E6047" t="s">
        <v>52</v>
      </c>
      <c r="F6047" t="s">
        <v>94</v>
      </c>
      <c r="G6047" t="s">
        <v>11338</v>
      </c>
      <c r="H6047" t="str">
        <f>"9499"</f>
        <v>9499</v>
      </c>
      <c r="I6047" t="s">
        <v>31</v>
      </c>
    </row>
    <row r="6048" spans="1:9" x14ac:dyDescent="0.3">
      <c r="A6048" t="str">
        <f>"75117240"</f>
        <v>75117240</v>
      </c>
      <c r="B6048" t="s">
        <v>11339</v>
      </c>
      <c r="C6048" t="str">
        <f>"736"</f>
        <v>736</v>
      </c>
      <c r="D6048" t="s">
        <v>22</v>
      </c>
      <c r="E6048" t="s">
        <v>29</v>
      </c>
      <c r="F6048" t="s">
        <v>3480</v>
      </c>
      <c r="G6048" t="s">
        <v>6571</v>
      </c>
      <c r="H6048" t="str">
        <f>"94993"</f>
        <v>94993</v>
      </c>
      <c r="I6048" t="s">
        <v>50</v>
      </c>
    </row>
    <row r="6049" spans="1:9" x14ac:dyDescent="0.3">
      <c r="A6049" t="str">
        <f>"70830321"</f>
        <v>70830321</v>
      </c>
      <c r="B6049" t="s">
        <v>11340</v>
      </c>
      <c r="C6049" t="str">
        <f>"736"</f>
        <v>736</v>
      </c>
      <c r="D6049" t="s">
        <v>22</v>
      </c>
      <c r="E6049" t="s">
        <v>23</v>
      </c>
      <c r="F6049" t="s">
        <v>1581</v>
      </c>
      <c r="G6049" t="s">
        <v>11341</v>
      </c>
      <c r="H6049" t="str">
        <f>"9499"</f>
        <v>9499</v>
      </c>
      <c r="I6049" t="s">
        <v>31</v>
      </c>
    </row>
    <row r="6050" spans="1:9" x14ac:dyDescent="0.3">
      <c r="A6050" t="str">
        <f>"22742620"</f>
        <v>22742620</v>
      </c>
      <c r="B6050" t="s">
        <v>11342</v>
      </c>
      <c r="C6050" t="str">
        <f t="shared" ref="C6050:C6074" si="402">"706"</f>
        <v>706</v>
      </c>
      <c r="D6050" t="s">
        <v>28</v>
      </c>
      <c r="E6050" t="s">
        <v>83</v>
      </c>
      <c r="F6050" t="s">
        <v>881</v>
      </c>
      <c r="G6050" t="s">
        <v>11343</v>
      </c>
      <c r="H6050" t="str">
        <f>"94993"</f>
        <v>94993</v>
      </c>
      <c r="I6050" t="s">
        <v>50</v>
      </c>
    </row>
    <row r="6051" spans="1:9" x14ac:dyDescent="0.3">
      <c r="A6051" t="str">
        <f>"22681752"</f>
        <v>22681752</v>
      </c>
      <c r="B6051" t="s">
        <v>11344</v>
      </c>
      <c r="C6051" t="str">
        <f t="shared" si="402"/>
        <v>706</v>
      </c>
      <c r="D6051" t="s">
        <v>28</v>
      </c>
      <c r="E6051" t="s">
        <v>83</v>
      </c>
      <c r="F6051" t="s">
        <v>83</v>
      </c>
      <c r="G6051" t="s">
        <v>11345</v>
      </c>
      <c r="H6051" t="str">
        <f>"9499"</f>
        <v>9499</v>
      </c>
      <c r="I6051" t="s">
        <v>31</v>
      </c>
    </row>
    <row r="6052" spans="1:9" x14ac:dyDescent="0.3">
      <c r="A6052" t="str">
        <f>"27039421"</f>
        <v>27039421</v>
      </c>
      <c r="B6052" t="s">
        <v>11346</v>
      </c>
      <c r="C6052" t="str">
        <f t="shared" si="402"/>
        <v>706</v>
      </c>
      <c r="D6052" t="s">
        <v>28</v>
      </c>
      <c r="E6052" t="s">
        <v>23</v>
      </c>
      <c r="F6052" t="s">
        <v>23</v>
      </c>
      <c r="G6052" t="s">
        <v>11347</v>
      </c>
      <c r="H6052" t="str">
        <f>"93110"</f>
        <v>93110</v>
      </c>
      <c r="I6052" t="s">
        <v>92</v>
      </c>
    </row>
    <row r="6053" spans="1:9" x14ac:dyDescent="0.3">
      <c r="A6053" t="str">
        <f>"26612844"</f>
        <v>26612844</v>
      </c>
      <c r="B6053" t="s">
        <v>11348</v>
      </c>
      <c r="C6053" t="str">
        <f t="shared" si="402"/>
        <v>706</v>
      </c>
      <c r="D6053" t="s">
        <v>28</v>
      </c>
      <c r="E6053" t="s">
        <v>23</v>
      </c>
      <c r="F6053" t="s">
        <v>24</v>
      </c>
      <c r="G6053" t="s">
        <v>11349</v>
      </c>
      <c r="H6053" t="str">
        <f>"9499"</f>
        <v>9499</v>
      </c>
      <c r="I6053" t="s">
        <v>31</v>
      </c>
    </row>
    <row r="6054" spans="1:9" x14ac:dyDescent="0.3">
      <c r="A6054" t="str">
        <f>"06753060"</f>
        <v>06753060</v>
      </c>
      <c r="B6054" t="s">
        <v>11350</v>
      </c>
      <c r="C6054" t="str">
        <f t="shared" si="402"/>
        <v>706</v>
      </c>
      <c r="D6054" t="s">
        <v>28</v>
      </c>
      <c r="E6054" t="s">
        <v>83</v>
      </c>
      <c r="F6054" t="s">
        <v>453</v>
      </c>
      <c r="G6054" t="s">
        <v>11351</v>
      </c>
      <c r="H6054" t="str">
        <f>"87301"</f>
        <v>87301</v>
      </c>
      <c r="I6054" t="s">
        <v>1186</v>
      </c>
    </row>
    <row r="6055" spans="1:9" x14ac:dyDescent="0.3">
      <c r="A6055" t="str">
        <f>"22874488"</f>
        <v>22874488</v>
      </c>
      <c r="B6055" t="s">
        <v>11352</v>
      </c>
      <c r="C6055" t="str">
        <f t="shared" si="402"/>
        <v>706</v>
      </c>
      <c r="D6055" t="s">
        <v>28</v>
      </c>
      <c r="E6055" t="s">
        <v>23</v>
      </c>
      <c r="F6055" t="s">
        <v>23</v>
      </c>
      <c r="G6055" t="s">
        <v>220</v>
      </c>
      <c r="H6055" t="str">
        <f>"9499"</f>
        <v>9499</v>
      </c>
      <c r="I6055" t="s">
        <v>31</v>
      </c>
    </row>
    <row r="6056" spans="1:9" x14ac:dyDescent="0.3">
      <c r="A6056" t="str">
        <f>"14307294"</f>
        <v>14307294</v>
      </c>
      <c r="B6056" t="s">
        <v>11353</v>
      </c>
      <c r="C6056" t="str">
        <f t="shared" si="402"/>
        <v>706</v>
      </c>
      <c r="D6056" t="s">
        <v>28</v>
      </c>
      <c r="E6056" t="s">
        <v>29</v>
      </c>
      <c r="F6056" t="s">
        <v>778</v>
      </c>
      <c r="G6056" t="s">
        <v>11354</v>
      </c>
      <c r="H6056" t="str">
        <f>"93120"</f>
        <v>93120</v>
      </c>
      <c r="I6056" t="s">
        <v>54</v>
      </c>
    </row>
    <row r="6057" spans="1:9" x14ac:dyDescent="0.3">
      <c r="A6057" t="str">
        <f>"08956171"</f>
        <v>08956171</v>
      </c>
      <c r="B6057" t="s">
        <v>11355</v>
      </c>
      <c r="C6057" t="str">
        <f t="shared" si="402"/>
        <v>706</v>
      </c>
      <c r="D6057" t="s">
        <v>28</v>
      </c>
      <c r="E6057" t="s">
        <v>29</v>
      </c>
      <c r="F6057" t="s">
        <v>852</v>
      </c>
      <c r="G6057" t="s">
        <v>11356</v>
      </c>
      <c r="H6057" t="str">
        <f>"94993"</f>
        <v>94993</v>
      </c>
      <c r="I6057" t="s">
        <v>50</v>
      </c>
    </row>
    <row r="6058" spans="1:9" x14ac:dyDescent="0.3">
      <c r="A6058" t="str">
        <f>"26591138"</f>
        <v>26591138</v>
      </c>
      <c r="B6058" t="s">
        <v>11357</v>
      </c>
      <c r="C6058" t="str">
        <f t="shared" si="402"/>
        <v>706</v>
      </c>
      <c r="D6058" t="s">
        <v>28</v>
      </c>
      <c r="E6058" t="s">
        <v>52</v>
      </c>
      <c r="F6058" t="s">
        <v>344</v>
      </c>
      <c r="G6058" t="s">
        <v>11358</v>
      </c>
      <c r="H6058" t="str">
        <f>"9499"</f>
        <v>9499</v>
      </c>
      <c r="I6058" t="s">
        <v>31</v>
      </c>
    </row>
    <row r="6059" spans="1:9" x14ac:dyDescent="0.3">
      <c r="A6059" t="str">
        <f>"02475359"</f>
        <v>02475359</v>
      </c>
      <c r="B6059" t="s">
        <v>11359</v>
      </c>
      <c r="C6059" t="str">
        <f t="shared" si="402"/>
        <v>706</v>
      </c>
      <c r="D6059" t="s">
        <v>28</v>
      </c>
      <c r="E6059" t="s">
        <v>83</v>
      </c>
      <c r="F6059" t="s">
        <v>83</v>
      </c>
      <c r="G6059" t="s">
        <v>11360</v>
      </c>
      <c r="H6059" t="str">
        <f>"9499"</f>
        <v>9499</v>
      </c>
      <c r="I6059" t="s">
        <v>31</v>
      </c>
    </row>
    <row r="6060" spans="1:9" x14ac:dyDescent="0.3">
      <c r="A6060" t="str">
        <f>"01208608"</f>
        <v>01208608</v>
      </c>
      <c r="B6060" t="s">
        <v>11361</v>
      </c>
      <c r="C6060" t="str">
        <f t="shared" si="402"/>
        <v>706</v>
      </c>
      <c r="D6060" t="s">
        <v>28</v>
      </c>
      <c r="E6060" t="s">
        <v>23</v>
      </c>
      <c r="F6060" t="s">
        <v>141</v>
      </c>
      <c r="G6060" t="s">
        <v>11362</v>
      </c>
      <c r="H6060" t="str">
        <f>"90030"</f>
        <v>90030</v>
      </c>
      <c r="I6060" t="s">
        <v>1252</v>
      </c>
    </row>
    <row r="6061" spans="1:9" x14ac:dyDescent="0.3">
      <c r="A6061" t="str">
        <f>"70846898"</f>
        <v>70846898</v>
      </c>
      <c r="B6061" t="s">
        <v>11363</v>
      </c>
      <c r="C6061" t="str">
        <f t="shared" si="402"/>
        <v>706</v>
      </c>
      <c r="D6061" t="s">
        <v>28</v>
      </c>
      <c r="E6061" t="s">
        <v>23</v>
      </c>
      <c r="F6061" t="s">
        <v>141</v>
      </c>
      <c r="G6061" t="s">
        <v>11364</v>
      </c>
      <c r="H6061" t="str">
        <f>"9499"</f>
        <v>9499</v>
      </c>
      <c r="I6061" t="s">
        <v>31</v>
      </c>
    </row>
    <row r="6062" spans="1:9" x14ac:dyDescent="0.3">
      <c r="A6062" t="str">
        <f>"03235416"</f>
        <v>03235416</v>
      </c>
      <c r="B6062" t="s">
        <v>11365</v>
      </c>
      <c r="C6062" t="str">
        <f t="shared" si="402"/>
        <v>706</v>
      </c>
      <c r="D6062" t="s">
        <v>28</v>
      </c>
      <c r="E6062" t="s">
        <v>29</v>
      </c>
      <c r="F6062" t="s">
        <v>195</v>
      </c>
      <c r="G6062" t="s">
        <v>11366</v>
      </c>
      <c r="H6062" t="str">
        <f>"94995"</f>
        <v>94995</v>
      </c>
      <c r="I6062" t="s">
        <v>232</v>
      </c>
    </row>
    <row r="6063" spans="1:9" x14ac:dyDescent="0.3">
      <c r="A6063" t="str">
        <f>"06661777"</f>
        <v>06661777</v>
      </c>
      <c r="B6063" t="s">
        <v>11367</v>
      </c>
      <c r="C6063" t="str">
        <f t="shared" si="402"/>
        <v>706</v>
      </c>
      <c r="D6063" t="s">
        <v>28</v>
      </c>
      <c r="E6063" t="s">
        <v>29</v>
      </c>
      <c r="F6063" t="s">
        <v>29</v>
      </c>
      <c r="G6063" t="s">
        <v>11368</v>
      </c>
      <c r="H6063" t="str">
        <f>"9499"</f>
        <v>9499</v>
      </c>
      <c r="I6063" t="s">
        <v>31</v>
      </c>
    </row>
    <row r="6064" spans="1:9" x14ac:dyDescent="0.3">
      <c r="A6064" t="str">
        <f>"22694099"</f>
        <v>22694099</v>
      </c>
      <c r="B6064" t="s">
        <v>11369</v>
      </c>
      <c r="C6064" t="str">
        <f t="shared" si="402"/>
        <v>706</v>
      </c>
      <c r="D6064" t="s">
        <v>28</v>
      </c>
      <c r="E6064" t="s">
        <v>52</v>
      </c>
      <c r="F6064" t="s">
        <v>52</v>
      </c>
      <c r="G6064" t="s">
        <v>11370</v>
      </c>
      <c r="H6064" t="str">
        <f>"9499"</f>
        <v>9499</v>
      </c>
      <c r="I6064" t="s">
        <v>31</v>
      </c>
    </row>
    <row r="6065" spans="1:16" x14ac:dyDescent="0.3">
      <c r="A6065" t="str">
        <f>"22905413"</f>
        <v>22905413</v>
      </c>
      <c r="B6065" t="s">
        <v>11371</v>
      </c>
      <c r="C6065" t="str">
        <f t="shared" si="402"/>
        <v>706</v>
      </c>
      <c r="D6065" t="s">
        <v>28</v>
      </c>
      <c r="E6065" t="s">
        <v>52</v>
      </c>
      <c r="F6065" t="s">
        <v>73</v>
      </c>
      <c r="G6065" t="s">
        <v>74</v>
      </c>
      <c r="H6065" t="str">
        <f>"90030"</f>
        <v>90030</v>
      </c>
      <c r="I6065" t="s">
        <v>1252</v>
      </c>
    </row>
    <row r="6066" spans="1:16" x14ac:dyDescent="0.3">
      <c r="A6066" t="str">
        <f>"14044625"</f>
        <v>14044625</v>
      </c>
      <c r="B6066" t="s">
        <v>11372</v>
      </c>
      <c r="C6066" t="str">
        <f t="shared" si="402"/>
        <v>706</v>
      </c>
      <c r="D6066" t="s">
        <v>28</v>
      </c>
      <c r="E6066" t="s">
        <v>52</v>
      </c>
      <c r="F6066" t="s">
        <v>488</v>
      </c>
      <c r="G6066" t="s">
        <v>11373</v>
      </c>
      <c r="H6066" t="str">
        <f>"9499"</f>
        <v>9499</v>
      </c>
      <c r="I6066" t="s">
        <v>31</v>
      </c>
    </row>
    <row r="6067" spans="1:16" x14ac:dyDescent="0.3">
      <c r="A6067" t="str">
        <f>"03849015"</f>
        <v>03849015</v>
      </c>
      <c r="B6067" t="s">
        <v>11374</v>
      </c>
      <c r="C6067" t="str">
        <f t="shared" si="402"/>
        <v>706</v>
      </c>
      <c r="D6067" t="s">
        <v>28</v>
      </c>
      <c r="E6067" t="s">
        <v>52</v>
      </c>
      <c r="F6067" t="s">
        <v>739</v>
      </c>
      <c r="G6067" t="s">
        <v>9386</v>
      </c>
      <c r="H6067" t="str">
        <f>"9499"</f>
        <v>9499</v>
      </c>
      <c r="I6067" t="s">
        <v>31</v>
      </c>
    </row>
    <row r="6068" spans="1:16" x14ac:dyDescent="0.3">
      <c r="A6068" t="str">
        <f>"22900870"</f>
        <v>22900870</v>
      </c>
      <c r="B6068" t="s">
        <v>11375</v>
      </c>
      <c r="C6068" t="str">
        <f t="shared" si="402"/>
        <v>706</v>
      </c>
      <c r="D6068" t="s">
        <v>28</v>
      </c>
      <c r="E6068" t="s">
        <v>52</v>
      </c>
      <c r="F6068" t="s">
        <v>52</v>
      </c>
      <c r="G6068" t="s">
        <v>5592</v>
      </c>
      <c r="H6068" t="str">
        <f>"9499"</f>
        <v>9499</v>
      </c>
      <c r="I6068" t="s">
        <v>31</v>
      </c>
    </row>
    <row r="6069" spans="1:16" x14ac:dyDescent="0.3">
      <c r="A6069" t="str">
        <f>"67006981"</f>
        <v>67006981</v>
      </c>
      <c r="B6069" t="s">
        <v>11376</v>
      </c>
      <c r="C6069" t="str">
        <f t="shared" si="402"/>
        <v>706</v>
      </c>
      <c r="D6069" t="s">
        <v>28</v>
      </c>
      <c r="E6069" t="s">
        <v>52</v>
      </c>
      <c r="F6069" t="s">
        <v>52</v>
      </c>
      <c r="G6069" t="s">
        <v>11377</v>
      </c>
      <c r="H6069" t="str">
        <f>"94120"</f>
        <v>94120</v>
      </c>
      <c r="I6069" t="s">
        <v>43</v>
      </c>
    </row>
    <row r="6070" spans="1:16" x14ac:dyDescent="0.3">
      <c r="A6070" t="str">
        <f>"66610427"</f>
        <v>66610427</v>
      </c>
      <c r="B6070" t="s">
        <v>11378</v>
      </c>
      <c r="C6070" t="str">
        <f t="shared" si="402"/>
        <v>706</v>
      </c>
      <c r="D6070" t="s">
        <v>28</v>
      </c>
      <c r="E6070" t="s">
        <v>52</v>
      </c>
      <c r="F6070" t="s">
        <v>52</v>
      </c>
      <c r="G6070" t="s">
        <v>11379</v>
      </c>
      <c r="H6070" t="str">
        <f>"9499"</f>
        <v>9499</v>
      </c>
      <c r="I6070" t="s">
        <v>31</v>
      </c>
    </row>
    <row r="6071" spans="1:16" x14ac:dyDescent="0.3">
      <c r="A6071" t="str">
        <f>"04501209"</f>
        <v>04501209</v>
      </c>
      <c r="B6071" t="s">
        <v>11380</v>
      </c>
      <c r="C6071" t="str">
        <f t="shared" si="402"/>
        <v>706</v>
      </c>
      <c r="D6071" t="s">
        <v>28</v>
      </c>
      <c r="E6071" t="s">
        <v>52</v>
      </c>
      <c r="F6071" t="s">
        <v>488</v>
      </c>
      <c r="G6071" t="s">
        <v>11381</v>
      </c>
      <c r="H6071" t="str">
        <f>"94993"</f>
        <v>94993</v>
      </c>
      <c r="I6071" t="s">
        <v>50</v>
      </c>
    </row>
    <row r="6072" spans="1:16" x14ac:dyDescent="0.3">
      <c r="A6072" t="str">
        <f>"09778799"</f>
        <v>09778799</v>
      </c>
      <c r="B6072" t="s">
        <v>11382</v>
      </c>
      <c r="C6072" t="str">
        <f t="shared" si="402"/>
        <v>706</v>
      </c>
      <c r="D6072" t="s">
        <v>28</v>
      </c>
      <c r="E6072" t="s">
        <v>23</v>
      </c>
      <c r="F6072" t="s">
        <v>99</v>
      </c>
      <c r="G6072" t="s">
        <v>99</v>
      </c>
      <c r="H6072" t="str">
        <f>"9499"</f>
        <v>9499</v>
      </c>
      <c r="I6072" t="s">
        <v>31</v>
      </c>
    </row>
    <row r="6073" spans="1:16" x14ac:dyDescent="0.3">
      <c r="A6073" t="str">
        <f>"22824189"</f>
        <v>22824189</v>
      </c>
      <c r="B6073" t="s">
        <v>11383</v>
      </c>
      <c r="C6073" t="str">
        <f t="shared" si="402"/>
        <v>706</v>
      </c>
      <c r="D6073" t="s">
        <v>28</v>
      </c>
      <c r="E6073" t="s">
        <v>23</v>
      </c>
      <c r="F6073" t="s">
        <v>107</v>
      </c>
      <c r="G6073" t="s">
        <v>11384</v>
      </c>
      <c r="H6073" t="str">
        <f>"9499"</f>
        <v>9499</v>
      </c>
      <c r="I6073" t="s">
        <v>31</v>
      </c>
    </row>
    <row r="6074" spans="1:16" x14ac:dyDescent="0.3">
      <c r="A6074" t="str">
        <f>"60575735"</f>
        <v>60575735</v>
      </c>
      <c r="B6074" t="s">
        <v>11385</v>
      </c>
      <c r="C6074" t="str">
        <f t="shared" si="402"/>
        <v>706</v>
      </c>
      <c r="D6074" t="s">
        <v>28</v>
      </c>
      <c r="E6074" t="s">
        <v>52</v>
      </c>
      <c r="F6074" t="s">
        <v>514</v>
      </c>
      <c r="G6074" t="s">
        <v>11386</v>
      </c>
      <c r="H6074" t="str">
        <f>"9499"</f>
        <v>9499</v>
      </c>
      <c r="I6074" t="s">
        <v>31</v>
      </c>
    </row>
    <row r="6075" spans="1:16" x14ac:dyDescent="0.3">
      <c r="A6075" t="str">
        <f>"02060124"</f>
        <v>02060124</v>
      </c>
      <c r="B6075" t="s">
        <v>11387</v>
      </c>
      <c r="C6075" t="str">
        <f>"141"</f>
        <v>141</v>
      </c>
      <c r="D6075" t="s">
        <v>112</v>
      </c>
      <c r="E6075" t="s">
        <v>23</v>
      </c>
      <c r="F6075" t="s">
        <v>793</v>
      </c>
      <c r="G6075" t="s">
        <v>4677</v>
      </c>
      <c r="H6075" t="str">
        <f>"8899"</f>
        <v>8899</v>
      </c>
      <c r="I6075" t="s">
        <v>40</v>
      </c>
      <c r="J6075" t="s">
        <v>258</v>
      </c>
      <c r="K6075" t="s">
        <v>147</v>
      </c>
      <c r="L6075" t="s">
        <v>159</v>
      </c>
      <c r="M6075" t="s">
        <v>146</v>
      </c>
      <c r="N6075" t="s">
        <v>160</v>
      </c>
      <c r="O6075" t="s">
        <v>989</v>
      </c>
      <c r="P6075" t="s">
        <v>163</v>
      </c>
    </row>
    <row r="6076" spans="1:16" x14ac:dyDescent="0.3">
      <c r="A6076" t="str">
        <f>"01863525"</f>
        <v>01863525</v>
      </c>
      <c r="B6076" t="s">
        <v>11388</v>
      </c>
      <c r="C6076" t="str">
        <f>"706"</f>
        <v>706</v>
      </c>
      <c r="D6076" t="s">
        <v>28</v>
      </c>
      <c r="E6076" t="s">
        <v>83</v>
      </c>
      <c r="F6076" t="s">
        <v>5486</v>
      </c>
      <c r="G6076" t="s">
        <v>11389</v>
      </c>
      <c r="H6076" t="str">
        <f>"9499"</f>
        <v>9499</v>
      </c>
      <c r="I6076" t="s">
        <v>31</v>
      </c>
    </row>
    <row r="6077" spans="1:16" x14ac:dyDescent="0.3">
      <c r="A6077" t="str">
        <f>"04811461"</f>
        <v>04811461</v>
      </c>
      <c r="B6077" t="s">
        <v>11390</v>
      </c>
      <c r="C6077" t="str">
        <f>"706"</f>
        <v>706</v>
      </c>
      <c r="D6077" t="s">
        <v>28</v>
      </c>
      <c r="E6077" t="s">
        <v>23</v>
      </c>
      <c r="F6077" t="s">
        <v>695</v>
      </c>
      <c r="G6077" t="s">
        <v>1034</v>
      </c>
      <c r="H6077" t="str">
        <f>"9499"</f>
        <v>9499</v>
      </c>
      <c r="I6077" t="s">
        <v>31</v>
      </c>
    </row>
    <row r="6078" spans="1:16" x14ac:dyDescent="0.3">
      <c r="A6078" t="str">
        <f>"73631647"</f>
        <v>73631647</v>
      </c>
      <c r="B6078" t="s">
        <v>11391</v>
      </c>
      <c r="C6078" t="str">
        <f>"721"</f>
        <v>721</v>
      </c>
      <c r="D6078" t="s">
        <v>11392</v>
      </c>
      <c r="E6078" t="s">
        <v>83</v>
      </c>
      <c r="F6078" t="s">
        <v>1718</v>
      </c>
      <c r="G6078" t="s">
        <v>1719</v>
      </c>
      <c r="H6078" t="str">
        <f>"94910"</f>
        <v>94910</v>
      </c>
      <c r="I6078" t="s">
        <v>316</v>
      </c>
    </row>
    <row r="6079" spans="1:16" x14ac:dyDescent="0.3">
      <c r="A6079" t="str">
        <f>"03640825"</f>
        <v>03640825</v>
      </c>
      <c r="B6079" t="s">
        <v>11393</v>
      </c>
      <c r="C6079" t="str">
        <f>"118"</f>
        <v>118</v>
      </c>
      <c r="D6079" t="s">
        <v>337</v>
      </c>
      <c r="E6079" t="s">
        <v>23</v>
      </c>
      <c r="F6079" t="s">
        <v>23</v>
      </c>
      <c r="G6079" t="s">
        <v>11394</v>
      </c>
      <c r="H6079" t="str">
        <f>"9499"</f>
        <v>9499</v>
      </c>
      <c r="I6079" t="s">
        <v>31</v>
      </c>
    </row>
    <row r="6080" spans="1:16" x14ac:dyDescent="0.3">
      <c r="A6080" t="str">
        <f>"26993899"</f>
        <v>26993899</v>
      </c>
      <c r="B6080" t="s">
        <v>11395</v>
      </c>
      <c r="C6080" t="str">
        <f t="shared" ref="C6080:C6122" si="403">"706"</f>
        <v>706</v>
      </c>
      <c r="D6080" t="s">
        <v>28</v>
      </c>
      <c r="E6080" t="s">
        <v>23</v>
      </c>
      <c r="F6080" t="s">
        <v>24</v>
      </c>
      <c r="G6080" t="s">
        <v>11396</v>
      </c>
      <c r="H6080" t="str">
        <f>"93110"</f>
        <v>93110</v>
      </c>
      <c r="I6080" t="s">
        <v>92</v>
      </c>
    </row>
    <row r="6081" spans="1:9" x14ac:dyDescent="0.3">
      <c r="A6081" t="str">
        <f>"14305887"</f>
        <v>14305887</v>
      </c>
      <c r="B6081" t="s">
        <v>11397</v>
      </c>
      <c r="C6081" t="str">
        <f t="shared" si="403"/>
        <v>706</v>
      </c>
      <c r="D6081" t="s">
        <v>28</v>
      </c>
      <c r="E6081" t="s">
        <v>83</v>
      </c>
      <c r="F6081" t="s">
        <v>944</v>
      </c>
      <c r="G6081" t="s">
        <v>11398</v>
      </c>
      <c r="H6081" t="str">
        <f>"9499"</f>
        <v>9499</v>
      </c>
      <c r="I6081" t="s">
        <v>31</v>
      </c>
    </row>
    <row r="6082" spans="1:9" x14ac:dyDescent="0.3">
      <c r="A6082" t="str">
        <f>"22361448"</f>
        <v>22361448</v>
      </c>
      <c r="B6082" t="s">
        <v>11399</v>
      </c>
      <c r="C6082" t="str">
        <f t="shared" si="403"/>
        <v>706</v>
      </c>
      <c r="D6082" t="s">
        <v>28</v>
      </c>
      <c r="E6082" t="s">
        <v>23</v>
      </c>
      <c r="F6082" t="s">
        <v>23</v>
      </c>
      <c r="G6082" t="s">
        <v>11400</v>
      </c>
      <c r="H6082" t="str">
        <f>"94993"</f>
        <v>94993</v>
      </c>
      <c r="I6082" t="s">
        <v>50</v>
      </c>
    </row>
    <row r="6083" spans="1:9" x14ac:dyDescent="0.3">
      <c r="A6083" t="str">
        <f>"22874879"</f>
        <v>22874879</v>
      </c>
      <c r="B6083" t="s">
        <v>11401</v>
      </c>
      <c r="C6083" t="str">
        <f t="shared" si="403"/>
        <v>706</v>
      </c>
      <c r="D6083" t="s">
        <v>28</v>
      </c>
      <c r="E6083" t="s">
        <v>29</v>
      </c>
      <c r="F6083" t="s">
        <v>195</v>
      </c>
      <c r="G6083" t="s">
        <v>11402</v>
      </c>
      <c r="H6083" t="str">
        <f>"94995"</f>
        <v>94995</v>
      </c>
      <c r="I6083" t="s">
        <v>232</v>
      </c>
    </row>
    <row r="6084" spans="1:9" x14ac:dyDescent="0.3">
      <c r="A6084" t="str">
        <f>"07196881"</f>
        <v>07196881</v>
      </c>
      <c r="B6084" t="s">
        <v>11403</v>
      </c>
      <c r="C6084" t="str">
        <f t="shared" si="403"/>
        <v>706</v>
      </c>
      <c r="D6084" t="s">
        <v>28</v>
      </c>
      <c r="E6084" t="s">
        <v>23</v>
      </c>
      <c r="F6084" t="s">
        <v>24</v>
      </c>
      <c r="G6084" t="s">
        <v>11404</v>
      </c>
      <c r="H6084" t="str">
        <f>"9499"</f>
        <v>9499</v>
      </c>
      <c r="I6084" t="s">
        <v>31</v>
      </c>
    </row>
    <row r="6085" spans="1:9" x14ac:dyDescent="0.3">
      <c r="A6085" t="str">
        <f>"04895223"</f>
        <v>04895223</v>
      </c>
      <c r="B6085" t="s">
        <v>11405</v>
      </c>
      <c r="C6085" t="str">
        <f t="shared" si="403"/>
        <v>706</v>
      </c>
      <c r="D6085" t="s">
        <v>28</v>
      </c>
      <c r="E6085" t="s">
        <v>23</v>
      </c>
      <c r="F6085" t="s">
        <v>23</v>
      </c>
      <c r="G6085" t="s">
        <v>11406</v>
      </c>
      <c r="H6085" t="str">
        <f>"9499"</f>
        <v>9499</v>
      </c>
      <c r="I6085" t="s">
        <v>31</v>
      </c>
    </row>
    <row r="6086" spans="1:9" x14ac:dyDescent="0.3">
      <c r="A6086" t="str">
        <f>"26999358"</f>
        <v>26999358</v>
      </c>
      <c r="B6086" t="s">
        <v>11407</v>
      </c>
      <c r="C6086" t="str">
        <f t="shared" si="403"/>
        <v>706</v>
      </c>
      <c r="D6086" t="s">
        <v>28</v>
      </c>
      <c r="E6086" t="s">
        <v>23</v>
      </c>
      <c r="F6086" t="s">
        <v>68</v>
      </c>
      <c r="G6086" t="s">
        <v>11408</v>
      </c>
      <c r="H6086" t="str">
        <f>"9499"</f>
        <v>9499</v>
      </c>
      <c r="I6086" t="s">
        <v>31</v>
      </c>
    </row>
    <row r="6087" spans="1:9" x14ac:dyDescent="0.3">
      <c r="A6087" t="str">
        <f>"26581451"</f>
        <v>26581451</v>
      </c>
      <c r="B6087" t="s">
        <v>11409</v>
      </c>
      <c r="C6087" t="str">
        <f t="shared" si="403"/>
        <v>706</v>
      </c>
      <c r="D6087" t="s">
        <v>28</v>
      </c>
      <c r="E6087" t="s">
        <v>23</v>
      </c>
      <c r="F6087" t="s">
        <v>68</v>
      </c>
      <c r="G6087" t="s">
        <v>11410</v>
      </c>
      <c r="H6087" t="str">
        <f>"9499"</f>
        <v>9499</v>
      </c>
      <c r="I6087" t="s">
        <v>31</v>
      </c>
    </row>
    <row r="6088" spans="1:9" x14ac:dyDescent="0.3">
      <c r="A6088" t="str">
        <f>"42340144"</f>
        <v>42340144</v>
      </c>
      <c r="B6088" t="s">
        <v>11411</v>
      </c>
      <c r="C6088" t="str">
        <f t="shared" si="403"/>
        <v>706</v>
      </c>
      <c r="D6088" t="s">
        <v>28</v>
      </c>
      <c r="E6088" t="s">
        <v>23</v>
      </c>
      <c r="F6088" t="s">
        <v>68</v>
      </c>
      <c r="G6088" t="s">
        <v>11412</v>
      </c>
      <c r="H6088" t="str">
        <f>"93290"</f>
        <v>93290</v>
      </c>
      <c r="I6088" t="s">
        <v>126</v>
      </c>
    </row>
    <row r="6089" spans="1:9" x14ac:dyDescent="0.3">
      <c r="A6089" t="str">
        <f>"27024661"</f>
        <v>27024661</v>
      </c>
      <c r="B6089" t="s">
        <v>11413</v>
      </c>
      <c r="C6089" t="str">
        <f t="shared" si="403"/>
        <v>706</v>
      </c>
      <c r="D6089" t="s">
        <v>28</v>
      </c>
      <c r="E6089" t="s">
        <v>23</v>
      </c>
      <c r="F6089" t="s">
        <v>68</v>
      </c>
      <c r="G6089" t="s">
        <v>11414</v>
      </c>
      <c r="H6089" t="str">
        <f>"9499"</f>
        <v>9499</v>
      </c>
      <c r="I6089" t="s">
        <v>31</v>
      </c>
    </row>
    <row r="6090" spans="1:9" x14ac:dyDescent="0.3">
      <c r="A6090" t="str">
        <f>"70416206"</f>
        <v>70416206</v>
      </c>
      <c r="B6090" t="s">
        <v>11415</v>
      </c>
      <c r="C6090" t="str">
        <f t="shared" si="403"/>
        <v>706</v>
      </c>
      <c r="D6090" t="s">
        <v>28</v>
      </c>
      <c r="E6090" t="s">
        <v>23</v>
      </c>
      <c r="F6090" t="s">
        <v>68</v>
      </c>
      <c r="G6090" t="s">
        <v>11416</v>
      </c>
      <c r="H6090" t="str">
        <f>"94993"</f>
        <v>94993</v>
      </c>
      <c r="I6090" t="s">
        <v>50</v>
      </c>
    </row>
    <row r="6091" spans="1:9" x14ac:dyDescent="0.3">
      <c r="A6091" t="str">
        <f>"49563254"</f>
        <v>49563254</v>
      </c>
      <c r="B6091" t="s">
        <v>11417</v>
      </c>
      <c r="C6091" t="str">
        <f t="shared" si="403"/>
        <v>706</v>
      </c>
      <c r="D6091" t="s">
        <v>28</v>
      </c>
      <c r="E6091" t="s">
        <v>29</v>
      </c>
      <c r="F6091" t="s">
        <v>29</v>
      </c>
      <c r="G6091" t="s">
        <v>11418</v>
      </c>
      <c r="H6091" t="str">
        <f>"93110"</f>
        <v>93110</v>
      </c>
      <c r="I6091" t="s">
        <v>92</v>
      </c>
    </row>
    <row r="6092" spans="1:9" x14ac:dyDescent="0.3">
      <c r="A6092" t="str">
        <f>"05721156"</f>
        <v>05721156</v>
      </c>
      <c r="B6092" t="s">
        <v>11419</v>
      </c>
      <c r="C6092" t="str">
        <f t="shared" si="403"/>
        <v>706</v>
      </c>
      <c r="D6092" t="s">
        <v>28</v>
      </c>
      <c r="E6092" t="s">
        <v>29</v>
      </c>
      <c r="F6092" t="s">
        <v>607</v>
      </c>
      <c r="G6092" t="s">
        <v>11420</v>
      </c>
      <c r="H6092" t="str">
        <f>"93190"</f>
        <v>93190</v>
      </c>
      <c r="I6092" t="s">
        <v>59</v>
      </c>
    </row>
    <row r="6093" spans="1:9" x14ac:dyDescent="0.3">
      <c r="A6093" t="str">
        <f>"26579529"</f>
        <v>26579529</v>
      </c>
      <c r="B6093" t="s">
        <v>11421</v>
      </c>
      <c r="C6093" t="str">
        <f t="shared" si="403"/>
        <v>706</v>
      </c>
      <c r="D6093" t="s">
        <v>28</v>
      </c>
      <c r="E6093" t="s">
        <v>52</v>
      </c>
      <c r="F6093" t="s">
        <v>52</v>
      </c>
      <c r="G6093" t="s">
        <v>11422</v>
      </c>
      <c r="H6093" t="str">
        <f>"93120"</f>
        <v>93120</v>
      </c>
      <c r="I6093" t="s">
        <v>54</v>
      </c>
    </row>
    <row r="6094" spans="1:9" x14ac:dyDescent="0.3">
      <c r="A6094" t="str">
        <f>"17903912"</f>
        <v>17903912</v>
      </c>
      <c r="B6094" t="s">
        <v>11423</v>
      </c>
      <c r="C6094" t="str">
        <f t="shared" si="403"/>
        <v>706</v>
      </c>
      <c r="D6094" t="s">
        <v>28</v>
      </c>
      <c r="E6094" t="s">
        <v>23</v>
      </c>
      <c r="F6094" t="s">
        <v>190</v>
      </c>
      <c r="G6094" t="s">
        <v>11424</v>
      </c>
      <c r="H6094" t="str">
        <f>"93190"</f>
        <v>93190</v>
      </c>
      <c r="I6094" t="s">
        <v>59</v>
      </c>
    </row>
    <row r="6095" spans="1:9" x14ac:dyDescent="0.3">
      <c r="A6095" t="str">
        <f>"02290324"</f>
        <v>02290324</v>
      </c>
      <c r="B6095" t="s">
        <v>11425</v>
      </c>
      <c r="C6095" t="str">
        <f t="shared" si="403"/>
        <v>706</v>
      </c>
      <c r="D6095" t="s">
        <v>28</v>
      </c>
      <c r="E6095" t="s">
        <v>83</v>
      </c>
      <c r="F6095" t="s">
        <v>183</v>
      </c>
      <c r="G6095" t="s">
        <v>4098</v>
      </c>
      <c r="H6095" t="str">
        <f>"94995"</f>
        <v>94995</v>
      </c>
      <c r="I6095" t="s">
        <v>232</v>
      </c>
    </row>
    <row r="6096" spans="1:9" x14ac:dyDescent="0.3">
      <c r="A6096" t="str">
        <f>"01606476"</f>
        <v>01606476</v>
      </c>
      <c r="B6096" t="s">
        <v>11426</v>
      </c>
      <c r="C6096" t="str">
        <f t="shared" si="403"/>
        <v>706</v>
      </c>
      <c r="D6096" t="s">
        <v>28</v>
      </c>
      <c r="E6096" t="s">
        <v>23</v>
      </c>
      <c r="F6096" t="s">
        <v>245</v>
      </c>
      <c r="G6096" t="s">
        <v>2869</v>
      </c>
      <c r="H6096" t="str">
        <f>"9499"</f>
        <v>9499</v>
      </c>
      <c r="I6096" t="s">
        <v>31</v>
      </c>
    </row>
    <row r="6097" spans="1:9" x14ac:dyDescent="0.3">
      <c r="A6097" t="str">
        <f>"01559257"</f>
        <v>01559257</v>
      </c>
      <c r="B6097" t="s">
        <v>11427</v>
      </c>
      <c r="C6097" t="str">
        <f t="shared" si="403"/>
        <v>706</v>
      </c>
      <c r="D6097" t="s">
        <v>28</v>
      </c>
      <c r="E6097" t="s">
        <v>29</v>
      </c>
      <c r="F6097" t="s">
        <v>271</v>
      </c>
      <c r="G6097" t="s">
        <v>11428</v>
      </c>
      <c r="H6097" t="str">
        <f>"9499"</f>
        <v>9499</v>
      </c>
      <c r="I6097" t="s">
        <v>31</v>
      </c>
    </row>
    <row r="6098" spans="1:9" x14ac:dyDescent="0.3">
      <c r="A6098" t="str">
        <f>"07523220"</f>
        <v>07523220</v>
      </c>
      <c r="B6098" t="s">
        <v>11429</v>
      </c>
      <c r="C6098" t="str">
        <f t="shared" si="403"/>
        <v>706</v>
      </c>
      <c r="D6098" t="s">
        <v>28</v>
      </c>
      <c r="E6098" t="s">
        <v>52</v>
      </c>
      <c r="F6098" t="s">
        <v>951</v>
      </c>
      <c r="G6098" t="s">
        <v>11430</v>
      </c>
      <c r="H6098" t="str">
        <f>"93190"</f>
        <v>93190</v>
      </c>
      <c r="I6098" t="s">
        <v>59</v>
      </c>
    </row>
    <row r="6099" spans="1:9" x14ac:dyDescent="0.3">
      <c r="A6099" t="str">
        <f>"21957801"</f>
        <v>21957801</v>
      </c>
      <c r="B6099" t="s">
        <v>11431</v>
      </c>
      <c r="C6099" t="str">
        <f t="shared" si="403"/>
        <v>706</v>
      </c>
      <c r="D6099" t="s">
        <v>28</v>
      </c>
      <c r="E6099" t="s">
        <v>29</v>
      </c>
      <c r="F6099" t="s">
        <v>29</v>
      </c>
      <c r="G6099" t="s">
        <v>375</v>
      </c>
      <c r="H6099" t="str">
        <f>"9499"</f>
        <v>9499</v>
      </c>
      <c r="I6099" t="s">
        <v>31</v>
      </c>
    </row>
    <row r="6100" spans="1:9" x14ac:dyDescent="0.3">
      <c r="A6100" t="str">
        <f>"04892704"</f>
        <v>04892704</v>
      </c>
      <c r="B6100" t="s">
        <v>11432</v>
      </c>
      <c r="C6100" t="str">
        <f t="shared" si="403"/>
        <v>706</v>
      </c>
      <c r="D6100" t="s">
        <v>28</v>
      </c>
      <c r="E6100" t="s">
        <v>29</v>
      </c>
      <c r="F6100" t="s">
        <v>876</v>
      </c>
      <c r="G6100" t="s">
        <v>11433</v>
      </c>
      <c r="H6100" t="str">
        <f>"9499"</f>
        <v>9499</v>
      </c>
      <c r="I6100" t="s">
        <v>31</v>
      </c>
    </row>
    <row r="6101" spans="1:9" x14ac:dyDescent="0.3">
      <c r="A6101" t="str">
        <f>"18189318"</f>
        <v>18189318</v>
      </c>
      <c r="B6101" t="s">
        <v>11434</v>
      </c>
      <c r="C6101" t="str">
        <f t="shared" si="403"/>
        <v>706</v>
      </c>
      <c r="D6101" t="s">
        <v>28</v>
      </c>
      <c r="E6101" t="s">
        <v>83</v>
      </c>
      <c r="F6101" t="s">
        <v>83</v>
      </c>
      <c r="G6101" t="s">
        <v>11435</v>
      </c>
      <c r="H6101" t="str">
        <f>"93120"</f>
        <v>93120</v>
      </c>
      <c r="I6101" t="s">
        <v>54</v>
      </c>
    </row>
    <row r="6102" spans="1:9" x14ac:dyDescent="0.3">
      <c r="A6102" t="str">
        <f>"22846476"</f>
        <v>22846476</v>
      </c>
      <c r="B6102" t="s">
        <v>11436</v>
      </c>
      <c r="C6102" t="str">
        <f t="shared" si="403"/>
        <v>706</v>
      </c>
      <c r="D6102" t="s">
        <v>28</v>
      </c>
      <c r="E6102" t="s">
        <v>83</v>
      </c>
      <c r="F6102" t="s">
        <v>409</v>
      </c>
      <c r="G6102" t="s">
        <v>11437</v>
      </c>
      <c r="H6102" t="str">
        <f>"93120"</f>
        <v>93120</v>
      </c>
      <c r="I6102" t="s">
        <v>54</v>
      </c>
    </row>
    <row r="6103" spans="1:9" x14ac:dyDescent="0.3">
      <c r="A6103" t="str">
        <f>"49157906"</f>
        <v>49157906</v>
      </c>
      <c r="B6103" t="s">
        <v>11438</v>
      </c>
      <c r="C6103" t="str">
        <f t="shared" si="403"/>
        <v>706</v>
      </c>
      <c r="D6103" t="s">
        <v>28</v>
      </c>
      <c r="E6103" t="s">
        <v>23</v>
      </c>
      <c r="F6103" t="s">
        <v>23</v>
      </c>
      <c r="G6103" t="s">
        <v>204</v>
      </c>
      <c r="H6103" t="str">
        <f>"9499"</f>
        <v>9499</v>
      </c>
      <c r="I6103" t="s">
        <v>31</v>
      </c>
    </row>
    <row r="6104" spans="1:9" x14ac:dyDescent="0.3">
      <c r="A6104" t="str">
        <f>"22610740"</f>
        <v>22610740</v>
      </c>
      <c r="B6104" t="s">
        <v>11439</v>
      </c>
      <c r="C6104" t="str">
        <f t="shared" si="403"/>
        <v>706</v>
      </c>
      <c r="D6104" t="s">
        <v>28</v>
      </c>
      <c r="E6104" t="s">
        <v>23</v>
      </c>
      <c r="F6104" t="s">
        <v>306</v>
      </c>
      <c r="G6104" t="s">
        <v>11440</v>
      </c>
      <c r="H6104" t="str">
        <f>"9499"</f>
        <v>9499</v>
      </c>
      <c r="I6104" t="s">
        <v>31</v>
      </c>
    </row>
    <row r="6105" spans="1:9" x14ac:dyDescent="0.3">
      <c r="A6105" t="str">
        <f>"26676818"</f>
        <v>26676818</v>
      </c>
      <c r="B6105" t="s">
        <v>11441</v>
      </c>
      <c r="C6105" t="str">
        <f t="shared" si="403"/>
        <v>706</v>
      </c>
      <c r="D6105" t="s">
        <v>28</v>
      </c>
      <c r="E6105" t="s">
        <v>52</v>
      </c>
      <c r="F6105" t="s">
        <v>864</v>
      </c>
      <c r="G6105" t="s">
        <v>11442</v>
      </c>
      <c r="H6105" t="str">
        <f>"9499"</f>
        <v>9499</v>
      </c>
      <c r="I6105" t="s">
        <v>31</v>
      </c>
    </row>
    <row r="6106" spans="1:9" x14ac:dyDescent="0.3">
      <c r="A6106" t="str">
        <f>"01392727"</f>
        <v>01392727</v>
      </c>
      <c r="B6106" t="s">
        <v>11443</v>
      </c>
      <c r="C6106" t="str">
        <f t="shared" si="403"/>
        <v>706</v>
      </c>
      <c r="D6106" t="s">
        <v>28</v>
      </c>
      <c r="E6106" t="s">
        <v>52</v>
      </c>
      <c r="F6106" t="s">
        <v>864</v>
      </c>
      <c r="G6106" t="s">
        <v>11444</v>
      </c>
      <c r="H6106" t="str">
        <f>"9499"</f>
        <v>9499</v>
      </c>
      <c r="I6106" t="s">
        <v>31</v>
      </c>
    </row>
    <row r="6107" spans="1:9" x14ac:dyDescent="0.3">
      <c r="A6107" t="str">
        <f>"09476881"</f>
        <v>09476881</v>
      </c>
      <c r="B6107" t="s">
        <v>11445</v>
      </c>
      <c r="C6107" t="str">
        <f t="shared" si="403"/>
        <v>706</v>
      </c>
      <c r="D6107" t="s">
        <v>28</v>
      </c>
      <c r="E6107" t="s">
        <v>29</v>
      </c>
      <c r="F6107" t="s">
        <v>29</v>
      </c>
      <c r="G6107" t="s">
        <v>11418</v>
      </c>
      <c r="H6107" t="str">
        <f>"93190"</f>
        <v>93190</v>
      </c>
      <c r="I6107" t="s">
        <v>59</v>
      </c>
    </row>
    <row r="6108" spans="1:9" x14ac:dyDescent="0.3">
      <c r="A6108" t="str">
        <f>"04710321"</f>
        <v>04710321</v>
      </c>
      <c r="B6108" t="s">
        <v>11446</v>
      </c>
      <c r="C6108" t="str">
        <f t="shared" si="403"/>
        <v>706</v>
      </c>
      <c r="D6108" t="s">
        <v>28</v>
      </c>
      <c r="E6108" t="s">
        <v>29</v>
      </c>
      <c r="F6108" t="s">
        <v>271</v>
      </c>
      <c r="G6108" t="s">
        <v>1660</v>
      </c>
      <c r="H6108" t="str">
        <f>"93190"</f>
        <v>93190</v>
      </c>
      <c r="I6108" t="s">
        <v>59</v>
      </c>
    </row>
    <row r="6109" spans="1:9" x14ac:dyDescent="0.3">
      <c r="A6109" t="str">
        <f>"43963811"</f>
        <v>43963811</v>
      </c>
      <c r="B6109" t="s">
        <v>11447</v>
      </c>
      <c r="C6109" t="str">
        <f t="shared" si="403"/>
        <v>706</v>
      </c>
      <c r="D6109" t="s">
        <v>28</v>
      </c>
      <c r="E6109" t="s">
        <v>29</v>
      </c>
      <c r="F6109" t="s">
        <v>29</v>
      </c>
      <c r="G6109" t="s">
        <v>1303</v>
      </c>
      <c r="H6109" t="str">
        <f>"93110"</f>
        <v>93110</v>
      </c>
      <c r="I6109" t="s">
        <v>92</v>
      </c>
    </row>
    <row r="6110" spans="1:9" x14ac:dyDescent="0.3">
      <c r="A6110" t="str">
        <f>"26525968"</f>
        <v>26525968</v>
      </c>
      <c r="B6110" t="s">
        <v>11448</v>
      </c>
      <c r="C6110" t="str">
        <f t="shared" si="403"/>
        <v>706</v>
      </c>
      <c r="D6110" t="s">
        <v>28</v>
      </c>
      <c r="E6110" t="s">
        <v>23</v>
      </c>
      <c r="F6110" t="s">
        <v>2429</v>
      </c>
      <c r="G6110" t="s">
        <v>3108</v>
      </c>
      <c r="H6110" t="str">
        <f>"9499"</f>
        <v>9499</v>
      </c>
      <c r="I6110" t="s">
        <v>31</v>
      </c>
    </row>
    <row r="6111" spans="1:9" x14ac:dyDescent="0.3">
      <c r="A6111" t="str">
        <f>"45659711"</f>
        <v>45659711</v>
      </c>
      <c r="B6111" t="s">
        <v>11449</v>
      </c>
      <c r="C6111" t="str">
        <f t="shared" si="403"/>
        <v>706</v>
      </c>
      <c r="D6111" t="s">
        <v>28</v>
      </c>
      <c r="E6111" t="s">
        <v>23</v>
      </c>
      <c r="F6111" t="s">
        <v>141</v>
      </c>
      <c r="G6111" t="s">
        <v>11450</v>
      </c>
      <c r="H6111" t="str">
        <f>"93110"</f>
        <v>93110</v>
      </c>
      <c r="I6111" t="s">
        <v>92</v>
      </c>
    </row>
    <row r="6112" spans="1:9" x14ac:dyDescent="0.3">
      <c r="A6112" t="str">
        <f>"27003035"</f>
        <v>27003035</v>
      </c>
      <c r="B6112" t="s">
        <v>11451</v>
      </c>
      <c r="C6112" t="str">
        <f t="shared" si="403"/>
        <v>706</v>
      </c>
      <c r="D6112" t="s">
        <v>28</v>
      </c>
      <c r="E6112" t="s">
        <v>83</v>
      </c>
      <c r="F6112" t="s">
        <v>1778</v>
      </c>
      <c r="G6112" t="s">
        <v>11452</v>
      </c>
      <c r="H6112" t="str">
        <f>"93110"</f>
        <v>93110</v>
      </c>
      <c r="I6112" t="s">
        <v>92</v>
      </c>
    </row>
    <row r="6113" spans="1:12" x14ac:dyDescent="0.3">
      <c r="A6113" t="str">
        <f>"01719572"</f>
        <v>01719572</v>
      </c>
      <c r="B6113" t="s">
        <v>11453</v>
      </c>
      <c r="C6113" t="str">
        <f t="shared" si="403"/>
        <v>706</v>
      </c>
      <c r="D6113" t="s">
        <v>28</v>
      </c>
      <c r="E6113" t="s">
        <v>29</v>
      </c>
      <c r="F6113" t="s">
        <v>195</v>
      </c>
      <c r="G6113" t="s">
        <v>11454</v>
      </c>
      <c r="H6113" t="str">
        <f>"93120"</f>
        <v>93120</v>
      </c>
      <c r="I6113" t="s">
        <v>54</v>
      </c>
    </row>
    <row r="6114" spans="1:12" x14ac:dyDescent="0.3">
      <c r="A6114" t="str">
        <f>"48491977"</f>
        <v>48491977</v>
      </c>
      <c r="B6114" t="s">
        <v>11455</v>
      </c>
      <c r="C6114" t="str">
        <f t="shared" si="403"/>
        <v>706</v>
      </c>
      <c r="D6114" t="s">
        <v>28</v>
      </c>
      <c r="E6114" t="s">
        <v>52</v>
      </c>
      <c r="F6114" t="s">
        <v>379</v>
      </c>
      <c r="G6114" t="s">
        <v>3940</v>
      </c>
      <c r="H6114" t="str">
        <f>"93110"</f>
        <v>93110</v>
      </c>
      <c r="I6114" t="s">
        <v>92</v>
      </c>
    </row>
    <row r="6115" spans="1:12" x14ac:dyDescent="0.3">
      <c r="A6115" t="str">
        <f>"00567931"</f>
        <v>00567931</v>
      </c>
      <c r="B6115" t="s">
        <v>11456</v>
      </c>
      <c r="C6115" t="str">
        <f t="shared" si="403"/>
        <v>706</v>
      </c>
      <c r="D6115" t="s">
        <v>28</v>
      </c>
      <c r="E6115" t="s">
        <v>23</v>
      </c>
      <c r="F6115" t="s">
        <v>23</v>
      </c>
      <c r="G6115" t="s">
        <v>204</v>
      </c>
      <c r="H6115" t="str">
        <f>"93110"</f>
        <v>93110</v>
      </c>
      <c r="I6115" t="s">
        <v>92</v>
      </c>
    </row>
    <row r="6116" spans="1:12" x14ac:dyDescent="0.3">
      <c r="A6116" t="str">
        <f>"10970908"</f>
        <v>10970908</v>
      </c>
      <c r="B6116" t="s">
        <v>11457</v>
      </c>
      <c r="C6116" t="str">
        <f t="shared" si="403"/>
        <v>706</v>
      </c>
      <c r="D6116" t="s">
        <v>28</v>
      </c>
      <c r="E6116" t="s">
        <v>23</v>
      </c>
      <c r="F6116" t="s">
        <v>23</v>
      </c>
      <c r="G6116" t="s">
        <v>11458</v>
      </c>
      <c r="H6116" t="str">
        <f>"93190"</f>
        <v>93190</v>
      </c>
      <c r="I6116" t="s">
        <v>59</v>
      </c>
    </row>
    <row r="6117" spans="1:12" x14ac:dyDescent="0.3">
      <c r="A6117" t="str">
        <f>"47930071"</f>
        <v>47930071</v>
      </c>
      <c r="B6117" t="s">
        <v>11459</v>
      </c>
      <c r="C6117" t="str">
        <f t="shared" si="403"/>
        <v>706</v>
      </c>
      <c r="D6117" t="s">
        <v>28</v>
      </c>
      <c r="E6117" t="s">
        <v>83</v>
      </c>
      <c r="F6117" t="s">
        <v>83</v>
      </c>
      <c r="G6117" t="s">
        <v>9161</v>
      </c>
      <c r="H6117" t="str">
        <f>"93110"</f>
        <v>93110</v>
      </c>
      <c r="I6117" t="s">
        <v>92</v>
      </c>
    </row>
    <row r="6118" spans="1:12" x14ac:dyDescent="0.3">
      <c r="A6118" t="str">
        <f>"14279592"</f>
        <v>14279592</v>
      </c>
      <c r="B6118" t="s">
        <v>11460</v>
      </c>
      <c r="C6118" t="str">
        <f t="shared" si="403"/>
        <v>706</v>
      </c>
      <c r="D6118" t="s">
        <v>28</v>
      </c>
      <c r="E6118" t="s">
        <v>23</v>
      </c>
      <c r="F6118" t="s">
        <v>68</v>
      </c>
      <c r="G6118" t="s">
        <v>11461</v>
      </c>
      <c r="H6118" t="str">
        <f>"90010"</f>
        <v>90010</v>
      </c>
      <c r="I6118" t="s">
        <v>2014</v>
      </c>
    </row>
    <row r="6119" spans="1:12" x14ac:dyDescent="0.3">
      <c r="A6119" t="str">
        <f>"02266521"</f>
        <v>02266521</v>
      </c>
      <c r="B6119" t="s">
        <v>11462</v>
      </c>
      <c r="C6119" t="str">
        <f t="shared" si="403"/>
        <v>706</v>
      </c>
      <c r="D6119" t="s">
        <v>28</v>
      </c>
      <c r="E6119" t="s">
        <v>52</v>
      </c>
      <c r="F6119" t="s">
        <v>94</v>
      </c>
      <c r="G6119" t="s">
        <v>11463</v>
      </c>
      <c r="H6119" t="str">
        <f>"9499"</f>
        <v>9499</v>
      </c>
      <c r="I6119" t="s">
        <v>31</v>
      </c>
    </row>
    <row r="6120" spans="1:12" x14ac:dyDescent="0.3">
      <c r="A6120" t="str">
        <f>"26517698"</f>
        <v>26517698</v>
      </c>
      <c r="B6120" t="s">
        <v>11464</v>
      </c>
      <c r="C6120" t="str">
        <f t="shared" si="403"/>
        <v>706</v>
      </c>
      <c r="D6120" t="s">
        <v>28</v>
      </c>
      <c r="E6120" t="s">
        <v>23</v>
      </c>
      <c r="F6120" t="s">
        <v>23</v>
      </c>
      <c r="G6120" t="s">
        <v>11465</v>
      </c>
      <c r="H6120" t="str">
        <f>"9499"</f>
        <v>9499</v>
      </c>
      <c r="I6120" t="s">
        <v>31</v>
      </c>
    </row>
    <row r="6121" spans="1:12" x14ac:dyDescent="0.3">
      <c r="A6121" t="str">
        <f>"21320306"</f>
        <v>21320306</v>
      </c>
      <c r="B6121" t="s">
        <v>11466</v>
      </c>
      <c r="C6121" t="str">
        <f t="shared" si="403"/>
        <v>706</v>
      </c>
      <c r="D6121" t="s">
        <v>28</v>
      </c>
      <c r="E6121" t="s">
        <v>29</v>
      </c>
      <c r="F6121" t="s">
        <v>1221</v>
      </c>
      <c r="G6121" t="s">
        <v>11467</v>
      </c>
      <c r="H6121" t="str">
        <f>"9499"</f>
        <v>9499</v>
      </c>
      <c r="I6121" t="s">
        <v>31</v>
      </c>
    </row>
    <row r="6122" spans="1:12" x14ac:dyDescent="0.3">
      <c r="A6122" t="str">
        <f>"07669631"</f>
        <v>07669631</v>
      </c>
      <c r="B6122" t="s">
        <v>11468</v>
      </c>
      <c r="C6122" t="str">
        <f t="shared" si="403"/>
        <v>706</v>
      </c>
      <c r="D6122" t="s">
        <v>28</v>
      </c>
      <c r="E6122" t="s">
        <v>23</v>
      </c>
      <c r="F6122" t="s">
        <v>23</v>
      </c>
      <c r="G6122" t="s">
        <v>4687</v>
      </c>
      <c r="H6122" t="str">
        <f>"9499"</f>
        <v>9499</v>
      </c>
      <c r="I6122" t="s">
        <v>31</v>
      </c>
    </row>
    <row r="6123" spans="1:12" x14ac:dyDescent="0.3">
      <c r="A6123" t="str">
        <f>"27709957"</f>
        <v>27709957</v>
      </c>
      <c r="B6123" t="s">
        <v>11469</v>
      </c>
      <c r="C6123" t="str">
        <f>"141"</f>
        <v>141</v>
      </c>
      <c r="D6123" t="s">
        <v>112</v>
      </c>
      <c r="E6123" t="s">
        <v>23</v>
      </c>
      <c r="F6123" t="s">
        <v>23</v>
      </c>
      <c r="G6123" t="s">
        <v>418</v>
      </c>
      <c r="H6123" t="str">
        <f>"900"</f>
        <v>900</v>
      </c>
      <c r="I6123" t="s">
        <v>500</v>
      </c>
      <c r="J6123" t="s">
        <v>10449</v>
      </c>
      <c r="K6123" t="s">
        <v>115</v>
      </c>
      <c r="L6123" t="s">
        <v>11470</v>
      </c>
    </row>
    <row r="6124" spans="1:12" x14ac:dyDescent="0.3">
      <c r="A6124" t="str">
        <f>"49156527"</f>
        <v>49156527</v>
      </c>
      <c r="B6124" t="s">
        <v>11471</v>
      </c>
      <c r="C6124" t="str">
        <f>"706"</f>
        <v>706</v>
      </c>
      <c r="D6124" t="s">
        <v>28</v>
      </c>
      <c r="E6124" t="s">
        <v>23</v>
      </c>
      <c r="F6124" t="s">
        <v>23</v>
      </c>
      <c r="G6124" t="s">
        <v>280</v>
      </c>
      <c r="H6124" t="str">
        <f>"90030"</f>
        <v>90030</v>
      </c>
      <c r="I6124" t="s">
        <v>1252</v>
      </c>
    </row>
    <row r="6125" spans="1:12" x14ac:dyDescent="0.3">
      <c r="A6125" t="str">
        <f>"22676619"</f>
        <v>22676619</v>
      </c>
      <c r="B6125" t="s">
        <v>11472</v>
      </c>
      <c r="C6125" t="str">
        <f>"706"</f>
        <v>706</v>
      </c>
      <c r="D6125" t="s">
        <v>28</v>
      </c>
      <c r="E6125" t="s">
        <v>29</v>
      </c>
      <c r="F6125" t="s">
        <v>195</v>
      </c>
      <c r="G6125" t="s">
        <v>11473</v>
      </c>
      <c r="H6125" t="str">
        <f>"93110"</f>
        <v>93110</v>
      </c>
      <c r="I6125" t="s">
        <v>92</v>
      </c>
    </row>
    <row r="6126" spans="1:12" x14ac:dyDescent="0.3">
      <c r="A6126" t="str">
        <f>"21871230"</f>
        <v>21871230</v>
      </c>
      <c r="B6126" t="s">
        <v>11474</v>
      </c>
      <c r="C6126" t="str">
        <f>"736"</f>
        <v>736</v>
      </c>
      <c r="D6126" t="s">
        <v>22</v>
      </c>
      <c r="E6126" t="s">
        <v>23</v>
      </c>
      <c r="F6126" t="s">
        <v>695</v>
      </c>
      <c r="G6126" t="s">
        <v>11475</v>
      </c>
      <c r="H6126" t="str">
        <f>"94993"</f>
        <v>94993</v>
      </c>
      <c r="I6126" t="s">
        <v>50</v>
      </c>
    </row>
    <row r="6127" spans="1:12" x14ac:dyDescent="0.3">
      <c r="A6127" t="str">
        <f>"03543340"</f>
        <v>03543340</v>
      </c>
      <c r="B6127" t="s">
        <v>11476</v>
      </c>
      <c r="C6127" t="str">
        <f t="shared" ref="C6127:C6142" si="404">"706"</f>
        <v>706</v>
      </c>
      <c r="D6127" t="s">
        <v>28</v>
      </c>
      <c r="E6127" t="s">
        <v>29</v>
      </c>
      <c r="F6127" t="s">
        <v>29</v>
      </c>
      <c r="G6127" t="s">
        <v>11477</v>
      </c>
      <c r="H6127" t="str">
        <f>"9319"</f>
        <v>9319</v>
      </c>
      <c r="I6127" t="s">
        <v>59</v>
      </c>
    </row>
    <row r="6128" spans="1:12" x14ac:dyDescent="0.3">
      <c r="A6128" t="str">
        <f>"48773531"</f>
        <v>48773531</v>
      </c>
      <c r="B6128" t="s">
        <v>11478</v>
      </c>
      <c r="C6128" t="str">
        <f t="shared" si="404"/>
        <v>706</v>
      </c>
      <c r="D6128" t="s">
        <v>28</v>
      </c>
      <c r="E6128" t="s">
        <v>29</v>
      </c>
      <c r="F6128" t="s">
        <v>29</v>
      </c>
      <c r="G6128" t="s">
        <v>11479</v>
      </c>
      <c r="H6128" t="str">
        <f>"9499"</f>
        <v>9499</v>
      </c>
      <c r="I6128" t="s">
        <v>31</v>
      </c>
    </row>
    <row r="6129" spans="1:12" x14ac:dyDescent="0.3">
      <c r="A6129" t="str">
        <f>"03807240"</f>
        <v>03807240</v>
      </c>
      <c r="B6129" t="s">
        <v>11480</v>
      </c>
      <c r="C6129" t="str">
        <f t="shared" si="404"/>
        <v>706</v>
      </c>
      <c r="D6129" t="s">
        <v>28</v>
      </c>
      <c r="E6129" t="s">
        <v>29</v>
      </c>
      <c r="F6129" t="s">
        <v>195</v>
      </c>
      <c r="G6129" t="s">
        <v>11481</v>
      </c>
      <c r="H6129" t="str">
        <f>"93190"</f>
        <v>93190</v>
      </c>
      <c r="I6129" t="s">
        <v>59</v>
      </c>
    </row>
    <row r="6130" spans="1:12" x14ac:dyDescent="0.3">
      <c r="A6130" t="str">
        <f>"22718532"</f>
        <v>22718532</v>
      </c>
      <c r="B6130" t="s">
        <v>11482</v>
      </c>
      <c r="C6130" t="str">
        <f t="shared" si="404"/>
        <v>706</v>
      </c>
      <c r="D6130" t="s">
        <v>28</v>
      </c>
      <c r="E6130" t="s">
        <v>29</v>
      </c>
      <c r="F6130" t="s">
        <v>195</v>
      </c>
      <c r="G6130" t="s">
        <v>11483</v>
      </c>
      <c r="H6130" t="str">
        <f>"94993"</f>
        <v>94993</v>
      </c>
      <c r="I6130" t="s">
        <v>50</v>
      </c>
    </row>
    <row r="6131" spans="1:12" x14ac:dyDescent="0.3">
      <c r="A6131" t="str">
        <f>"17113563"</f>
        <v>17113563</v>
      </c>
      <c r="B6131" t="s">
        <v>11484</v>
      </c>
      <c r="C6131" t="str">
        <f t="shared" si="404"/>
        <v>706</v>
      </c>
      <c r="D6131" t="s">
        <v>28</v>
      </c>
      <c r="E6131" t="s">
        <v>52</v>
      </c>
      <c r="F6131" t="s">
        <v>344</v>
      </c>
      <c r="G6131" t="s">
        <v>11485</v>
      </c>
      <c r="H6131" t="str">
        <f>"9499"</f>
        <v>9499</v>
      </c>
      <c r="I6131" t="s">
        <v>31</v>
      </c>
    </row>
    <row r="6132" spans="1:12" x14ac:dyDescent="0.3">
      <c r="A6132" t="str">
        <f>"05838614"</f>
        <v>05838614</v>
      </c>
      <c r="B6132" t="s">
        <v>11486</v>
      </c>
      <c r="C6132" t="str">
        <f t="shared" si="404"/>
        <v>706</v>
      </c>
      <c r="D6132" t="s">
        <v>28</v>
      </c>
      <c r="E6132" t="s">
        <v>29</v>
      </c>
      <c r="F6132" t="s">
        <v>250</v>
      </c>
      <c r="G6132" t="s">
        <v>11487</v>
      </c>
      <c r="H6132" t="str">
        <f>"9499"</f>
        <v>9499</v>
      </c>
      <c r="I6132" t="s">
        <v>31</v>
      </c>
    </row>
    <row r="6133" spans="1:12" x14ac:dyDescent="0.3">
      <c r="A6133" t="str">
        <f>"22852476"</f>
        <v>22852476</v>
      </c>
      <c r="B6133" t="s">
        <v>11488</v>
      </c>
      <c r="C6133" t="str">
        <f t="shared" si="404"/>
        <v>706</v>
      </c>
      <c r="D6133" t="s">
        <v>28</v>
      </c>
      <c r="E6133" t="s">
        <v>29</v>
      </c>
      <c r="F6133" t="s">
        <v>29</v>
      </c>
      <c r="G6133" t="s">
        <v>2798</v>
      </c>
      <c r="H6133" t="str">
        <f>"90030"</f>
        <v>90030</v>
      </c>
      <c r="I6133" t="s">
        <v>1252</v>
      </c>
    </row>
    <row r="6134" spans="1:12" x14ac:dyDescent="0.3">
      <c r="A6134" t="str">
        <f>"01209311"</f>
        <v>01209311</v>
      </c>
      <c r="B6134" t="s">
        <v>11489</v>
      </c>
      <c r="C6134" t="str">
        <f t="shared" si="404"/>
        <v>706</v>
      </c>
      <c r="D6134" t="s">
        <v>28</v>
      </c>
      <c r="E6134" t="s">
        <v>29</v>
      </c>
      <c r="F6134" t="s">
        <v>29</v>
      </c>
      <c r="G6134" t="s">
        <v>11490</v>
      </c>
      <c r="H6134" t="str">
        <f>"93110"</f>
        <v>93110</v>
      </c>
      <c r="I6134" t="s">
        <v>92</v>
      </c>
    </row>
    <row r="6135" spans="1:12" x14ac:dyDescent="0.3">
      <c r="A6135" t="str">
        <f>"26561328"</f>
        <v>26561328</v>
      </c>
      <c r="B6135" t="s">
        <v>11491</v>
      </c>
      <c r="C6135" t="str">
        <f t="shared" si="404"/>
        <v>706</v>
      </c>
      <c r="D6135" t="s">
        <v>28</v>
      </c>
      <c r="E6135" t="s">
        <v>29</v>
      </c>
      <c r="F6135" t="s">
        <v>29</v>
      </c>
      <c r="G6135" t="s">
        <v>11492</v>
      </c>
      <c r="H6135" t="str">
        <f>"9499"</f>
        <v>9499</v>
      </c>
      <c r="I6135" t="s">
        <v>31</v>
      </c>
    </row>
    <row r="6136" spans="1:12" x14ac:dyDescent="0.3">
      <c r="A6136" t="str">
        <f>"01720589"</f>
        <v>01720589</v>
      </c>
      <c r="B6136" t="s">
        <v>11493</v>
      </c>
      <c r="C6136" t="str">
        <f t="shared" si="404"/>
        <v>706</v>
      </c>
      <c r="D6136" t="s">
        <v>28</v>
      </c>
      <c r="E6136" t="s">
        <v>29</v>
      </c>
      <c r="F6136" t="s">
        <v>29</v>
      </c>
      <c r="G6136" t="s">
        <v>11494</v>
      </c>
      <c r="H6136" t="str">
        <f>"9499"</f>
        <v>9499</v>
      </c>
      <c r="I6136" t="s">
        <v>31</v>
      </c>
    </row>
    <row r="6137" spans="1:12" x14ac:dyDescent="0.3">
      <c r="A6137" t="str">
        <f>"04582705"</f>
        <v>04582705</v>
      </c>
      <c r="B6137" t="s">
        <v>11495</v>
      </c>
      <c r="C6137" t="str">
        <f t="shared" si="404"/>
        <v>706</v>
      </c>
      <c r="D6137" t="s">
        <v>28</v>
      </c>
      <c r="E6137" t="s">
        <v>29</v>
      </c>
      <c r="F6137" t="s">
        <v>29</v>
      </c>
      <c r="G6137" t="s">
        <v>11496</v>
      </c>
      <c r="H6137" t="str">
        <f>"93190"</f>
        <v>93190</v>
      </c>
      <c r="I6137" t="s">
        <v>59</v>
      </c>
    </row>
    <row r="6138" spans="1:12" x14ac:dyDescent="0.3">
      <c r="A6138" t="str">
        <f>"26558696"</f>
        <v>26558696</v>
      </c>
      <c r="B6138" t="s">
        <v>11497</v>
      </c>
      <c r="C6138" t="str">
        <f t="shared" si="404"/>
        <v>706</v>
      </c>
      <c r="D6138" t="s">
        <v>28</v>
      </c>
      <c r="E6138" t="s">
        <v>29</v>
      </c>
      <c r="F6138" t="s">
        <v>29</v>
      </c>
      <c r="G6138" t="s">
        <v>11498</v>
      </c>
      <c r="H6138" t="str">
        <f>"93190"</f>
        <v>93190</v>
      </c>
      <c r="I6138" t="s">
        <v>59</v>
      </c>
    </row>
    <row r="6139" spans="1:12" x14ac:dyDescent="0.3">
      <c r="A6139" t="str">
        <f>"21230692"</f>
        <v>21230692</v>
      </c>
      <c r="B6139" t="s">
        <v>11499</v>
      </c>
      <c r="C6139" t="str">
        <f t="shared" si="404"/>
        <v>706</v>
      </c>
      <c r="D6139" t="s">
        <v>28</v>
      </c>
      <c r="E6139" t="s">
        <v>29</v>
      </c>
      <c r="F6139" t="s">
        <v>195</v>
      </c>
      <c r="G6139" t="s">
        <v>11500</v>
      </c>
      <c r="H6139" t="str">
        <f>"855"</f>
        <v>855</v>
      </c>
      <c r="I6139" t="s">
        <v>146</v>
      </c>
      <c r="J6139" t="s">
        <v>258</v>
      </c>
      <c r="K6139" t="s">
        <v>11501</v>
      </c>
      <c r="L6139" t="s">
        <v>59</v>
      </c>
    </row>
    <row r="6140" spans="1:12" x14ac:dyDescent="0.3">
      <c r="A6140" t="str">
        <f>"02093707"</f>
        <v>02093707</v>
      </c>
      <c r="B6140" t="s">
        <v>11502</v>
      </c>
      <c r="C6140" t="str">
        <f t="shared" si="404"/>
        <v>706</v>
      </c>
      <c r="D6140" t="s">
        <v>28</v>
      </c>
      <c r="E6140" t="s">
        <v>83</v>
      </c>
      <c r="F6140" t="s">
        <v>183</v>
      </c>
      <c r="G6140" t="s">
        <v>9146</v>
      </c>
      <c r="H6140" t="str">
        <f>"9499"</f>
        <v>9499</v>
      </c>
      <c r="I6140" t="s">
        <v>31</v>
      </c>
    </row>
    <row r="6141" spans="1:12" x14ac:dyDescent="0.3">
      <c r="A6141" t="str">
        <f>"07142757"</f>
        <v>07142757</v>
      </c>
      <c r="B6141" t="s">
        <v>11503</v>
      </c>
      <c r="C6141" t="str">
        <f t="shared" si="404"/>
        <v>706</v>
      </c>
      <c r="D6141" t="s">
        <v>28</v>
      </c>
      <c r="E6141" t="s">
        <v>23</v>
      </c>
      <c r="F6141" t="s">
        <v>23</v>
      </c>
      <c r="G6141" t="s">
        <v>11504</v>
      </c>
      <c r="H6141" t="str">
        <f>"94993"</f>
        <v>94993</v>
      </c>
      <c r="I6141" t="s">
        <v>50</v>
      </c>
    </row>
    <row r="6142" spans="1:12" x14ac:dyDescent="0.3">
      <c r="A6142" t="str">
        <f>"22753338"</f>
        <v>22753338</v>
      </c>
      <c r="B6142" t="s">
        <v>11505</v>
      </c>
      <c r="C6142" t="str">
        <f t="shared" si="404"/>
        <v>706</v>
      </c>
      <c r="D6142" t="s">
        <v>28</v>
      </c>
      <c r="E6142" t="s">
        <v>29</v>
      </c>
      <c r="F6142" t="s">
        <v>135</v>
      </c>
      <c r="G6142" t="s">
        <v>11506</v>
      </c>
      <c r="H6142" t="str">
        <f>"93190"</f>
        <v>93190</v>
      </c>
      <c r="I6142" t="s">
        <v>59</v>
      </c>
    </row>
    <row r="6143" spans="1:12" x14ac:dyDescent="0.3">
      <c r="A6143" t="str">
        <f>"48739201"</f>
        <v>48739201</v>
      </c>
      <c r="B6143" t="s">
        <v>11507</v>
      </c>
      <c r="C6143" t="str">
        <f>"722"</f>
        <v>722</v>
      </c>
      <c r="D6143" t="s">
        <v>315</v>
      </c>
      <c r="E6143" t="s">
        <v>52</v>
      </c>
      <c r="F6143" t="s">
        <v>52</v>
      </c>
      <c r="G6143" t="s">
        <v>2535</v>
      </c>
      <c r="H6143" t="str">
        <f>"94910"</f>
        <v>94910</v>
      </c>
      <c r="I6143" t="s">
        <v>316</v>
      </c>
    </row>
    <row r="6144" spans="1:12" x14ac:dyDescent="0.3">
      <c r="A6144" t="str">
        <f>"19329920"</f>
        <v>19329920</v>
      </c>
      <c r="B6144" t="s">
        <v>11508</v>
      </c>
      <c r="C6144" t="str">
        <f>"706"</f>
        <v>706</v>
      </c>
      <c r="D6144" t="s">
        <v>28</v>
      </c>
      <c r="E6144" t="s">
        <v>83</v>
      </c>
      <c r="F6144" t="s">
        <v>6225</v>
      </c>
      <c r="G6144" t="s">
        <v>11509</v>
      </c>
      <c r="H6144" t="str">
        <f>"9499"</f>
        <v>9499</v>
      </c>
      <c r="I6144" t="s">
        <v>31</v>
      </c>
      <c r="J6144" t="s">
        <v>146</v>
      </c>
    </row>
    <row r="6145" spans="1:17" x14ac:dyDescent="0.3">
      <c r="A6145" t="str">
        <f>"04436415"</f>
        <v>04436415</v>
      </c>
      <c r="B6145" t="s">
        <v>11510</v>
      </c>
      <c r="C6145" t="str">
        <f>"161"</f>
        <v>161</v>
      </c>
      <c r="D6145" t="s">
        <v>152</v>
      </c>
      <c r="E6145" t="s">
        <v>23</v>
      </c>
      <c r="F6145" t="s">
        <v>23</v>
      </c>
      <c r="G6145" t="s">
        <v>11511</v>
      </c>
      <c r="H6145" t="str">
        <f>"94991"</f>
        <v>94991</v>
      </c>
      <c r="I6145" t="s">
        <v>433</v>
      </c>
    </row>
    <row r="6146" spans="1:17" x14ac:dyDescent="0.3">
      <c r="A6146" t="str">
        <f>"02009021"</f>
        <v>02009021</v>
      </c>
      <c r="B6146" t="s">
        <v>11512</v>
      </c>
      <c r="C6146" t="str">
        <f t="shared" ref="C6146:C6153" si="405">"706"</f>
        <v>706</v>
      </c>
      <c r="D6146" t="s">
        <v>28</v>
      </c>
      <c r="E6146" t="s">
        <v>23</v>
      </c>
      <c r="F6146" t="s">
        <v>23</v>
      </c>
      <c r="G6146" t="s">
        <v>3896</v>
      </c>
      <c r="H6146" t="str">
        <f>"9499"</f>
        <v>9499</v>
      </c>
      <c r="I6146" t="s">
        <v>31</v>
      </c>
    </row>
    <row r="6147" spans="1:17" x14ac:dyDescent="0.3">
      <c r="A6147" t="str">
        <f>"22757279"</f>
        <v>22757279</v>
      </c>
      <c r="B6147" t="s">
        <v>11513</v>
      </c>
      <c r="C6147" t="str">
        <f t="shared" si="405"/>
        <v>706</v>
      </c>
      <c r="D6147" t="s">
        <v>28</v>
      </c>
      <c r="E6147" t="s">
        <v>23</v>
      </c>
      <c r="F6147" t="s">
        <v>721</v>
      </c>
      <c r="G6147" t="s">
        <v>11514</v>
      </c>
      <c r="H6147" t="str">
        <f>"9499"</f>
        <v>9499</v>
      </c>
      <c r="I6147" t="s">
        <v>31</v>
      </c>
    </row>
    <row r="6148" spans="1:17" x14ac:dyDescent="0.3">
      <c r="A6148" t="str">
        <f>"13690311"</f>
        <v>13690311</v>
      </c>
      <c r="B6148" t="s">
        <v>11515</v>
      </c>
      <c r="C6148" t="str">
        <f t="shared" si="405"/>
        <v>706</v>
      </c>
      <c r="D6148" t="s">
        <v>28</v>
      </c>
      <c r="E6148" t="s">
        <v>23</v>
      </c>
      <c r="F6148" t="s">
        <v>23</v>
      </c>
      <c r="G6148" t="s">
        <v>172</v>
      </c>
      <c r="H6148" t="str">
        <f>"93110"</f>
        <v>93110</v>
      </c>
      <c r="I6148" t="s">
        <v>92</v>
      </c>
    </row>
    <row r="6149" spans="1:17" x14ac:dyDescent="0.3">
      <c r="A6149" t="str">
        <f>"27052907"</f>
        <v>27052907</v>
      </c>
      <c r="B6149" t="s">
        <v>11516</v>
      </c>
      <c r="C6149" t="str">
        <f t="shared" si="405"/>
        <v>706</v>
      </c>
      <c r="D6149" t="s">
        <v>28</v>
      </c>
      <c r="E6149" t="s">
        <v>23</v>
      </c>
      <c r="F6149" t="s">
        <v>350</v>
      </c>
      <c r="G6149" t="s">
        <v>11517</v>
      </c>
      <c r="H6149" t="str">
        <f>"9499"</f>
        <v>9499</v>
      </c>
      <c r="I6149" t="s">
        <v>31</v>
      </c>
    </row>
    <row r="6150" spans="1:17" x14ac:dyDescent="0.3">
      <c r="A6150" t="str">
        <f>"09962328"</f>
        <v>09962328</v>
      </c>
      <c r="B6150" t="s">
        <v>11518</v>
      </c>
      <c r="C6150" t="str">
        <f t="shared" si="405"/>
        <v>706</v>
      </c>
      <c r="D6150" t="s">
        <v>28</v>
      </c>
      <c r="E6150" t="s">
        <v>23</v>
      </c>
      <c r="F6150" t="s">
        <v>23</v>
      </c>
      <c r="G6150" t="s">
        <v>11519</v>
      </c>
      <c r="H6150" t="str">
        <f>"9499"</f>
        <v>9499</v>
      </c>
      <c r="I6150" t="s">
        <v>31</v>
      </c>
    </row>
    <row r="6151" spans="1:17" x14ac:dyDescent="0.3">
      <c r="A6151" t="str">
        <f>"17664829"</f>
        <v>17664829</v>
      </c>
      <c r="B6151" t="s">
        <v>11520</v>
      </c>
      <c r="C6151" t="str">
        <f t="shared" si="405"/>
        <v>706</v>
      </c>
      <c r="D6151" t="s">
        <v>28</v>
      </c>
      <c r="E6151" t="s">
        <v>52</v>
      </c>
      <c r="F6151" t="s">
        <v>960</v>
      </c>
      <c r="G6151" t="s">
        <v>5747</v>
      </c>
      <c r="H6151" t="str">
        <f>"9499"</f>
        <v>9499</v>
      </c>
      <c r="I6151" t="s">
        <v>31</v>
      </c>
    </row>
    <row r="6152" spans="1:17" x14ac:dyDescent="0.3">
      <c r="A6152" t="str">
        <f>"22673563"</f>
        <v>22673563</v>
      </c>
      <c r="B6152" t="s">
        <v>11521</v>
      </c>
      <c r="C6152" t="str">
        <f t="shared" si="405"/>
        <v>706</v>
      </c>
      <c r="D6152" t="s">
        <v>28</v>
      </c>
      <c r="E6152" t="s">
        <v>23</v>
      </c>
      <c r="F6152" t="s">
        <v>107</v>
      </c>
      <c r="G6152" t="s">
        <v>11217</v>
      </c>
      <c r="H6152" t="str">
        <f>"9499"</f>
        <v>9499</v>
      </c>
      <c r="I6152" t="s">
        <v>31</v>
      </c>
    </row>
    <row r="6153" spans="1:17" x14ac:dyDescent="0.3">
      <c r="A6153" t="str">
        <f>"27019225"</f>
        <v>27019225</v>
      </c>
      <c r="B6153" t="s">
        <v>11522</v>
      </c>
      <c r="C6153" t="str">
        <f t="shared" si="405"/>
        <v>706</v>
      </c>
      <c r="D6153" t="s">
        <v>28</v>
      </c>
      <c r="E6153" t="s">
        <v>23</v>
      </c>
      <c r="F6153" t="s">
        <v>107</v>
      </c>
      <c r="G6153" t="s">
        <v>11217</v>
      </c>
      <c r="H6153" t="str">
        <f>"9499"</f>
        <v>9499</v>
      </c>
      <c r="I6153" t="s">
        <v>31</v>
      </c>
    </row>
    <row r="6154" spans="1:17" x14ac:dyDescent="0.3">
      <c r="A6154" t="str">
        <f>"26842149"</f>
        <v>26842149</v>
      </c>
      <c r="B6154" t="s">
        <v>11523</v>
      </c>
      <c r="C6154" t="str">
        <f>"141"</f>
        <v>141</v>
      </c>
      <c r="D6154" t="s">
        <v>112</v>
      </c>
      <c r="E6154" t="s">
        <v>29</v>
      </c>
      <c r="F6154" t="s">
        <v>29</v>
      </c>
      <c r="G6154" t="s">
        <v>11524</v>
      </c>
      <c r="H6154" t="str">
        <f>"8899"</f>
        <v>8899</v>
      </c>
      <c r="I6154" t="s">
        <v>40</v>
      </c>
      <c r="J6154" t="s">
        <v>115</v>
      </c>
    </row>
    <row r="6155" spans="1:17" x14ac:dyDescent="0.3">
      <c r="A6155" t="str">
        <f>"19717016"</f>
        <v>19717016</v>
      </c>
      <c r="B6155" t="s">
        <v>11525</v>
      </c>
      <c r="C6155" t="str">
        <f>"706"</f>
        <v>706</v>
      </c>
      <c r="D6155" t="s">
        <v>28</v>
      </c>
      <c r="E6155" t="s">
        <v>29</v>
      </c>
      <c r="F6155" t="s">
        <v>38</v>
      </c>
      <c r="G6155" t="s">
        <v>11526</v>
      </c>
      <c r="H6155" t="str">
        <f>"9499"</f>
        <v>9499</v>
      </c>
      <c r="I6155" t="s">
        <v>31</v>
      </c>
    </row>
    <row r="6156" spans="1:17" x14ac:dyDescent="0.3">
      <c r="A6156" t="str">
        <f>"06522301"</f>
        <v>06522301</v>
      </c>
      <c r="B6156" t="s">
        <v>11527</v>
      </c>
      <c r="C6156" t="str">
        <f>"706"</f>
        <v>706</v>
      </c>
      <c r="D6156" t="s">
        <v>28</v>
      </c>
      <c r="E6156" t="s">
        <v>29</v>
      </c>
      <c r="F6156" t="s">
        <v>38</v>
      </c>
      <c r="G6156" t="s">
        <v>11528</v>
      </c>
      <c r="H6156" t="str">
        <f>"9499"</f>
        <v>9499</v>
      </c>
      <c r="I6156" t="s">
        <v>31</v>
      </c>
    </row>
    <row r="6157" spans="1:17" x14ac:dyDescent="0.3">
      <c r="A6157" t="str">
        <f>"28269501"</f>
        <v>28269501</v>
      </c>
      <c r="B6157" t="s">
        <v>11529</v>
      </c>
      <c r="C6157" t="str">
        <f>"141"</f>
        <v>141</v>
      </c>
      <c r="D6157" t="s">
        <v>112</v>
      </c>
      <c r="E6157" t="s">
        <v>23</v>
      </c>
      <c r="F6157" t="s">
        <v>350</v>
      </c>
      <c r="G6157" t="s">
        <v>5768</v>
      </c>
      <c r="H6157" t="str">
        <f>"8559"</f>
        <v>8559</v>
      </c>
      <c r="I6157" t="s">
        <v>115</v>
      </c>
      <c r="J6157" t="s">
        <v>154</v>
      </c>
      <c r="K6157" t="s">
        <v>595</v>
      </c>
      <c r="L6157" t="s">
        <v>598</v>
      </c>
      <c r="M6157" t="s">
        <v>499</v>
      </c>
      <c r="N6157" t="s">
        <v>161</v>
      </c>
      <c r="O6157" t="s">
        <v>2659</v>
      </c>
      <c r="P6157" t="s">
        <v>2340</v>
      </c>
      <c r="Q6157" t="s">
        <v>126</v>
      </c>
    </row>
    <row r="6158" spans="1:17" x14ac:dyDescent="0.3">
      <c r="A6158" t="str">
        <f>"22900098"</f>
        <v>22900098</v>
      </c>
      <c r="B6158" t="s">
        <v>11530</v>
      </c>
      <c r="C6158" t="str">
        <f>"706"</f>
        <v>706</v>
      </c>
      <c r="D6158" t="s">
        <v>28</v>
      </c>
      <c r="E6158" t="s">
        <v>23</v>
      </c>
      <c r="F6158" t="s">
        <v>23</v>
      </c>
      <c r="G6158" t="s">
        <v>11531</v>
      </c>
      <c r="H6158" t="str">
        <f>"94993"</f>
        <v>94993</v>
      </c>
      <c r="I6158" t="s">
        <v>50</v>
      </c>
    </row>
    <row r="6159" spans="1:17" x14ac:dyDescent="0.3">
      <c r="A6159" t="str">
        <f>"72041731"</f>
        <v>72041731</v>
      </c>
      <c r="B6159" t="s">
        <v>11532</v>
      </c>
      <c r="C6159" t="str">
        <f>"736"</f>
        <v>736</v>
      </c>
      <c r="D6159" t="s">
        <v>22</v>
      </c>
      <c r="E6159" t="s">
        <v>29</v>
      </c>
      <c r="F6159" t="s">
        <v>138</v>
      </c>
      <c r="G6159" t="s">
        <v>1030</v>
      </c>
      <c r="H6159" t="str">
        <f>"94993"</f>
        <v>94993</v>
      </c>
      <c r="I6159" t="s">
        <v>50</v>
      </c>
    </row>
    <row r="6160" spans="1:17" x14ac:dyDescent="0.3">
      <c r="A6160" t="str">
        <f>"08490139"</f>
        <v>08490139</v>
      </c>
      <c r="B6160" t="s">
        <v>11533</v>
      </c>
      <c r="C6160" t="str">
        <f t="shared" ref="C6160:C6169" si="406">"706"</f>
        <v>706</v>
      </c>
      <c r="D6160" t="s">
        <v>28</v>
      </c>
      <c r="E6160" t="s">
        <v>23</v>
      </c>
      <c r="F6160" t="s">
        <v>23</v>
      </c>
      <c r="G6160" t="s">
        <v>10282</v>
      </c>
      <c r="H6160" t="str">
        <f>"94999"</f>
        <v>94999</v>
      </c>
      <c r="I6160" t="s">
        <v>202</v>
      </c>
    </row>
    <row r="6161" spans="1:14" x14ac:dyDescent="0.3">
      <c r="A6161" t="str">
        <f>"05361346"</f>
        <v>05361346</v>
      </c>
      <c r="B6161" t="s">
        <v>11534</v>
      </c>
      <c r="C6161" t="str">
        <f t="shared" si="406"/>
        <v>706</v>
      </c>
      <c r="D6161" t="s">
        <v>28</v>
      </c>
      <c r="E6161" t="s">
        <v>29</v>
      </c>
      <c r="F6161" t="s">
        <v>2177</v>
      </c>
      <c r="G6161" t="s">
        <v>11535</v>
      </c>
      <c r="H6161" t="str">
        <f>"9499"</f>
        <v>9499</v>
      </c>
      <c r="I6161" t="s">
        <v>31</v>
      </c>
    </row>
    <row r="6162" spans="1:14" x14ac:dyDescent="0.3">
      <c r="A6162" t="str">
        <f>"70641846"</f>
        <v>70641846</v>
      </c>
      <c r="B6162" t="s">
        <v>11536</v>
      </c>
      <c r="C6162" t="str">
        <f t="shared" si="406"/>
        <v>706</v>
      </c>
      <c r="D6162" t="s">
        <v>28</v>
      </c>
      <c r="E6162" t="s">
        <v>29</v>
      </c>
      <c r="F6162" t="s">
        <v>195</v>
      </c>
      <c r="G6162" t="s">
        <v>2114</v>
      </c>
      <c r="H6162" t="str">
        <f>"9499"</f>
        <v>9499</v>
      </c>
      <c r="I6162" t="s">
        <v>31</v>
      </c>
    </row>
    <row r="6163" spans="1:14" x14ac:dyDescent="0.3">
      <c r="A6163" t="str">
        <f>"28554515"</f>
        <v>28554515</v>
      </c>
      <c r="B6163" t="s">
        <v>11537</v>
      </c>
      <c r="C6163" t="str">
        <f t="shared" si="406"/>
        <v>706</v>
      </c>
      <c r="D6163" t="s">
        <v>28</v>
      </c>
      <c r="E6163" t="s">
        <v>29</v>
      </c>
      <c r="F6163" t="s">
        <v>29</v>
      </c>
      <c r="G6163" t="s">
        <v>11538</v>
      </c>
      <c r="H6163" t="str">
        <f>"9499"</f>
        <v>9499</v>
      </c>
      <c r="I6163" t="s">
        <v>31</v>
      </c>
      <c r="J6163" t="s">
        <v>3442</v>
      </c>
      <c r="K6163" t="s">
        <v>3443</v>
      </c>
      <c r="L6163" t="s">
        <v>2350</v>
      </c>
      <c r="M6163" t="s">
        <v>4428</v>
      </c>
      <c r="N6163" t="s">
        <v>1604</v>
      </c>
    </row>
    <row r="6164" spans="1:14" x14ac:dyDescent="0.3">
      <c r="A6164" t="str">
        <f>"05054893"</f>
        <v>05054893</v>
      </c>
      <c r="B6164" t="s">
        <v>11539</v>
      </c>
      <c r="C6164" t="str">
        <f t="shared" si="406"/>
        <v>706</v>
      </c>
      <c r="D6164" t="s">
        <v>28</v>
      </c>
      <c r="E6164" t="s">
        <v>29</v>
      </c>
      <c r="F6164" t="s">
        <v>38</v>
      </c>
      <c r="G6164" t="s">
        <v>11540</v>
      </c>
      <c r="H6164" t="str">
        <f>"9499"</f>
        <v>9499</v>
      </c>
      <c r="I6164" t="s">
        <v>31</v>
      </c>
    </row>
    <row r="6165" spans="1:14" x14ac:dyDescent="0.3">
      <c r="A6165" t="str">
        <f>"02445841"</f>
        <v>02445841</v>
      </c>
      <c r="B6165" t="s">
        <v>11541</v>
      </c>
      <c r="C6165" t="str">
        <f t="shared" si="406"/>
        <v>706</v>
      </c>
      <c r="D6165" t="s">
        <v>28</v>
      </c>
      <c r="E6165" t="s">
        <v>23</v>
      </c>
      <c r="F6165" t="s">
        <v>350</v>
      </c>
      <c r="G6165" t="s">
        <v>11542</v>
      </c>
      <c r="H6165" t="str">
        <f>"93190"</f>
        <v>93190</v>
      </c>
      <c r="I6165" t="s">
        <v>59</v>
      </c>
    </row>
    <row r="6166" spans="1:14" x14ac:dyDescent="0.3">
      <c r="A6166" t="str">
        <f>"27006409"</f>
        <v>27006409</v>
      </c>
      <c r="B6166" t="s">
        <v>11543</v>
      </c>
      <c r="C6166" t="str">
        <f t="shared" si="406"/>
        <v>706</v>
      </c>
      <c r="D6166" t="s">
        <v>28</v>
      </c>
      <c r="E6166" t="s">
        <v>23</v>
      </c>
      <c r="F6166" t="s">
        <v>24</v>
      </c>
      <c r="G6166" t="s">
        <v>11544</v>
      </c>
      <c r="H6166" t="str">
        <f t="shared" ref="H6166:H6172" si="407">"9499"</f>
        <v>9499</v>
      </c>
      <c r="I6166" t="s">
        <v>31</v>
      </c>
    </row>
    <row r="6167" spans="1:14" x14ac:dyDescent="0.3">
      <c r="A6167" t="str">
        <f>"61382353"</f>
        <v>61382353</v>
      </c>
      <c r="B6167" t="s">
        <v>11545</v>
      </c>
      <c r="C6167" t="str">
        <f t="shared" si="406"/>
        <v>706</v>
      </c>
      <c r="D6167" t="s">
        <v>28</v>
      </c>
      <c r="E6167" t="s">
        <v>29</v>
      </c>
      <c r="F6167" t="s">
        <v>1590</v>
      </c>
      <c r="G6167" t="s">
        <v>11546</v>
      </c>
      <c r="H6167" t="str">
        <f t="shared" si="407"/>
        <v>9499</v>
      </c>
      <c r="I6167" t="s">
        <v>31</v>
      </c>
    </row>
    <row r="6168" spans="1:14" x14ac:dyDescent="0.3">
      <c r="A6168" t="str">
        <f>"04823389"</f>
        <v>04823389</v>
      </c>
      <c r="B6168" t="s">
        <v>11547</v>
      </c>
      <c r="C6168" t="str">
        <f t="shared" si="406"/>
        <v>706</v>
      </c>
      <c r="D6168" t="s">
        <v>28</v>
      </c>
      <c r="E6168" t="s">
        <v>23</v>
      </c>
      <c r="F6168" t="s">
        <v>695</v>
      </c>
      <c r="G6168" t="s">
        <v>1034</v>
      </c>
      <c r="H6168" t="str">
        <f t="shared" si="407"/>
        <v>9499</v>
      </c>
      <c r="I6168" t="s">
        <v>31</v>
      </c>
    </row>
    <row r="6169" spans="1:14" x14ac:dyDescent="0.3">
      <c r="A6169" t="str">
        <f>"04863615"</f>
        <v>04863615</v>
      </c>
      <c r="B6169" t="s">
        <v>11548</v>
      </c>
      <c r="C6169" t="str">
        <f t="shared" si="406"/>
        <v>706</v>
      </c>
      <c r="D6169" t="s">
        <v>28</v>
      </c>
      <c r="E6169" t="s">
        <v>29</v>
      </c>
      <c r="F6169" t="s">
        <v>390</v>
      </c>
      <c r="G6169" t="s">
        <v>11549</v>
      </c>
      <c r="H6169" t="str">
        <f t="shared" si="407"/>
        <v>9499</v>
      </c>
      <c r="I6169" t="s">
        <v>31</v>
      </c>
    </row>
    <row r="6170" spans="1:14" x14ac:dyDescent="0.3">
      <c r="A6170" t="str">
        <f>"65891147"</f>
        <v>65891147</v>
      </c>
      <c r="B6170" t="s">
        <v>11550</v>
      </c>
      <c r="C6170" t="str">
        <f>"736"</f>
        <v>736</v>
      </c>
      <c r="D6170" t="s">
        <v>22</v>
      </c>
      <c r="E6170" t="s">
        <v>29</v>
      </c>
      <c r="F6170" t="s">
        <v>38</v>
      </c>
      <c r="G6170" t="s">
        <v>3433</v>
      </c>
      <c r="H6170" t="str">
        <f t="shared" si="407"/>
        <v>9499</v>
      </c>
      <c r="I6170" t="s">
        <v>31</v>
      </c>
    </row>
    <row r="6171" spans="1:14" x14ac:dyDescent="0.3">
      <c r="A6171" t="str">
        <f>"65822455"</f>
        <v>65822455</v>
      </c>
      <c r="B6171" t="s">
        <v>11551</v>
      </c>
      <c r="C6171" t="str">
        <f>"736"</f>
        <v>736</v>
      </c>
      <c r="D6171" t="s">
        <v>22</v>
      </c>
      <c r="E6171" t="s">
        <v>23</v>
      </c>
      <c r="F6171" t="s">
        <v>23</v>
      </c>
      <c r="G6171" t="s">
        <v>4590</v>
      </c>
      <c r="H6171" t="str">
        <f t="shared" si="407"/>
        <v>9499</v>
      </c>
      <c r="I6171" t="s">
        <v>31</v>
      </c>
    </row>
    <row r="6172" spans="1:14" x14ac:dyDescent="0.3">
      <c r="A6172" t="str">
        <f>"47269731"</f>
        <v>47269731</v>
      </c>
      <c r="B6172" t="s">
        <v>11552</v>
      </c>
      <c r="C6172" t="str">
        <f>"706"</f>
        <v>706</v>
      </c>
      <c r="D6172" t="s">
        <v>28</v>
      </c>
      <c r="E6172" t="s">
        <v>23</v>
      </c>
      <c r="F6172" t="s">
        <v>1555</v>
      </c>
      <c r="G6172" t="s">
        <v>11553</v>
      </c>
      <c r="H6172" t="str">
        <f t="shared" si="407"/>
        <v>9499</v>
      </c>
      <c r="I6172" t="s">
        <v>31</v>
      </c>
    </row>
    <row r="6173" spans="1:14" x14ac:dyDescent="0.3">
      <c r="A6173" t="str">
        <f>"63458497"</f>
        <v>63458497</v>
      </c>
      <c r="B6173" t="s">
        <v>11554</v>
      </c>
      <c r="C6173" t="str">
        <f>"736"</f>
        <v>736</v>
      </c>
      <c r="D6173" t="s">
        <v>22</v>
      </c>
      <c r="E6173" t="s">
        <v>23</v>
      </c>
      <c r="F6173" t="s">
        <v>245</v>
      </c>
      <c r="G6173" t="s">
        <v>11555</v>
      </c>
      <c r="H6173" t="str">
        <f>"93120"</f>
        <v>93120</v>
      </c>
      <c r="I6173" t="s">
        <v>54</v>
      </c>
      <c r="J6173" t="s">
        <v>3443</v>
      </c>
    </row>
    <row r="6174" spans="1:14" x14ac:dyDescent="0.3">
      <c r="A6174" t="str">
        <f>"19857560"</f>
        <v>19857560</v>
      </c>
      <c r="B6174" t="s">
        <v>11556</v>
      </c>
      <c r="C6174" t="str">
        <f>"706"</f>
        <v>706</v>
      </c>
      <c r="D6174" t="s">
        <v>28</v>
      </c>
      <c r="E6174" t="s">
        <v>23</v>
      </c>
      <c r="F6174" t="s">
        <v>793</v>
      </c>
      <c r="G6174" t="s">
        <v>11557</v>
      </c>
      <c r="H6174" t="str">
        <f>"93190"</f>
        <v>93190</v>
      </c>
      <c r="I6174" t="s">
        <v>59</v>
      </c>
    </row>
    <row r="6175" spans="1:14" x14ac:dyDescent="0.3">
      <c r="A6175" t="str">
        <f>"22740040"</f>
        <v>22740040</v>
      </c>
      <c r="B6175" t="s">
        <v>11558</v>
      </c>
      <c r="C6175" t="str">
        <f>"706"</f>
        <v>706</v>
      </c>
      <c r="D6175" t="s">
        <v>28</v>
      </c>
      <c r="E6175" t="s">
        <v>83</v>
      </c>
      <c r="F6175" t="s">
        <v>480</v>
      </c>
      <c r="G6175" t="s">
        <v>4560</v>
      </c>
      <c r="H6175" t="str">
        <f>"93190"</f>
        <v>93190</v>
      </c>
      <c r="I6175" t="s">
        <v>59</v>
      </c>
    </row>
    <row r="6176" spans="1:14" x14ac:dyDescent="0.3">
      <c r="A6176" t="str">
        <f>"26594129"</f>
        <v>26594129</v>
      </c>
      <c r="B6176" t="s">
        <v>11559</v>
      </c>
      <c r="C6176" t="str">
        <f>"706"</f>
        <v>706</v>
      </c>
      <c r="D6176" t="s">
        <v>28</v>
      </c>
      <c r="E6176" t="s">
        <v>29</v>
      </c>
      <c r="F6176" t="s">
        <v>195</v>
      </c>
      <c r="G6176" t="s">
        <v>11560</v>
      </c>
      <c r="H6176" t="str">
        <f>"9499"</f>
        <v>9499</v>
      </c>
      <c r="I6176" t="s">
        <v>31</v>
      </c>
    </row>
    <row r="6177" spans="1:11" x14ac:dyDescent="0.3">
      <c r="A6177" t="str">
        <f>"62939751"</f>
        <v>62939751</v>
      </c>
      <c r="B6177" t="s">
        <v>11561</v>
      </c>
      <c r="C6177" t="str">
        <f>"706"</f>
        <v>706</v>
      </c>
      <c r="D6177" t="s">
        <v>28</v>
      </c>
      <c r="E6177" t="s">
        <v>23</v>
      </c>
      <c r="F6177" t="s">
        <v>23</v>
      </c>
      <c r="G6177" t="s">
        <v>11562</v>
      </c>
      <c r="H6177" t="str">
        <f>"94993"</f>
        <v>94993</v>
      </c>
      <c r="I6177" t="s">
        <v>50</v>
      </c>
    </row>
    <row r="6178" spans="1:11" x14ac:dyDescent="0.3">
      <c r="A6178" t="str">
        <f>"26596679"</f>
        <v>26596679</v>
      </c>
      <c r="B6178" t="s">
        <v>11563</v>
      </c>
      <c r="C6178" t="str">
        <f>"706"</f>
        <v>706</v>
      </c>
      <c r="D6178" t="s">
        <v>28</v>
      </c>
      <c r="E6178" t="s">
        <v>23</v>
      </c>
      <c r="F6178" t="s">
        <v>23</v>
      </c>
      <c r="G6178" t="s">
        <v>11564</v>
      </c>
      <c r="H6178" t="str">
        <f>"93110"</f>
        <v>93110</v>
      </c>
      <c r="I6178" t="s">
        <v>92</v>
      </c>
    </row>
    <row r="6179" spans="1:11" x14ac:dyDescent="0.3">
      <c r="A6179" t="str">
        <f>"23152885"</f>
        <v>23152885</v>
      </c>
      <c r="B6179" t="s">
        <v>11565</v>
      </c>
      <c r="C6179" t="str">
        <f>"706"</f>
        <v>706</v>
      </c>
      <c r="D6179" t="s">
        <v>28</v>
      </c>
      <c r="E6179" t="s">
        <v>23</v>
      </c>
      <c r="F6179" t="s">
        <v>23</v>
      </c>
      <c r="G6179" t="s">
        <v>11566</v>
      </c>
      <c r="H6179" t="str">
        <f>"94995"</f>
        <v>94995</v>
      </c>
      <c r="I6179" t="s">
        <v>232</v>
      </c>
    </row>
    <row r="6180" spans="1:11" x14ac:dyDescent="0.3">
      <c r="A6180" t="str">
        <f>"75037262"</f>
        <v>75037262</v>
      </c>
      <c r="B6180" t="s">
        <v>11567</v>
      </c>
      <c r="C6180" t="str">
        <f>"736"</f>
        <v>736</v>
      </c>
      <c r="D6180" t="s">
        <v>22</v>
      </c>
      <c r="E6180" t="s">
        <v>29</v>
      </c>
      <c r="F6180" t="s">
        <v>38</v>
      </c>
      <c r="G6180" t="s">
        <v>3433</v>
      </c>
      <c r="H6180" t="str">
        <f>"9499"</f>
        <v>9499</v>
      </c>
      <c r="I6180" t="s">
        <v>31</v>
      </c>
    </row>
    <row r="6181" spans="1:11" x14ac:dyDescent="0.3">
      <c r="A6181" t="str">
        <f>"22753745"</f>
        <v>22753745</v>
      </c>
      <c r="B6181" t="s">
        <v>11568</v>
      </c>
      <c r="C6181" t="str">
        <f t="shared" ref="C6181:C6191" si="408">"706"</f>
        <v>706</v>
      </c>
      <c r="D6181" t="s">
        <v>28</v>
      </c>
      <c r="E6181" t="s">
        <v>29</v>
      </c>
      <c r="F6181" t="s">
        <v>135</v>
      </c>
      <c r="G6181" t="s">
        <v>11569</v>
      </c>
      <c r="H6181" t="str">
        <f>"94993"</f>
        <v>94993</v>
      </c>
      <c r="I6181" t="s">
        <v>50</v>
      </c>
    </row>
    <row r="6182" spans="1:11" x14ac:dyDescent="0.3">
      <c r="A6182" t="str">
        <f>"26552027"</f>
        <v>26552027</v>
      </c>
      <c r="B6182" t="s">
        <v>11570</v>
      </c>
      <c r="C6182" t="str">
        <f t="shared" si="408"/>
        <v>706</v>
      </c>
      <c r="D6182" t="s">
        <v>28</v>
      </c>
      <c r="E6182" t="s">
        <v>52</v>
      </c>
      <c r="F6182" t="s">
        <v>52</v>
      </c>
      <c r="G6182" t="s">
        <v>11571</v>
      </c>
      <c r="H6182" t="str">
        <f>"9499"</f>
        <v>9499</v>
      </c>
      <c r="I6182" t="s">
        <v>31</v>
      </c>
    </row>
    <row r="6183" spans="1:11" x14ac:dyDescent="0.3">
      <c r="A6183" t="str">
        <f>"22667172"</f>
        <v>22667172</v>
      </c>
      <c r="B6183" t="s">
        <v>11572</v>
      </c>
      <c r="C6183" t="str">
        <f t="shared" si="408"/>
        <v>706</v>
      </c>
      <c r="D6183" t="s">
        <v>28</v>
      </c>
      <c r="E6183" t="s">
        <v>83</v>
      </c>
      <c r="F6183" t="s">
        <v>537</v>
      </c>
      <c r="G6183" t="s">
        <v>1051</v>
      </c>
      <c r="H6183" t="str">
        <f>"93190"</f>
        <v>93190</v>
      </c>
      <c r="I6183" t="s">
        <v>59</v>
      </c>
    </row>
    <row r="6184" spans="1:11" x14ac:dyDescent="0.3">
      <c r="A6184" t="str">
        <f>"14612003"</f>
        <v>14612003</v>
      </c>
      <c r="B6184" t="s">
        <v>11573</v>
      </c>
      <c r="C6184" t="str">
        <f t="shared" si="408"/>
        <v>706</v>
      </c>
      <c r="D6184" t="s">
        <v>28</v>
      </c>
      <c r="E6184" t="s">
        <v>29</v>
      </c>
      <c r="F6184" t="s">
        <v>29</v>
      </c>
      <c r="G6184" t="s">
        <v>11574</v>
      </c>
      <c r="H6184" t="str">
        <f>"93110"</f>
        <v>93110</v>
      </c>
      <c r="I6184" t="s">
        <v>92</v>
      </c>
      <c r="J6184" t="s">
        <v>668</v>
      </c>
      <c r="K6184" t="s">
        <v>11575</v>
      </c>
    </row>
    <row r="6185" spans="1:11" x14ac:dyDescent="0.3">
      <c r="A6185" t="str">
        <f>"02922061"</f>
        <v>02922061</v>
      </c>
      <c r="B6185" t="s">
        <v>11576</v>
      </c>
      <c r="C6185" t="str">
        <f t="shared" si="408"/>
        <v>706</v>
      </c>
      <c r="D6185" t="s">
        <v>28</v>
      </c>
      <c r="E6185" t="s">
        <v>23</v>
      </c>
      <c r="F6185" t="s">
        <v>23</v>
      </c>
      <c r="G6185" t="s">
        <v>11577</v>
      </c>
      <c r="H6185" t="str">
        <f>"93120"</f>
        <v>93120</v>
      </c>
      <c r="I6185" t="s">
        <v>54</v>
      </c>
    </row>
    <row r="6186" spans="1:11" x14ac:dyDescent="0.3">
      <c r="A6186" t="str">
        <f>"19570309"</f>
        <v>19570309</v>
      </c>
      <c r="B6186" t="s">
        <v>11578</v>
      </c>
      <c r="C6186" t="str">
        <f t="shared" si="408"/>
        <v>706</v>
      </c>
      <c r="D6186" t="s">
        <v>28</v>
      </c>
      <c r="E6186" t="s">
        <v>29</v>
      </c>
      <c r="F6186" t="s">
        <v>38</v>
      </c>
      <c r="G6186" t="s">
        <v>11579</v>
      </c>
      <c r="H6186" t="str">
        <f>"93120"</f>
        <v>93120</v>
      </c>
      <c r="I6186" t="s">
        <v>54</v>
      </c>
    </row>
    <row r="6187" spans="1:11" x14ac:dyDescent="0.3">
      <c r="A6187" t="str">
        <f>"01192949"</f>
        <v>01192949</v>
      </c>
      <c r="B6187" t="s">
        <v>11580</v>
      </c>
      <c r="C6187" t="str">
        <f t="shared" si="408"/>
        <v>706</v>
      </c>
      <c r="D6187" t="s">
        <v>28</v>
      </c>
      <c r="E6187" t="s">
        <v>83</v>
      </c>
      <c r="F6187" t="s">
        <v>83</v>
      </c>
      <c r="G6187" t="s">
        <v>11581</v>
      </c>
      <c r="H6187" t="str">
        <f>"9499"</f>
        <v>9499</v>
      </c>
      <c r="I6187" t="s">
        <v>31</v>
      </c>
    </row>
    <row r="6188" spans="1:11" x14ac:dyDescent="0.3">
      <c r="A6188" t="str">
        <f>"05878560"</f>
        <v>05878560</v>
      </c>
      <c r="B6188" t="s">
        <v>11582</v>
      </c>
      <c r="C6188" t="str">
        <f t="shared" si="408"/>
        <v>706</v>
      </c>
      <c r="D6188" t="s">
        <v>28</v>
      </c>
      <c r="E6188" t="s">
        <v>23</v>
      </c>
      <c r="F6188" t="s">
        <v>793</v>
      </c>
      <c r="G6188" t="s">
        <v>11583</v>
      </c>
      <c r="H6188" t="str">
        <f>"93190"</f>
        <v>93190</v>
      </c>
      <c r="I6188" t="s">
        <v>59</v>
      </c>
    </row>
    <row r="6189" spans="1:11" x14ac:dyDescent="0.3">
      <c r="A6189" t="str">
        <f>"01829882"</f>
        <v>01829882</v>
      </c>
      <c r="B6189" t="s">
        <v>11584</v>
      </c>
      <c r="C6189" t="str">
        <f t="shared" si="408"/>
        <v>706</v>
      </c>
      <c r="D6189" t="s">
        <v>28</v>
      </c>
      <c r="E6189" t="s">
        <v>83</v>
      </c>
      <c r="F6189" t="s">
        <v>83</v>
      </c>
      <c r="G6189" t="s">
        <v>11585</v>
      </c>
      <c r="H6189" t="str">
        <f t="shared" ref="H6189:H6195" si="409">"9499"</f>
        <v>9499</v>
      </c>
      <c r="I6189" t="s">
        <v>31</v>
      </c>
    </row>
    <row r="6190" spans="1:11" x14ac:dyDescent="0.3">
      <c r="A6190" t="str">
        <f>"11861444"</f>
        <v>11861444</v>
      </c>
      <c r="B6190" t="s">
        <v>11586</v>
      </c>
      <c r="C6190" t="str">
        <f t="shared" si="408"/>
        <v>706</v>
      </c>
      <c r="D6190" t="s">
        <v>28</v>
      </c>
      <c r="E6190" t="s">
        <v>23</v>
      </c>
      <c r="F6190" t="s">
        <v>350</v>
      </c>
      <c r="G6190" t="s">
        <v>11587</v>
      </c>
      <c r="H6190" t="str">
        <f t="shared" si="409"/>
        <v>9499</v>
      </c>
      <c r="I6190" t="s">
        <v>31</v>
      </c>
    </row>
    <row r="6191" spans="1:11" x14ac:dyDescent="0.3">
      <c r="A6191" t="str">
        <f>"05757541"</f>
        <v>05757541</v>
      </c>
      <c r="B6191" t="s">
        <v>11588</v>
      </c>
      <c r="C6191" t="str">
        <f t="shared" si="408"/>
        <v>706</v>
      </c>
      <c r="D6191" t="s">
        <v>28</v>
      </c>
      <c r="E6191" t="s">
        <v>23</v>
      </c>
      <c r="F6191" t="s">
        <v>23</v>
      </c>
      <c r="G6191" t="s">
        <v>416</v>
      </c>
      <c r="H6191" t="str">
        <f t="shared" si="409"/>
        <v>9499</v>
      </c>
      <c r="I6191" t="s">
        <v>31</v>
      </c>
    </row>
    <row r="6192" spans="1:11" x14ac:dyDescent="0.3">
      <c r="A6192" t="str">
        <f>"71192042"</f>
        <v>71192042</v>
      </c>
      <c r="B6192" t="s">
        <v>11589</v>
      </c>
      <c r="C6192" t="str">
        <f>"736"</f>
        <v>736</v>
      </c>
      <c r="D6192" t="s">
        <v>22</v>
      </c>
      <c r="E6192" t="s">
        <v>23</v>
      </c>
      <c r="F6192" t="s">
        <v>24</v>
      </c>
      <c r="G6192" t="s">
        <v>4828</v>
      </c>
      <c r="H6192" t="str">
        <f t="shared" si="409"/>
        <v>9499</v>
      </c>
      <c r="I6192" t="s">
        <v>31</v>
      </c>
    </row>
    <row r="6193" spans="1:14" x14ac:dyDescent="0.3">
      <c r="A6193" t="str">
        <f>"22605754"</f>
        <v>22605754</v>
      </c>
      <c r="B6193" t="s">
        <v>11590</v>
      </c>
      <c r="C6193" t="str">
        <f t="shared" ref="C6193:C6219" si="410">"706"</f>
        <v>706</v>
      </c>
      <c r="D6193" t="s">
        <v>28</v>
      </c>
      <c r="E6193" t="s">
        <v>29</v>
      </c>
      <c r="F6193" t="s">
        <v>195</v>
      </c>
      <c r="G6193" t="s">
        <v>11591</v>
      </c>
      <c r="H6193" t="str">
        <f t="shared" si="409"/>
        <v>9499</v>
      </c>
      <c r="I6193" t="s">
        <v>31</v>
      </c>
    </row>
    <row r="6194" spans="1:14" x14ac:dyDescent="0.3">
      <c r="A6194" t="str">
        <f>"19083211"</f>
        <v>19083211</v>
      </c>
      <c r="B6194" t="s">
        <v>11592</v>
      </c>
      <c r="C6194" t="str">
        <f t="shared" si="410"/>
        <v>706</v>
      </c>
      <c r="D6194" t="s">
        <v>28</v>
      </c>
      <c r="E6194" t="s">
        <v>83</v>
      </c>
      <c r="F6194" t="s">
        <v>83</v>
      </c>
      <c r="G6194" t="s">
        <v>373</v>
      </c>
      <c r="H6194" t="str">
        <f t="shared" si="409"/>
        <v>9499</v>
      </c>
      <c r="I6194" t="s">
        <v>31</v>
      </c>
    </row>
    <row r="6195" spans="1:14" x14ac:dyDescent="0.3">
      <c r="A6195" t="str">
        <f>"04447719"</f>
        <v>04447719</v>
      </c>
      <c r="B6195" t="s">
        <v>11593</v>
      </c>
      <c r="C6195" t="str">
        <f t="shared" si="410"/>
        <v>706</v>
      </c>
      <c r="D6195" t="s">
        <v>28</v>
      </c>
      <c r="E6195" t="s">
        <v>29</v>
      </c>
      <c r="F6195" t="s">
        <v>38</v>
      </c>
      <c r="G6195" t="s">
        <v>11594</v>
      </c>
      <c r="H6195" t="str">
        <f t="shared" si="409"/>
        <v>9499</v>
      </c>
      <c r="I6195" t="s">
        <v>31</v>
      </c>
    </row>
    <row r="6196" spans="1:14" x14ac:dyDescent="0.3">
      <c r="A6196" t="str">
        <f>"09273018"</f>
        <v>09273018</v>
      </c>
      <c r="B6196" t="s">
        <v>11595</v>
      </c>
      <c r="C6196" t="str">
        <f t="shared" si="410"/>
        <v>706</v>
      </c>
      <c r="D6196" t="s">
        <v>28</v>
      </c>
      <c r="E6196" t="s">
        <v>23</v>
      </c>
      <c r="F6196" t="s">
        <v>3332</v>
      </c>
      <c r="G6196" t="s">
        <v>11596</v>
      </c>
      <c r="H6196" t="str">
        <f>"94993"</f>
        <v>94993</v>
      </c>
      <c r="I6196" t="s">
        <v>50</v>
      </c>
    </row>
    <row r="6197" spans="1:14" x14ac:dyDescent="0.3">
      <c r="A6197" t="str">
        <f>"22857605"</f>
        <v>22857605</v>
      </c>
      <c r="B6197" t="s">
        <v>11597</v>
      </c>
      <c r="C6197" t="str">
        <f t="shared" si="410"/>
        <v>706</v>
      </c>
      <c r="D6197" t="s">
        <v>28</v>
      </c>
      <c r="E6197" t="s">
        <v>29</v>
      </c>
      <c r="F6197" t="s">
        <v>29</v>
      </c>
      <c r="G6197" t="s">
        <v>11598</v>
      </c>
      <c r="H6197" t="str">
        <f>"94993"</f>
        <v>94993</v>
      </c>
      <c r="I6197" t="s">
        <v>50</v>
      </c>
    </row>
    <row r="6198" spans="1:14" x14ac:dyDescent="0.3">
      <c r="A6198" t="str">
        <f>"70841454"</f>
        <v>70841454</v>
      </c>
      <c r="B6198" t="s">
        <v>11599</v>
      </c>
      <c r="C6198" t="str">
        <f t="shared" si="410"/>
        <v>706</v>
      </c>
      <c r="D6198" t="s">
        <v>28</v>
      </c>
      <c r="E6198" t="s">
        <v>23</v>
      </c>
      <c r="F6198" t="s">
        <v>245</v>
      </c>
      <c r="G6198" t="s">
        <v>11600</v>
      </c>
      <c r="H6198" t="str">
        <f>"94992"</f>
        <v>94992</v>
      </c>
      <c r="I6198" t="s">
        <v>241</v>
      </c>
    </row>
    <row r="6199" spans="1:14" x14ac:dyDescent="0.3">
      <c r="A6199" t="str">
        <f>"61704172"</f>
        <v>61704172</v>
      </c>
      <c r="B6199" t="s">
        <v>11601</v>
      </c>
      <c r="C6199" t="str">
        <f t="shared" si="410"/>
        <v>706</v>
      </c>
      <c r="D6199" t="s">
        <v>28</v>
      </c>
      <c r="E6199" t="s">
        <v>52</v>
      </c>
      <c r="F6199" t="s">
        <v>1440</v>
      </c>
      <c r="G6199" t="s">
        <v>1441</v>
      </c>
      <c r="H6199" t="str">
        <f>"93110"</f>
        <v>93110</v>
      </c>
      <c r="I6199" t="s">
        <v>92</v>
      </c>
    </row>
    <row r="6200" spans="1:14" x14ac:dyDescent="0.3">
      <c r="A6200" t="str">
        <f>"26605953"</f>
        <v>26605953</v>
      </c>
      <c r="B6200" t="s">
        <v>11602</v>
      </c>
      <c r="C6200" t="str">
        <f t="shared" si="410"/>
        <v>706</v>
      </c>
      <c r="D6200" t="s">
        <v>28</v>
      </c>
      <c r="E6200" t="s">
        <v>29</v>
      </c>
      <c r="F6200" t="s">
        <v>195</v>
      </c>
      <c r="G6200" t="s">
        <v>11603</v>
      </c>
      <c r="H6200" t="str">
        <f>"9499"</f>
        <v>9499</v>
      </c>
      <c r="I6200" t="s">
        <v>31</v>
      </c>
    </row>
    <row r="6201" spans="1:14" x14ac:dyDescent="0.3">
      <c r="A6201" t="str">
        <f>"26670941"</f>
        <v>26670941</v>
      </c>
      <c r="B6201" t="s">
        <v>11604</v>
      </c>
      <c r="C6201" t="str">
        <f t="shared" si="410"/>
        <v>706</v>
      </c>
      <c r="D6201" t="s">
        <v>28</v>
      </c>
      <c r="E6201" t="s">
        <v>29</v>
      </c>
      <c r="F6201" t="s">
        <v>1926</v>
      </c>
      <c r="G6201" t="s">
        <v>11605</v>
      </c>
      <c r="H6201" t="str">
        <f>"9499"</f>
        <v>9499</v>
      </c>
      <c r="I6201" t="s">
        <v>31</v>
      </c>
    </row>
    <row r="6202" spans="1:14" x14ac:dyDescent="0.3">
      <c r="A6202" t="str">
        <f>"22604782"</f>
        <v>22604782</v>
      </c>
      <c r="B6202" t="s">
        <v>11606</v>
      </c>
      <c r="C6202" t="str">
        <f t="shared" si="410"/>
        <v>706</v>
      </c>
      <c r="D6202" t="s">
        <v>28</v>
      </c>
      <c r="E6202" t="s">
        <v>52</v>
      </c>
      <c r="F6202" t="s">
        <v>5623</v>
      </c>
      <c r="G6202" t="s">
        <v>11607</v>
      </c>
      <c r="H6202" t="str">
        <f>"94995"</f>
        <v>94995</v>
      </c>
      <c r="I6202" t="s">
        <v>232</v>
      </c>
    </row>
    <row r="6203" spans="1:14" x14ac:dyDescent="0.3">
      <c r="A6203" t="str">
        <f>"22825151"</f>
        <v>22825151</v>
      </c>
      <c r="B6203" t="s">
        <v>11608</v>
      </c>
      <c r="C6203" t="str">
        <f t="shared" si="410"/>
        <v>706</v>
      </c>
      <c r="D6203" t="s">
        <v>28</v>
      </c>
      <c r="E6203" t="s">
        <v>23</v>
      </c>
      <c r="F6203" t="s">
        <v>24</v>
      </c>
      <c r="G6203" t="s">
        <v>11609</v>
      </c>
      <c r="H6203" t="str">
        <f>"94995"</f>
        <v>94995</v>
      </c>
      <c r="I6203" t="s">
        <v>232</v>
      </c>
    </row>
    <row r="6204" spans="1:14" x14ac:dyDescent="0.3">
      <c r="A6204" t="str">
        <f>"22853961"</f>
        <v>22853961</v>
      </c>
      <c r="B6204" t="s">
        <v>11610</v>
      </c>
      <c r="C6204" t="str">
        <f t="shared" si="410"/>
        <v>706</v>
      </c>
      <c r="D6204" t="s">
        <v>28</v>
      </c>
      <c r="E6204" t="s">
        <v>29</v>
      </c>
      <c r="F6204" t="s">
        <v>2220</v>
      </c>
      <c r="G6204" t="s">
        <v>11611</v>
      </c>
      <c r="H6204" t="str">
        <f>"9499"</f>
        <v>9499</v>
      </c>
      <c r="I6204" t="s">
        <v>31</v>
      </c>
    </row>
    <row r="6205" spans="1:14" x14ac:dyDescent="0.3">
      <c r="A6205" t="str">
        <f>"70284571"</f>
        <v>70284571</v>
      </c>
      <c r="B6205" t="s">
        <v>11612</v>
      </c>
      <c r="C6205" t="str">
        <f t="shared" si="410"/>
        <v>706</v>
      </c>
      <c r="D6205" t="s">
        <v>28</v>
      </c>
      <c r="E6205" t="s">
        <v>23</v>
      </c>
      <c r="F6205" t="s">
        <v>1877</v>
      </c>
      <c r="G6205" t="s">
        <v>11613</v>
      </c>
      <c r="H6205" t="str">
        <f>"9499"</f>
        <v>9499</v>
      </c>
      <c r="I6205" t="s">
        <v>31</v>
      </c>
    </row>
    <row r="6206" spans="1:14" x14ac:dyDescent="0.3">
      <c r="A6206" t="str">
        <f>"22745319"</f>
        <v>22745319</v>
      </c>
      <c r="B6206" t="s">
        <v>11614</v>
      </c>
      <c r="C6206" t="str">
        <f t="shared" si="410"/>
        <v>706</v>
      </c>
      <c r="D6206" t="s">
        <v>28</v>
      </c>
      <c r="E6206" t="s">
        <v>23</v>
      </c>
      <c r="F6206" t="s">
        <v>721</v>
      </c>
      <c r="G6206" t="s">
        <v>11615</v>
      </c>
      <c r="H6206" t="str">
        <f>"9499"</f>
        <v>9499</v>
      </c>
      <c r="I6206" t="s">
        <v>31</v>
      </c>
    </row>
    <row r="6207" spans="1:14" x14ac:dyDescent="0.3">
      <c r="A6207" t="str">
        <f>"22901531"</f>
        <v>22901531</v>
      </c>
      <c r="B6207" t="s">
        <v>11616</v>
      </c>
      <c r="C6207" t="str">
        <f t="shared" si="410"/>
        <v>706</v>
      </c>
      <c r="D6207" t="s">
        <v>28</v>
      </c>
      <c r="E6207" t="s">
        <v>23</v>
      </c>
      <c r="F6207" t="s">
        <v>23</v>
      </c>
      <c r="G6207" t="s">
        <v>11617</v>
      </c>
      <c r="H6207" t="str">
        <f>"8899"</f>
        <v>8899</v>
      </c>
      <c r="I6207" t="s">
        <v>40</v>
      </c>
      <c r="J6207" t="s">
        <v>1125</v>
      </c>
    </row>
    <row r="6208" spans="1:14" x14ac:dyDescent="0.3">
      <c r="A6208" t="str">
        <f>"09611606"</f>
        <v>09611606</v>
      </c>
      <c r="B6208" t="s">
        <v>11618</v>
      </c>
      <c r="C6208" t="str">
        <f t="shared" si="410"/>
        <v>706</v>
      </c>
      <c r="D6208" t="s">
        <v>28</v>
      </c>
      <c r="E6208" t="s">
        <v>23</v>
      </c>
      <c r="F6208" t="s">
        <v>713</v>
      </c>
      <c r="G6208" t="s">
        <v>11619</v>
      </c>
      <c r="H6208" t="str">
        <f>"9499"</f>
        <v>9499</v>
      </c>
      <c r="I6208" t="s">
        <v>31</v>
      </c>
      <c r="J6208" t="s">
        <v>155</v>
      </c>
      <c r="K6208" t="s">
        <v>258</v>
      </c>
      <c r="L6208" t="s">
        <v>262</v>
      </c>
      <c r="M6208" t="s">
        <v>163</v>
      </c>
      <c r="N6208" t="s">
        <v>59</v>
      </c>
    </row>
    <row r="6209" spans="1:9" x14ac:dyDescent="0.3">
      <c r="A6209" t="str">
        <f>"17084041"</f>
        <v>17084041</v>
      </c>
      <c r="B6209" t="s">
        <v>11620</v>
      </c>
      <c r="C6209" t="str">
        <f t="shared" si="410"/>
        <v>706</v>
      </c>
      <c r="D6209" t="s">
        <v>28</v>
      </c>
      <c r="E6209" t="s">
        <v>29</v>
      </c>
      <c r="F6209" t="s">
        <v>852</v>
      </c>
      <c r="G6209" t="s">
        <v>11621</v>
      </c>
      <c r="H6209" t="str">
        <f>"9499"</f>
        <v>9499</v>
      </c>
      <c r="I6209" t="s">
        <v>31</v>
      </c>
    </row>
    <row r="6210" spans="1:9" x14ac:dyDescent="0.3">
      <c r="A6210" t="str">
        <f>"06418759"</f>
        <v>06418759</v>
      </c>
      <c r="B6210" t="s">
        <v>11622</v>
      </c>
      <c r="C6210" t="str">
        <f t="shared" si="410"/>
        <v>706</v>
      </c>
      <c r="D6210" t="s">
        <v>28</v>
      </c>
      <c r="E6210" t="s">
        <v>83</v>
      </c>
      <c r="F6210" t="s">
        <v>1425</v>
      </c>
      <c r="G6210" t="s">
        <v>11623</v>
      </c>
      <c r="H6210" t="str">
        <f>"94995"</f>
        <v>94995</v>
      </c>
      <c r="I6210" t="s">
        <v>232</v>
      </c>
    </row>
    <row r="6211" spans="1:9" x14ac:dyDescent="0.3">
      <c r="A6211" t="str">
        <f>"23251841"</f>
        <v>23251841</v>
      </c>
      <c r="B6211" t="s">
        <v>11624</v>
      </c>
      <c r="C6211" t="str">
        <f t="shared" si="410"/>
        <v>706</v>
      </c>
      <c r="D6211" t="s">
        <v>28</v>
      </c>
      <c r="E6211" t="s">
        <v>23</v>
      </c>
      <c r="F6211" t="s">
        <v>141</v>
      </c>
      <c r="G6211" t="s">
        <v>6075</v>
      </c>
      <c r="H6211" t="str">
        <f>"94993"</f>
        <v>94993</v>
      </c>
      <c r="I6211" t="s">
        <v>50</v>
      </c>
    </row>
    <row r="6212" spans="1:9" x14ac:dyDescent="0.3">
      <c r="A6212" t="str">
        <f>"22845119"</f>
        <v>22845119</v>
      </c>
      <c r="B6212" t="s">
        <v>11625</v>
      </c>
      <c r="C6212" t="str">
        <f t="shared" si="410"/>
        <v>706</v>
      </c>
      <c r="D6212" t="s">
        <v>28</v>
      </c>
      <c r="E6212" t="s">
        <v>83</v>
      </c>
      <c r="F6212" t="s">
        <v>183</v>
      </c>
      <c r="G6212" t="s">
        <v>11626</v>
      </c>
      <c r="H6212" t="str">
        <f>"9499"</f>
        <v>9499</v>
      </c>
      <c r="I6212" t="s">
        <v>31</v>
      </c>
    </row>
    <row r="6213" spans="1:9" x14ac:dyDescent="0.3">
      <c r="A6213" t="str">
        <f>"27045137"</f>
        <v>27045137</v>
      </c>
      <c r="B6213" t="s">
        <v>11627</v>
      </c>
      <c r="C6213" t="str">
        <f t="shared" si="410"/>
        <v>706</v>
      </c>
      <c r="D6213" t="s">
        <v>28</v>
      </c>
      <c r="E6213" t="s">
        <v>29</v>
      </c>
      <c r="F6213" t="s">
        <v>135</v>
      </c>
      <c r="G6213" t="s">
        <v>11628</v>
      </c>
      <c r="H6213" t="str">
        <f>"94"</f>
        <v>94</v>
      </c>
      <c r="I6213" t="s">
        <v>1016</v>
      </c>
    </row>
    <row r="6214" spans="1:9" x14ac:dyDescent="0.3">
      <c r="A6214" t="str">
        <f>"26552914"</f>
        <v>26552914</v>
      </c>
      <c r="B6214" t="s">
        <v>11629</v>
      </c>
      <c r="C6214" t="str">
        <f t="shared" si="410"/>
        <v>706</v>
      </c>
      <c r="D6214" t="s">
        <v>28</v>
      </c>
      <c r="E6214" t="s">
        <v>23</v>
      </c>
      <c r="F6214" t="s">
        <v>975</v>
      </c>
      <c r="G6214" t="s">
        <v>2856</v>
      </c>
      <c r="H6214" t="str">
        <f t="shared" ref="H6214:H6221" si="411">"9499"</f>
        <v>9499</v>
      </c>
      <c r="I6214" t="s">
        <v>31</v>
      </c>
    </row>
    <row r="6215" spans="1:9" x14ac:dyDescent="0.3">
      <c r="A6215" t="str">
        <f>"27031578"</f>
        <v>27031578</v>
      </c>
      <c r="B6215" t="s">
        <v>11630</v>
      </c>
      <c r="C6215" t="str">
        <f t="shared" si="410"/>
        <v>706</v>
      </c>
      <c r="D6215" t="s">
        <v>28</v>
      </c>
      <c r="E6215" t="s">
        <v>23</v>
      </c>
      <c r="F6215" t="s">
        <v>23</v>
      </c>
      <c r="G6215" t="s">
        <v>11631</v>
      </c>
      <c r="H6215" t="str">
        <f t="shared" si="411"/>
        <v>9499</v>
      </c>
      <c r="I6215" t="s">
        <v>31</v>
      </c>
    </row>
    <row r="6216" spans="1:9" x14ac:dyDescent="0.3">
      <c r="A6216" t="str">
        <f>"06452701"</f>
        <v>06452701</v>
      </c>
      <c r="B6216" t="s">
        <v>11632</v>
      </c>
      <c r="C6216" t="str">
        <f t="shared" si="410"/>
        <v>706</v>
      </c>
      <c r="D6216" t="s">
        <v>28</v>
      </c>
      <c r="E6216" t="s">
        <v>23</v>
      </c>
      <c r="F6216" t="s">
        <v>245</v>
      </c>
      <c r="G6216" t="s">
        <v>11633</v>
      </c>
      <c r="H6216" t="str">
        <f t="shared" si="411"/>
        <v>9499</v>
      </c>
      <c r="I6216" t="s">
        <v>31</v>
      </c>
    </row>
    <row r="6217" spans="1:9" x14ac:dyDescent="0.3">
      <c r="A6217" t="str">
        <f>"65269144"</f>
        <v>65269144</v>
      </c>
      <c r="B6217" t="s">
        <v>11634</v>
      </c>
      <c r="C6217" t="str">
        <f t="shared" si="410"/>
        <v>706</v>
      </c>
      <c r="D6217" t="s">
        <v>28</v>
      </c>
      <c r="E6217" t="s">
        <v>83</v>
      </c>
      <c r="F6217" t="s">
        <v>83</v>
      </c>
      <c r="G6217" t="s">
        <v>4111</v>
      </c>
      <c r="H6217" t="str">
        <f t="shared" si="411"/>
        <v>9499</v>
      </c>
      <c r="I6217" t="s">
        <v>31</v>
      </c>
    </row>
    <row r="6218" spans="1:9" x14ac:dyDescent="0.3">
      <c r="A6218" t="str">
        <f>"22253572"</f>
        <v>22253572</v>
      </c>
      <c r="B6218" t="s">
        <v>11635</v>
      </c>
      <c r="C6218" t="str">
        <f t="shared" si="410"/>
        <v>706</v>
      </c>
      <c r="D6218" t="s">
        <v>28</v>
      </c>
      <c r="E6218" t="s">
        <v>23</v>
      </c>
      <c r="F6218" t="s">
        <v>23</v>
      </c>
      <c r="G6218" t="s">
        <v>11636</v>
      </c>
      <c r="H6218" t="str">
        <f t="shared" si="411"/>
        <v>9499</v>
      </c>
      <c r="I6218" t="s">
        <v>31</v>
      </c>
    </row>
    <row r="6219" spans="1:9" x14ac:dyDescent="0.3">
      <c r="A6219" t="str">
        <f>"09183566"</f>
        <v>09183566</v>
      </c>
      <c r="B6219" t="s">
        <v>11637</v>
      </c>
      <c r="C6219" t="str">
        <f t="shared" si="410"/>
        <v>706</v>
      </c>
      <c r="D6219" t="s">
        <v>28</v>
      </c>
      <c r="E6219" t="s">
        <v>23</v>
      </c>
      <c r="F6219" t="s">
        <v>23</v>
      </c>
      <c r="G6219" t="s">
        <v>761</v>
      </c>
      <c r="H6219" t="str">
        <f t="shared" si="411"/>
        <v>9499</v>
      </c>
      <c r="I6219" t="s">
        <v>31</v>
      </c>
    </row>
    <row r="6220" spans="1:9" x14ac:dyDescent="0.3">
      <c r="A6220" t="str">
        <f>"70904626"</f>
        <v>70904626</v>
      </c>
      <c r="B6220" t="s">
        <v>11638</v>
      </c>
      <c r="C6220" t="str">
        <f>"736"</f>
        <v>736</v>
      </c>
      <c r="D6220" t="s">
        <v>22</v>
      </c>
      <c r="E6220" t="s">
        <v>29</v>
      </c>
      <c r="F6220" t="s">
        <v>195</v>
      </c>
      <c r="G6220" t="s">
        <v>11639</v>
      </c>
      <c r="H6220" t="str">
        <f t="shared" si="411"/>
        <v>9499</v>
      </c>
      <c r="I6220" t="s">
        <v>31</v>
      </c>
    </row>
    <row r="6221" spans="1:9" x14ac:dyDescent="0.3">
      <c r="A6221" t="str">
        <f>"27036006"</f>
        <v>27036006</v>
      </c>
      <c r="B6221" t="s">
        <v>11640</v>
      </c>
      <c r="C6221" t="str">
        <f t="shared" ref="C6221:C6227" si="412">"706"</f>
        <v>706</v>
      </c>
      <c r="D6221" t="s">
        <v>28</v>
      </c>
      <c r="E6221" t="s">
        <v>23</v>
      </c>
      <c r="F6221" t="s">
        <v>87</v>
      </c>
      <c r="G6221" t="s">
        <v>11641</v>
      </c>
      <c r="H6221" t="str">
        <f t="shared" si="411"/>
        <v>9499</v>
      </c>
      <c r="I6221" t="s">
        <v>31</v>
      </c>
    </row>
    <row r="6222" spans="1:9" x14ac:dyDescent="0.3">
      <c r="A6222" t="str">
        <f>"02362431"</f>
        <v>02362431</v>
      </c>
      <c r="B6222" t="s">
        <v>11642</v>
      </c>
      <c r="C6222" t="str">
        <f t="shared" si="412"/>
        <v>706</v>
      </c>
      <c r="D6222" t="s">
        <v>28</v>
      </c>
      <c r="E6222" t="s">
        <v>23</v>
      </c>
      <c r="F6222" t="s">
        <v>24</v>
      </c>
      <c r="G6222" t="s">
        <v>11643</v>
      </c>
      <c r="H6222" t="str">
        <f>"94993"</f>
        <v>94993</v>
      </c>
      <c r="I6222" t="s">
        <v>50</v>
      </c>
    </row>
    <row r="6223" spans="1:9" x14ac:dyDescent="0.3">
      <c r="A6223" t="str">
        <f>"70883815"</f>
        <v>70883815</v>
      </c>
      <c r="B6223" t="s">
        <v>11644</v>
      </c>
      <c r="C6223" t="str">
        <f t="shared" si="412"/>
        <v>706</v>
      </c>
      <c r="D6223" t="s">
        <v>28</v>
      </c>
      <c r="E6223" t="s">
        <v>23</v>
      </c>
      <c r="F6223" t="s">
        <v>350</v>
      </c>
      <c r="G6223" t="s">
        <v>11645</v>
      </c>
      <c r="H6223" t="str">
        <f t="shared" ref="H6223:H6229" si="413">"9499"</f>
        <v>9499</v>
      </c>
      <c r="I6223" t="s">
        <v>31</v>
      </c>
    </row>
    <row r="6224" spans="1:9" x14ac:dyDescent="0.3">
      <c r="A6224" t="str">
        <f>"62180045"</f>
        <v>62180045</v>
      </c>
      <c r="B6224" t="s">
        <v>11646</v>
      </c>
      <c r="C6224" t="str">
        <f t="shared" si="412"/>
        <v>706</v>
      </c>
      <c r="D6224" t="s">
        <v>28</v>
      </c>
      <c r="E6224" t="s">
        <v>23</v>
      </c>
      <c r="F6224" t="s">
        <v>350</v>
      </c>
      <c r="G6224" t="s">
        <v>11647</v>
      </c>
      <c r="H6224" t="str">
        <f t="shared" si="413"/>
        <v>9499</v>
      </c>
      <c r="I6224" t="s">
        <v>31</v>
      </c>
    </row>
    <row r="6225" spans="1:9" x14ac:dyDescent="0.3">
      <c r="A6225" t="str">
        <f>"61716995"</f>
        <v>61716995</v>
      </c>
      <c r="B6225" t="s">
        <v>11648</v>
      </c>
      <c r="C6225" t="str">
        <f t="shared" si="412"/>
        <v>706</v>
      </c>
      <c r="D6225" t="s">
        <v>28</v>
      </c>
      <c r="E6225" t="s">
        <v>23</v>
      </c>
      <c r="F6225" t="s">
        <v>350</v>
      </c>
      <c r="G6225" t="s">
        <v>4089</v>
      </c>
      <c r="H6225" t="str">
        <f t="shared" si="413"/>
        <v>9499</v>
      </c>
      <c r="I6225" t="s">
        <v>31</v>
      </c>
    </row>
    <row r="6226" spans="1:9" x14ac:dyDescent="0.3">
      <c r="A6226" t="str">
        <f>"01522434"</f>
        <v>01522434</v>
      </c>
      <c r="B6226" t="s">
        <v>11649</v>
      </c>
      <c r="C6226" t="str">
        <f t="shared" si="412"/>
        <v>706</v>
      </c>
      <c r="D6226" t="s">
        <v>28</v>
      </c>
      <c r="E6226" t="s">
        <v>23</v>
      </c>
      <c r="F6226" t="s">
        <v>23</v>
      </c>
      <c r="G6226" t="s">
        <v>2088</v>
      </c>
      <c r="H6226" t="str">
        <f t="shared" si="413"/>
        <v>9499</v>
      </c>
      <c r="I6226" t="s">
        <v>31</v>
      </c>
    </row>
    <row r="6227" spans="1:9" x14ac:dyDescent="0.3">
      <c r="A6227" t="str">
        <f>"21085781"</f>
        <v>21085781</v>
      </c>
      <c r="B6227" t="s">
        <v>11650</v>
      </c>
      <c r="C6227" t="str">
        <f t="shared" si="412"/>
        <v>706</v>
      </c>
      <c r="D6227" t="s">
        <v>28</v>
      </c>
      <c r="E6227" t="s">
        <v>23</v>
      </c>
      <c r="F6227" t="s">
        <v>710</v>
      </c>
      <c r="G6227" t="s">
        <v>11651</v>
      </c>
      <c r="H6227" t="str">
        <f t="shared" si="413"/>
        <v>9499</v>
      </c>
      <c r="I6227" t="s">
        <v>31</v>
      </c>
    </row>
    <row r="6228" spans="1:9" x14ac:dyDescent="0.3">
      <c r="A6228" t="str">
        <f>"62180177"</f>
        <v>62180177</v>
      </c>
      <c r="B6228" t="s">
        <v>11652</v>
      </c>
      <c r="C6228" t="str">
        <f t="shared" ref="C6228:C6289" si="414">"736"</f>
        <v>736</v>
      </c>
      <c r="D6228" t="s">
        <v>22</v>
      </c>
      <c r="E6228" t="s">
        <v>23</v>
      </c>
      <c r="F6228" t="s">
        <v>24</v>
      </c>
      <c r="G6228" t="s">
        <v>11653</v>
      </c>
      <c r="H6228" t="str">
        <f t="shared" si="413"/>
        <v>9499</v>
      </c>
      <c r="I6228" t="s">
        <v>31</v>
      </c>
    </row>
    <row r="6229" spans="1:9" x14ac:dyDescent="0.3">
      <c r="A6229" t="str">
        <f>"48491527"</f>
        <v>48491527</v>
      </c>
      <c r="B6229" t="s">
        <v>11654</v>
      </c>
      <c r="C6229" t="str">
        <f t="shared" si="414"/>
        <v>736</v>
      </c>
      <c r="D6229" t="s">
        <v>22</v>
      </c>
      <c r="E6229" t="s">
        <v>52</v>
      </c>
      <c r="F6229" t="s">
        <v>52</v>
      </c>
      <c r="G6229" t="s">
        <v>11655</v>
      </c>
      <c r="H6229" t="str">
        <f t="shared" si="413"/>
        <v>9499</v>
      </c>
      <c r="I6229" t="s">
        <v>31</v>
      </c>
    </row>
    <row r="6230" spans="1:9" x14ac:dyDescent="0.3">
      <c r="A6230" t="str">
        <f>"08415528"</f>
        <v>08415528</v>
      </c>
      <c r="B6230" t="s">
        <v>11656</v>
      </c>
      <c r="C6230" t="str">
        <f t="shared" si="414"/>
        <v>736</v>
      </c>
      <c r="D6230" t="s">
        <v>22</v>
      </c>
      <c r="E6230" t="s">
        <v>52</v>
      </c>
      <c r="F6230" t="s">
        <v>2626</v>
      </c>
      <c r="G6230" t="s">
        <v>11657</v>
      </c>
      <c r="H6230" t="str">
        <f>"94995"</f>
        <v>94995</v>
      </c>
      <c r="I6230" t="s">
        <v>232</v>
      </c>
    </row>
    <row r="6231" spans="1:9" x14ac:dyDescent="0.3">
      <c r="A6231" t="str">
        <f>"62832107"</f>
        <v>62832107</v>
      </c>
      <c r="B6231" t="s">
        <v>11658</v>
      </c>
      <c r="C6231" t="str">
        <f t="shared" si="414"/>
        <v>736</v>
      </c>
      <c r="D6231" t="s">
        <v>22</v>
      </c>
      <c r="E6231" t="s">
        <v>52</v>
      </c>
      <c r="F6231" t="s">
        <v>739</v>
      </c>
      <c r="G6231" t="s">
        <v>11659</v>
      </c>
      <c r="H6231" t="str">
        <f>"9499"</f>
        <v>9499</v>
      </c>
      <c r="I6231" t="s">
        <v>31</v>
      </c>
    </row>
    <row r="6232" spans="1:9" x14ac:dyDescent="0.3">
      <c r="A6232" t="str">
        <f>"44018975"</f>
        <v>44018975</v>
      </c>
      <c r="B6232" t="s">
        <v>11660</v>
      </c>
      <c r="C6232" t="str">
        <f t="shared" si="414"/>
        <v>736</v>
      </c>
      <c r="D6232" t="s">
        <v>22</v>
      </c>
      <c r="E6232" t="s">
        <v>52</v>
      </c>
      <c r="F6232" t="s">
        <v>1170</v>
      </c>
      <c r="G6232" t="s">
        <v>11661</v>
      </c>
      <c r="H6232" t="str">
        <f t="shared" ref="H6232:H6295" si="415">"94993"</f>
        <v>94993</v>
      </c>
      <c r="I6232" t="s">
        <v>50</v>
      </c>
    </row>
    <row r="6233" spans="1:9" x14ac:dyDescent="0.3">
      <c r="A6233" t="str">
        <f>"70850151"</f>
        <v>70850151</v>
      </c>
      <c r="B6233" t="s">
        <v>11662</v>
      </c>
      <c r="C6233" t="str">
        <f t="shared" si="414"/>
        <v>736</v>
      </c>
      <c r="D6233" t="s">
        <v>22</v>
      </c>
      <c r="E6233" t="s">
        <v>52</v>
      </c>
      <c r="F6233" t="s">
        <v>80</v>
      </c>
      <c r="G6233" t="s">
        <v>11663</v>
      </c>
      <c r="H6233" t="str">
        <f t="shared" si="415"/>
        <v>94993</v>
      </c>
      <c r="I6233" t="s">
        <v>50</v>
      </c>
    </row>
    <row r="6234" spans="1:9" x14ac:dyDescent="0.3">
      <c r="A6234" t="str">
        <f>"62832841"</f>
        <v>62832841</v>
      </c>
      <c r="B6234" t="s">
        <v>11664</v>
      </c>
      <c r="C6234" t="str">
        <f t="shared" si="414"/>
        <v>736</v>
      </c>
      <c r="D6234" t="s">
        <v>22</v>
      </c>
      <c r="E6234" t="s">
        <v>52</v>
      </c>
      <c r="F6234" t="s">
        <v>960</v>
      </c>
      <c r="G6234" t="s">
        <v>11665</v>
      </c>
      <c r="H6234" t="str">
        <f t="shared" si="415"/>
        <v>94993</v>
      </c>
      <c r="I6234" t="s">
        <v>50</v>
      </c>
    </row>
    <row r="6235" spans="1:9" x14ac:dyDescent="0.3">
      <c r="A6235" t="str">
        <f>"72557401"</f>
        <v>72557401</v>
      </c>
      <c r="B6235" t="s">
        <v>11666</v>
      </c>
      <c r="C6235" t="str">
        <f t="shared" si="414"/>
        <v>736</v>
      </c>
      <c r="D6235" t="s">
        <v>22</v>
      </c>
      <c r="E6235" t="s">
        <v>23</v>
      </c>
      <c r="F6235" t="s">
        <v>957</v>
      </c>
      <c r="G6235" t="s">
        <v>5276</v>
      </c>
      <c r="H6235" t="str">
        <f t="shared" si="415"/>
        <v>94993</v>
      </c>
      <c r="I6235" t="s">
        <v>50</v>
      </c>
    </row>
    <row r="6236" spans="1:9" x14ac:dyDescent="0.3">
      <c r="A6236" t="str">
        <f>"67022804"</f>
        <v>67022804</v>
      </c>
      <c r="B6236" t="s">
        <v>11667</v>
      </c>
      <c r="C6236" t="str">
        <f t="shared" si="414"/>
        <v>736</v>
      </c>
      <c r="D6236" t="s">
        <v>22</v>
      </c>
      <c r="E6236" t="s">
        <v>23</v>
      </c>
      <c r="F6236" t="s">
        <v>23</v>
      </c>
      <c r="G6236" t="s">
        <v>11668</v>
      </c>
      <c r="H6236" t="str">
        <f t="shared" si="415"/>
        <v>94993</v>
      </c>
      <c r="I6236" t="s">
        <v>50</v>
      </c>
    </row>
    <row r="6237" spans="1:9" x14ac:dyDescent="0.3">
      <c r="A6237" t="str">
        <f>"61716901"</f>
        <v>61716901</v>
      </c>
      <c r="B6237" t="s">
        <v>11669</v>
      </c>
      <c r="C6237" t="str">
        <f t="shared" si="414"/>
        <v>736</v>
      </c>
      <c r="D6237" t="s">
        <v>22</v>
      </c>
      <c r="E6237" t="s">
        <v>23</v>
      </c>
      <c r="F6237" t="s">
        <v>975</v>
      </c>
      <c r="G6237" t="s">
        <v>11670</v>
      </c>
      <c r="H6237" t="str">
        <f t="shared" si="415"/>
        <v>94993</v>
      </c>
      <c r="I6237" t="s">
        <v>50</v>
      </c>
    </row>
    <row r="6238" spans="1:9" x14ac:dyDescent="0.3">
      <c r="A6238" t="str">
        <f>"44018983"</f>
        <v>44018983</v>
      </c>
      <c r="B6238" t="s">
        <v>11671</v>
      </c>
      <c r="C6238" t="str">
        <f t="shared" si="414"/>
        <v>736</v>
      </c>
      <c r="D6238" t="s">
        <v>22</v>
      </c>
      <c r="E6238" t="s">
        <v>52</v>
      </c>
      <c r="F6238" t="s">
        <v>631</v>
      </c>
      <c r="G6238" t="s">
        <v>11672</v>
      </c>
      <c r="H6238" t="str">
        <f t="shared" si="415"/>
        <v>94993</v>
      </c>
      <c r="I6238" t="s">
        <v>50</v>
      </c>
    </row>
    <row r="6239" spans="1:9" x14ac:dyDescent="0.3">
      <c r="A6239" t="str">
        <f>"64439135"</f>
        <v>64439135</v>
      </c>
      <c r="B6239" t="s">
        <v>11673</v>
      </c>
      <c r="C6239" t="str">
        <f t="shared" si="414"/>
        <v>736</v>
      </c>
      <c r="D6239" t="s">
        <v>22</v>
      </c>
      <c r="E6239" t="s">
        <v>52</v>
      </c>
      <c r="F6239" t="s">
        <v>344</v>
      </c>
      <c r="G6239" t="s">
        <v>11674</v>
      </c>
      <c r="H6239" t="str">
        <f t="shared" si="415"/>
        <v>94993</v>
      </c>
      <c r="I6239" t="s">
        <v>50</v>
      </c>
    </row>
    <row r="6240" spans="1:9" x14ac:dyDescent="0.3">
      <c r="A6240" t="str">
        <f>"61716081"</f>
        <v>61716081</v>
      </c>
      <c r="B6240" t="s">
        <v>11675</v>
      </c>
      <c r="C6240" t="str">
        <f t="shared" si="414"/>
        <v>736</v>
      </c>
      <c r="D6240" t="s">
        <v>22</v>
      </c>
      <c r="E6240" t="s">
        <v>23</v>
      </c>
      <c r="F6240" t="s">
        <v>23</v>
      </c>
      <c r="G6240" t="s">
        <v>11676</v>
      </c>
      <c r="H6240" t="str">
        <f t="shared" si="415"/>
        <v>94993</v>
      </c>
      <c r="I6240" t="s">
        <v>50</v>
      </c>
    </row>
    <row r="6241" spans="1:9" x14ac:dyDescent="0.3">
      <c r="A6241" t="str">
        <f>"60382911"</f>
        <v>60382911</v>
      </c>
      <c r="B6241" t="s">
        <v>11677</v>
      </c>
      <c r="C6241" t="str">
        <f t="shared" si="414"/>
        <v>736</v>
      </c>
      <c r="D6241" t="s">
        <v>22</v>
      </c>
      <c r="E6241" t="s">
        <v>83</v>
      </c>
      <c r="F6241" t="s">
        <v>520</v>
      </c>
      <c r="G6241" t="s">
        <v>11678</v>
      </c>
      <c r="H6241" t="str">
        <f t="shared" si="415"/>
        <v>94993</v>
      </c>
      <c r="I6241" t="s">
        <v>50</v>
      </c>
    </row>
    <row r="6242" spans="1:9" x14ac:dyDescent="0.3">
      <c r="A6242" t="str">
        <f>"60382902"</f>
        <v>60382902</v>
      </c>
      <c r="B6242" t="s">
        <v>11679</v>
      </c>
      <c r="C6242" t="str">
        <f t="shared" si="414"/>
        <v>736</v>
      </c>
      <c r="D6242" t="s">
        <v>22</v>
      </c>
      <c r="E6242" t="s">
        <v>83</v>
      </c>
      <c r="F6242" t="s">
        <v>480</v>
      </c>
      <c r="G6242" t="s">
        <v>11680</v>
      </c>
      <c r="H6242" t="str">
        <f t="shared" si="415"/>
        <v>94993</v>
      </c>
      <c r="I6242" t="s">
        <v>50</v>
      </c>
    </row>
    <row r="6243" spans="1:9" x14ac:dyDescent="0.3">
      <c r="A6243" t="str">
        <f>"60382899"</f>
        <v>60382899</v>
      </c>
      <c r="B6243" t="s">
        <v>11681</v>
      </c>
      <c r="C6243" t="str">
        <f t="shared" si="414"/>
        <v>736</v>
      </c>
      <c r="D6243" t="s">
        <v>22</v>
      </c>
      <c r="E6243" t="s">
        <v>83</v>
      </c>
      <c r="F6243" t="s">
        <v>537</v>
      </c>
      <c r="G6243" t="s">
        <v>11682</v>
      </c>
      <c r="H6243" t="str">
        <f t="shared" si="415"/>
        <v>94993</v>
      </c>
      <c r="I6243" t="s">
        <v>50</v>
      </c>
    </row>
    <row r="6244" spans="1:9" x14ac:dyDescent="0.3">
      <c r="A6244" t="str">
        <f>"60382929"</f>
        <v>60382929</v>
      </c>
      <c r="B6244" t="s">
        <v>11683</v>
      </c>
      <c r="C6244" t="str">
        <f t="shared" si="414"/>
        <v>736</v>
      </c>
      <c r="D6244" t="s">
        <v>22</v>
      </c>
      <c r="E6244" t="s">
        <v>83</v>
      </c>
      <c r="F6244" t="s">
        <v>83</v>
      </c>
      <c r="G6244" t="s">
        <v>11684</v>
      </c>
      <c r="H6244" t="str">
        <f t="shared" si="415"/>
        <v>94993</v>
      </c>
      <c r="I6244" t="s">
        <v>50</v>
      </c>
    </row>
    <row r="6245" spans="1:9" x14ac:dyDescent="0.3">
      <c r="A6245" t="str">
        <f>"60382881"</f>
        <v>60382881</v>
      </c>
      <c r="B6245" t="s">
        <v>11685</v>
      </c>
      <c r="C6245" t="str">
        <f t="shared" si="414"/>
        <v>736</v>
      </c>
      <c r="D6245" t="s">
        <v>22</v>
      </c>
      <c r="E6245" t="s">
        <v>83</v>
      </c>
      <c r="F6245" t="s">
        <v>175</v>
      </c>
      <c r="G6245" t="s">
        <v>11686</v>
      </c>
      <c r="H6245" t="str">
        <f t="shared" si="415"/>
        <v>94993</v>
      </c>
      <c r="I6245" t="s">
        <v>50</v>
      </c>
    </row>
    <row r="6246" spans="1:9" x14ac:dyDescent="0.3">
      <c r="A6246" t="str">
        <f>"63459311"</f>
        <v>63459311</v>
      </c>
      <c r="B6246" t="s">
        <v>11687</v>
      </c>
      <c r="C6246" t="str">
        <f t="shared" si="414"/>
        <v>736</v>
      </c>
      <c r="D6246" t="s">
        <v>22</v>
      </c>
      <c r="E6246" t="s">
        <v>83</v>
      </c>
      <c r="F6246" t="s">
        <v>83</v>
      </c>
      <c r="G6246" t="s">
        <v>11688</v>
      </c>
      <c r="H6246" t="str">
        <f t="shared" si="415"/>
        <v>94993</v>
      </c>
      <c r="I6246" t="s">
        <v>50</v>
      </c>
    </row>
    <row r="6247" spans="1:9" x14ac:dyDescent="0.3">
      <c r="A6247" t="str">
        <f>"63458951"</f>
        <v>63458951</v>
      </c>
      <c r="B6247" t="s">
        <v>11689</v>
      </c>
      <c r="C6247" t="str">
        <f t="shared" si="414"/>
        <v>736</v>
      </c>
      <c r="D6247" t="s">
        <v>22</v>
      </c>
      <c r="E6247" t="s">
        <v>83</v>
      </c>
      <c r="F6247" t="s">
        <v>83</v>
      </c>
      <c r="G6247" t="s">
        <v>11690</v>
      </c>
      <c r="H6247" t="str">
        <f t="shared" si="415"/>
        <v>94993</v>
      </c>
      <c r="I6247" t="s">
        <v>50</v>
      </c>
    </row>
    <row r="6248" spans="1:9" x14ac:dyDescent="0.3">
      <c r="A6248" t="str">
        <f>"63459108"</f>
        <v>63459108</v>
      </c>
      <c r="B6248" t="s">
        <v>11691</v>
      </c>
      <c r="C6248" t="str">
        <f t="shared" si="414"/>
        <v>736</v>
      </c>
      <c r="D6248" t="s">
        <v>22</v>
      </c>
      <c r="E6248" t="s">
        <v>83</v>
      </c>
      <c r="F6248" t="s">
        <v>175</v>
      </c>
      <c r="G6248" t="s">
        <v>11057</v>
      </c>
      <c r="H6248" t="str">
        <f t="shared" si="415"/>
        <v>94993</v>
      </c>
      <c r="I6248" t="s">
        <v>50</v>
      </c>
    </row>
    <row r="6249" spans="1:9" x14ac:dyDescent="0.3">
      <c r="A6249" t="str">
        <f>"63458969"</f>
        <v>63458969</v>
      </c>
      <c r="B6249" t="s">
        <v>11692</v>
      </c>
      <c r="C6249" t="str">
        <f t="shared" si="414"/>
        <v>736</v>
      </c>
      <c r="D6249" t="s">
        <v>22</v>
      </c>
      <c r="E6249" t="s">
        <v>83</v>
      </c>
      <c r="F6249" t="s">
        <v>83</v>
      </c>
      <c r="G6249" t="s">
        <v>11693</v>
      </c>
      <c r="H6249" t="str">
        <f t="shared" si="415"/>
        <v>94993</v>
      </c>
      <c r="I6249" t="s">
        <v>50</v>
      </c>
    </row>
    <row r="6250" spans="1:9" x14ac:dyDescent="0.3">
      <c r="A6250" t="str">
        <f>"63458900"</f>
        <v>63458900</v>
      </c>
      <c r="B6250" t="s">
        <v>11694</v>
      </c>
      <c r="C6250" t="str">
        <f t="shared" si="414"/>
        <v>736</v>
      </c>
      <c r="D6250" t="s">
        <v>22</v>
      </c>
      <c r="E6250" t="s">
        <v>83</v>
      </c>
      <c r="F6250" t="s">
        <v>537</v>
      </c>
      <c r="G6250" t="s">
        <v>11695</v>
      </c>
      <c r="H6250" t="str">
        <f t="shared" si="415"/>
        <v>94993</v>
      </c>
      <c r="I6250" t="s">
        <v>50</v>
      </c>
    </row>
    <row r="6251" spans="1:9" x14ac:dyDescent="0.3">
      <c r="A6251" t="str">
        <f>"65270312"</f>
        <v>65270312</v>
      </c>
      <c r="B6251" t="s">
        <v>11696</v>
      </c>
      <c r="C6251" t="str">
        <f t="shared" si="414"/>
        <v>736</v>
      </c>
      <c r="D6251" t="s">
        <v>22</v>
      </c>
      <c r="E6251" t="s">
        <v>83</v>
      </c>
      <c r="F6251" t="s">
        <v>83</v>
      </c>
      <c r="G6251" t="s">
        <v>11697</v>
      </c>
      <c r="H6251" t="str">
        <f t="shared" si="415"/>
        <v>94993</v>
      </c>
      <c r="I6251" t="s">
        <v>50</v>
      </c>
    </row>
    <row r="6252" spans="1:9" x14ac:dyDescent="0.3">
      <c r="A6252" t="str">
        <f>"63459132"</f>
        <v>63459132</v>
      </c>
      <c r="B6252" t="s">
        <v>11698</v>
      </c>
      <c r="C6252" t="str">
        <f t="shared" si="414"/>
        <v>736</v>
      </c>
      <c r="D6252" t="s">
        <v>22</v>
      </c>
      <c r="E6252" t="s">
        <v>83</v>
      </c>
      <c r="F6252" t="s">
        <v>83</v>
      </c>
      <c r="G6252" t="s">
        <v>11699</v>
      </c>
      <c r="H6252" t="str">
        <f t="shared" si="415"/>
        <v>94993</v>
      </c>
      <c r="I6252" t="s">
        <v>50</v>
      </c>
    </row>
    <row r="6253" spans="1:9" x14ac:dyDescent="0.3">
      <c r="A6253" t="str">
        <f>"60383241"</f>
        <v>60383241</v>
      </c>
      <c r="B6253" t="s">
        <v>11700</v>
      </c>
      <c r="C6253" t="str">
        <f t="shared" si="414"/>
        <v>736</v>
      </c>
      <c r="D6253" t="s">
        <v>22</v>
      </c>
      <c r="E6253" t="s">
        <v>83</v>
      </c>
      <c r="F6253" t="s">
        <v>83</v>
      </c>
      <c r="G6253" t="s">
        <v>11701</v>
      </c>
      <c r="H6253" t="str">
        <f t="shared" si="415"/>
        <v>94993</v>
      </c>
      <c r="I6253" t="s">
        <v>50</v>
      </c>
    </row>
    <row r="6254" spans="1:9" x14ac:dyDescent="0.3">
      <c r="A6254" t="str">
        <f>"63458977"</f>
        <v>63458977</v>
      </c>
      <c r="B6254" t="s">
        <v>11702</v>
      </c>
      <c r="C6254" t="str">
        <f t="shared" si="414"/>
        <v>736</v>
      </c>
      <c r="D6254" t="s">
        <v>22</v>
      </c>
      <c r="E6254" t="s">
        <v>83</v>
      </c>
      <c r="F6254" t="s">
        <v>83</v>
      </c>
      <c r="G6254" t="s">
        <v>11703</v>
      </c>
      <c r="H6254" t="str">
        <f t="shared" si="415"/>
        <v>94993</v>
      </c>
      <c r="I6254" t="s">
        <v>50</v>
      </c>
    </row>
    <row r="6255" spans="1:9" x14ac:dyDescent="0.3">
      <c r="A6255" t="str">
        <f>"63459159"</f>
        <v>63459159</v>
      </c>
      <c r="B6255" t="s">
        <v>11704</v>
      </c>
      <c r="C6255" t="str">
        <f t="shared" si="414"/>
        <v>736</v>
      </c>
      <c r="D6255" t="s">
        <v>22</v>
      </c>
      <c r="E6255" t="s">
        <v>83</v>
      </c>
      <c r="F6255" t="s">
        <v>480</v>
      </c>
      <c r="G6255" t="s">
        <v>11705</v>
      </c>
      <c r="H6255" t="str">
        <f t="shared" si="415"/>
        <v>94993</v>
      </c>
      <c r="I6255" t="s">
        <v>50</v>
      </c>
    </row>
    <row r="6256" spans="1:9" x14ac:dyDescent="0.3">
      <c r="A6256" t="str">
        <f>"63459281"</f>
        <v>63459281</v>
      </c>
      <c r="B6256" t="s">
        <v>11706</v>
      </c>
      <c r="C6256" t="str">
        <f t="shared" si="414"/>
        <v>736</v>
      </c>
      <c r="D6256" t="s">
        <v>22</v>
      </c>
      <c r="E6256" t="s">
        <v>83</v>
      </c>
      <c r="F6256" t="s">
        <v>183</v>
      </c>
      <c r="G6256" t="s">
        <v>11707</v>
      </c>
      <c r="H6256" t="str">
        <f t="shared" si="415"/>
        <v>94993</v>
      </c>
      <c r="I6256" t="s">
        <v>50</v>
      </c>
    </row>
    <row r="6257" spans="1:9" x14ac:dyDescent="0.3">
      <c r="A6257" t="str">
        <f>"62832581"</f>
        <v>62832581</v>
      </c>
      <c r="B6257" t="s">
        <v>11708</v>
      </c>
      <c r="C6257" t="str">
        <f t="shared" si="414"/>
        <v>736</v>
      </c>
      <c r="D6257" t="s">
        <v>22</v>
      </c>
      <c r="E6257" t="s">
        <v>52</v>
      </c>
      <c r="F6257" t="s">
        <v>1788</v>
      </c>
      <c r="G6257" t="s">
        <v>11709</v>
      </c>
      <c r="H6257" t="str">
        <f t="shared" si="415"/>
        <v>94993</v>
      </c>
      <c r="I6257" t="s">
        <v>50</v>
      </c>
    </row>
    <row r="6258" spans="1:9" x14ac:dyDescent="0.3">
      <c r="A6258" t="str">
        <f>"72565179"</f>
        <v>72565179</v>
      </c>
      <c r="B6258" t="s">
        <v>11710</v>
      </c>
      <c r="C6258" t="str">
        <f t="shared" si="414"/>
        <v>736</v>
      </c>
      <c r="D6258" t="s">
        <v>22</v>
      </c>
      <c r="E6258" t="s">
        <v>23</v>
      </c>
      <c r="F6258" t="s">
        <v>5336</v>
      </c>
      <c r="G6258" t="s">
        <v>11711</v>
      </c>
      <c r="H6258" t="str">
        <f t="shared" si="415"/>
        <v>94993</v>
      </c>
      <c r="I6258" t="s">
        <v>50</v>
      </c>
    </row>
    <row r="6259" spans="1:9" x14ac:dyDescent="0.3">
      <c r="A6259" t="str">
        <f>"63459124"</f>
        <v>63459124</v>
      </c>
      <c r="B6259" t="s">
        <v>11712</v>
      </c>
      <c r="C6259" t="str">
        <f t="shared" si="414"/>
        <v>736</v>
      </c>
      <c r="D6259" t="s">
        <v>22</v>
      </c>
      <c r="E6259" t="s">
        <v>83</v>
      </c>
      <c r="F6259" t="s">
        <v>537</v>
      </c>
      <c r="G6259" t="s">
        <v>11713</v>
      </c>
      <c r="H6259" t="str">
        <f t="shared" si="415"/>
        <v>94993</v>
      </c>
      <c r="I6259" t="s">
        <v>50</v>
      </c>
    </row>
    <row r="6260" spans="1:9" x14ac:dyDescent="0.3">
      <c r="A6260" t="str">
        <f>"70238758"</f>
        <v>70238758</v>
      </c>
      <c r="B6260" t="s">
        <v>11714</v>
      </c>
      <c r="C6260" t="str">
        <f t="shared" si="414"/>
        <v>736</v>
      </c>
      <c r="D6260" t="s">
        <v>22</v>
      </c>
      <c r="E6260" t="s">
        <v>29</v>
      </c>
      <c r="F6260" t="s">
        <v>1796</v>
      </c>
      <c r="G6260" t="s">
        <v>11715</v>
      </c>
      <c r="H6260" t="str">
        <f t="shared" si="415"/>
        <v>94993</v>
      </c>
      <c r="I6260" t="s">
        <v>50</v>
      </c>
    </row>
    <row r="6261" spans="1:9" x14ac:dyDescent="0.3">
      <c r="A6261" t="str">
        <f>"62180207"</f>
        <v>62180207</v>
      </c>
      <c r="B6261" t="s">
        <v>11716</v>
      </c>
      <c r="C6261" t="str">
        <f t="shared" si="414"/>
        <v>736</v>
      </c>
      <c r="D6261" t="s">
        <v>22</v>
      </c>
      <c r="E6261" t="s">
        <v>23</v>
      </c>
      <c r="F6261" t="s">
        <v>1418</v>
      </c>
      <c r="G6261" t="s">
        <v>11717</v>
      </c>
      <c r="H6261" t="str">
        <f t="shared" si="415"/>
        <v>94993</v>
      </c>
      <c r="I6261" t="s">
        <v>50</v>
      </c>
    </row>
    <row r="6262" spans="1:9" x14ac:dyDescent="0.3">
      <c r="A6262" t="str">
        <f>"71245219"</f>
        <v>71245219</v>
      </c>
      <c r="B6262" t="s">
        <v>11718</v>
      </c>
      <c r="C6262" t="str">
        <f t="shared" si="414"/>
        <v>736</v>
      </c>
      <c r="D6262" t="s">
        <v>22</v>
      </c>
      <c r="E6262" t="s">
        <v>29</v>
      </c>
      <c r="F6262" t="s">
        <v>195</v>
      </c>
      <c r="G6262" t="s">
        <v>1242</v>
      </c>
      <c r="H6262" t="str">
        <f t="shared" si="415"/>
        <v>94993</v>
      </c>
      <c r="I6262" t="s">
        <v>50</v>
      </c>
    </row>
    <row r="6263" spans="1:9" x14ac:dyDescent="0.3">
      <c r="A6263" t="str">
        <f>"44018991"</f>
        <v>44018991</v>
      </c>
      <c r="B6263" t="s">
        <v>11719</v>
      </c>
      <c r="C6263" t="str">
        <f t="shared" si="414"/>
        <v>736</v>
      </c>
      <c r="D6263" t="s">
        <v>22</v>
      </c>
      <c r="E6263" t="s">
        <v>52</v>
      </c>
      <c r="F6263" t="s">
        <v>65</v>
      </c>
      <c r="G6263" t="s">
        <v>11720</v>
      </c>
      <c r="H6263" t="str">
        <f t="shared" si="415"/>
        <v>94993</v>
      </c>
      <c r="I6263" t="s">
        <v>50</v>
      </c>
    </row>
    <row r="6264" spans="1:9" x14ac:dyDescent="0.3">
      <c r="A6264" t="str">
        <f>"47934549"</f>
        <v>47934549</v>
      </c>
      <c r="B6264" t="s">
        <v>11721</v>
      </c>
      <c r="C6264" t="str">
        <f t="shared" si="414"/>
        <v>736</v>
      </c>
      <c r="D6264" t="s">
        <v>22</v>
      </c>
      <c r="E6264" t="s">
        <v>83</v>
      </c>
      <c r="F6264" t="s">
        <v>183</v>
      </c>
      <c r="G6264" t="s">
        <v>1801</v>
      </c>
      <c r="H6264" t="str">
        <f t="shared" si="415"/>
        <v>94993</v>
      </c>
      <c r="I6264" t="s">
        <v>50</v>
      </c>
    </row>
    <row r="6265" spans="1:9" x14ac:dyDescent="0.3">
      <c r="A6265" t="str">
        <f>"72064765"</f>
        <v>72064765</v>
      </c>
      <c r="B6265" t="s">
        <v>11722</v>
      </c>
      <c r="C6265" t="str">
        <f t="shared" si="414"/>
        <v>736</v>
      </c>
      <c r="D6265" t="s">
        <v>22</v>
      </c>
      <c r="E6265" t="s">
        <v>29</v>
      </c>
      <c r="F6265" t="s">
        <v>775</v>
      </c>
      <c r="G6265" t="s">
        <v>11723</v>
      </c>
      <c r="H6265" t="str">
        <f t="shared" si="415"/>
        <v>94993</v>
      </c>
      <c r="I6265" t="s">
        <v>50</v>
      </c>
    </row>
    <row r="6266" spans="1:9" x14ac:dyDescent="0.3">
      <c r="A6266" t="str">
        <f>"75132478"</f>
        <v>75132478</v>
      </c>
      <c r="B6266" t="s">
        <v>11724</v>
      </c>
      <c r="C6266" t="str">
        <f t="shared" si="414"/>
        <v>736</v>
      </c>
      <c r="D6266" t="s">
        <v>22</v>
      </c>
      <c r="E6266" t="s">
        <v>52</v>
      </c>
      <c r="F6266" t="s">
        <v>1257</v>
      </c>
      <c r="G6266" t="s">
        <v>1813</v>
      </c>
      <c r="H6266" t="str">
        <f t="shared" si="415"/>
        <v>94993</v>
      </c>
      <c r="I6266" t="s">
        <v>50</v>
      </c>
    </row>
    <row r="6267" spans="1:9" x14ac:dyDescent="0.3">
      <c r="A6267" t="str">
        <f>"72534605"</f>
        <v>72534605</v>
      </c>
      <c r="B6267" t="s">
        <v>11725</v>
      </c>
      <c r="C6267" t="str">
        <f t="shared" si="414"/>
        <v>736</v>
      </c>
      <c r="D6267" t="s">
        <v>22</v>
      </c>
      <c r="E6267" t="s">
        <v>23</v>
      </c>
      <c r="F6267" t="s">
        <v>23</v>
      </c>
      <c r="G6267" t="s">
        <v>11726</v>
      </c>
      <c r="H6267" t="str">
        <f t="shared" si="415"/>
        <v>94993</v>
      </c>
      <c r="I6267" t="s">
        <v>50</v>
      </c>
    </row>
    <row r="6268" spans="1:9" x14ac:dyDescent="0.3">
      <c r="A6268" t="str">
        <f>"75067731"</f>
        <v>75067731</v>
      </c>
      <c r="B6268" t="s">
        <v>11727</v>
      </c>
      <c r="C6268" t="str">
        <f t="shared" si="414"/>
        <v>736</v>
      </c>
      <c r="D6268" t="s">
        <v>22</v>
      </c>
      <c r="E6268" t="s">
        <v>23</v>
      </c>
      <c r="F6268" t="s">
        <v>303</v>
      </c>
      <c r="G6268" t="s">
        <v>11728</v>
      </c>
      <c r="H6268" t="str">
        <f t="shared" si="415"/>
        <v>94993</v>
      </c>
      <c r="I6268" t="s">
        <v>50</v>
      </c>
    </row>
    <row r="6269" spans="1:9" x14ac:dyDescent="0.3">
      <c r="A6269" t="str">
        <f>"62182315"</f>
        <v>62182315</v>
      </c>
      <c r="B6269" t="s">
        <v>11729</v>
      </c>
      <c r="C6269" t="str">
        <f t="shared" si="414"/>
        <v>736</v>
      </c>
      <c r="D6269" t="s">
        <v>22</v>
      </c>
      <c r="E6269" t="s">
        <v>23</v>
      </c>
      <c r="F6269" t="s">
        <v>1657</v>
      </c>
      <c r="G6269" t="s">
        <v>11730</v>
      </c>
      <c r="H6269" t="str">
        <f t="shared" si="415"/>
        <v>94993</v>
      </c>
      <c r="I6269" t="s">
        <v>50</v>
      </c>
    </row>
    <row r="6270" spans="1:9" x14ac:dyDescent="0.3">
      <c r="A6270" t="str">
        <f>"65764510"</f>
        <v>65764510</v>
      </c>
      <c r="B6270" t="s">
        <v>11731</v>
      </c>
      <c r="C6270" t="str">
        <f t="shared" si="414"/>
        <v>736</v>
      </c>
      <c r="D6270" t="s">
        <v>22</v>
      </c>
      <c r="E6270" t="s">
        <v>52</v>
      </c>
      <c r="F6270" t="s">
        <v>1229</v>
      </c>
      <c r="G6270" t="s">
        <v>11732</v>
      </c>
      <c r="H6270" t="str">
        <f t="shared" si="415"/>
        <v>94993</v>
      </c>
      <c r="I6270" t="s">
        <v>50</v>
      </c>
    </row>
    <row r="6271" spans="1:9" x14ac:dyDescent="0.3">
      <c r="A6271" t="str">
        <f>"75833450"</f>
        <v>75833450</v>
      </c>
      <c r="B6271" t="s">
        <v>11733</v>
      </c>
      <c r="C6271" t="str">
        <f t="shared" si="414"/>
        <v>736</v>
      </c>
      <c r="D6271" t="s">
        <v>22</v>
      </c>
      <c r="E6271" t="s">
        <v>23</v>
      </c>
      <c r="F6271" t="s">
        <v>23</v>
      </c>
      <c r="G6271" t="s">
        <v>11734</v>
      </c>
      <c r="H6271" t="str">
        <f t="shared" si="415"/>
        <v>94993</v>
      </c>
      <c r="I6271" t="s">
        <v>50</v>
      </c>
    </row>
    <row r="6272" spans="1:9" x14ac:dyDescent="0.3">
      <c r="A6272" t="str">
        <f>"75080681"</f>
        <v>75080681</v>
      </c>
      <c r="B6272" t="s">
        <v>11735</v>
      </c>
      <c r="C6272" t="str">
        <f t="shared" si="414"/>
        <v>736</v>
      </c>
      <c r="D6272" t="s">
        <v>22</v>
      </c>
      <c r="E6272" t="s">
        <v>23</v>
      </c>
      <c r="F6272" t="s">
        <v>23</v>
      </c>
      <c r="G6272" t="s">
        <v>11736</v>
      </c>
      <c r="H6272" t="str">
        <f t="shared" si="415"/>
        <v>94993</v>
      </c>
      <c r="I6272" t="s">
        <v>50</v>
      </c>
    </row>
    <row r="6273" spans="1:9" x14ac:dyDescent="0.3">
      <c r="A6273" t="str">
        <f>"70961123"</f>
        <v>70961123</v>
      </c>
      <c r="B6273" t="s">
        <v>11737</v>
      </c>
      <c r="C6273" t="str">
        <f t="shared" si="414"/>
        <v>736</v>
      </c>
      <c r="D6273" t="s">
        <v>22</v>
      </c>
      <c r="E6273" t="s">
        <v>29</v>
      </c>
      <c r="F6273" t="s">
        <v>1121</v>
      </c>
      <c r="G6273" t="s">
        <v>11738</v>
      </c>
      <c r="H6273" t="str">
        <f t="shared" si="415"/>
        <v>94993</v>
      </c>
      <c r="I6273" t="s">
        <v>50</v>
      </c>
    </row>
    <row r="6274" spans="1:9" x14ac:dyDescent="0.3">
      <c r="A6274" t="str">
        <f>"75150051"</f>
        <v>75150051</v>
      </c>
      <c r="B6274" t="s">
        <v>11739</v>
      </c>
      <c r="C6274" t="str">
        <f t="shared" si="414"/>
        <v>736</v>
      </c>
      <c r="D6274" t="s">
        <v>22</v>
      </c>
      <c r="E6274" t="s">
        <v>29</v>
      </c>
      <c r="F6274" t="s">
        <v>271</v>
      </c>
      <c r="G6274" t="s">
        <v>11740</v>
      </c>
      <c r="H6274" t="str">
        <f t="shared" si="415"/>
        <v>94993</v>
      </c>
      <c r="I6274" t="s">
        <v>50</v>
      </c>
    </row>
    <row r="6275" spans="1:9" x14ac:dyDescent="0.3">
      <c r="A6275" t="str">
        <f>"04935195"</f>
        <v>04935195</v>
      </c>
      <c r="B6275" t="s">
        <v>11741</v>
      </c>
      <c r="C6275" t="str">
        <f t="shared" si="414"/>
        <v>736</v>
      </c>
      <c r="D6275" t="s">
        <v>22</v>
      </c>
      <c r="E6275" t="s">
        <v>52</v>
      </c>
      <c r="F6275" t="s">
        <v>927</v>
      </c>
      <c r="G6275" t="s">
        <v>5052</v>
      </c>
      <c r="H6275" t="str">
        <f t="shared" si="415"/>
        <v>94993</v>
      </c>
      <c r="I6275" t="s">
        <v>50</v>
      </c>
    </row>
    <row r="6276" spans="1:9" x14ac:dyDescent="0.3">
      <c r="A6276" t="str">
        <f>"61716375"</f>
        <v>61716375</v>
      </c>
      <c r="B6276" t="s">
        <v>11742</v>
      </c>
      <c r="C6276" t="str">
        <f t="shared" si="414"/>
        <v>736</v>
      </c>
      <c r="D6276" t="s">
        <v>22</v>
      </c>
      <c r="E6276" t="s">
        <v>23</v>
      </c>
      <c r="F6276" t="s">
        <v>23</v>
      </c>
      <c r="G6276" t="s">
        <v>11743</v>
      </c>
      <c r="H6276" t="str">
        <f t="shared" si="415"/>
        <v>94993</v>
      </c>
      <c r="I6276" t="s">
        <v>50</v>
      </c>
    </row>
    <row r="6277" spans="1:9" x14ac:dyDescent="0.3">
      <c r="A6277" t="str">
        <f>"75110563"</f>
        <v>75110563</v>
      </c>
      <c r="B6277" t="s">
        <v>11744</v>
      </c>
      <c r="C6277" t="str">
        <f t="shared" si="414"/>
        <v>736</v>
      </c>
      <c r="D6277" t="s">
        <v>22</v>
      </c>
      <c r="E6277" t="s">
        <v>23</v>
      </c>
      <c r="F6277" t="s">
        <v>23</v>
      </c>
      <c r="G6277" t="s">
        <v>11745</v>
      </c>
      <c r="H6277" t="str">
        <f t="shared" si="415"/>
        <v>94993</v>
      </c>
      <c r="I6277" t="s">
        <v>50</v>
      </c>
    </row>
    <row r="6278" spans="1:9" x14ac:dyDescent="0.3">
      <c r="A6278" t="str">
        <f>"63458942"</f>
        <v>63458942</v>
      </c>
      <c r="B6278" t="s">
        <v>11746</v>
      </c>
      <c r="C6278" t="str">
        <f t="shared" si="414"/>
        <v>736</v>
      </c>
      <c r="D6278" t="s">
        <v>22</v>
      </c>
      <c r="E6278" t="s">
        <v>83</v>
      </c>
      <c r="F6278" t="s">
        <v>1425</v>
      </c>
      <c r="G6278" t="s">
        <v>11747</v>
      </c>
      <c r="H6278" t="str">
        <f t="shared" si="415"/>
        <v>94993</v>
      </c>
      <c r="I6278" t="s">
        <v>50</v>
      </c>
    </row>
    <row r="6279" spans="1:9" x14ac:dyDescent="0.3">
      <c r="A6279" t="str">
        <f>"65822668"</f>
        <v>65822668</v>
      </c>
      <c r="B6279" t="s">
        <v>11748</v>
      </c>
      <c r="C6279" t="str">
        <f t="shared" si="414"/>
        <v>736</v>
      </c>
      <c r="D6279" t="s">
        <v>22</v>
      </c>
      <c r="E6279" t="s">
        <v>23</v>
      </c>
      <c r="F6279" t="s">
        <v>23</v>
      </c>
      <c r="G6279" t="s">
        <v>11749</v>
      </c>
      <c r="H6279" t="str">
        <f t="shared" si="415"/>
        <v>94993</v>
      </c>
      <c r="I6279" t="s">
        <v>50</v>
      </c>
    </row>
    <row r="6280" spans="1:9" x14ac:dyDescent="0.3">
      <c r="A6280" t="str">
        <f>"61716961"</f>
        <v>61716961</v>
      </c>
      <c r="B6280" t="s">
        <v>11750</v>
      </c>
      <c r="C6280" t="str">
        <f t="shared" si="414"/>
        <v>736</v>
      </c>
      <c r="D6280" t="s">
        <v>22</v>
      </c>
      <c r="E6280" t="s">
        <v>23</v>
      </c>
      <c r="F6280" t="s">
        <v>23</v>
      </c>
      <c r="G6280" t="s">
        <v>11751</v>
      </c>
      <c r="H6280" t="str">
        <f t="shared" si="415"/>
        <v>94993</v>
      </c>
      <c r="I6280" t="s">
        <v>50</v>
      </c>
    </row>
    <row r="6281" spans="1:9" x14ac:dyDescent="0.3">
      <c r="A6281" t="str">
        <f>"63458934"</f>
        <v>63458934</v>
      </c>
      <c r="B6281" t="s">
        <v>11752</v>
      </c>
      <c r="C6281" t="str">
        <f t="shared" si="414"/>
        <v>736</v>
      </c>
      <c r="D6281" t="s">
        <v>22</v>
      </c>
      <c r="E6281" t="s">
        <v>83</v>
      </c>
      <c r="F6281" t="s">
        <v>83</v>
      </c>
      <c r="G6281" t="s">
        <v>11753</v>
      </c>
      <c r="H6281" t="str">
        <f t="shared" si="415"/>
        <v>94993</v>
      </c>
      <c r="I6281" t="s">
        <v>50</v>
      </c>
    </row>
    <row r="6282" spans="1:9" x14ac:dyDescent="0.3">
      <c r="A6282" t="str">
        <f>"70803081"</f>
        <v>70803081</v>
      </c>
      <c r="B6282" t="s">
        <v>11754</v>
      </c>
      <c r="C6282" t="str">
        <f t="shared" si="414"/>
        <v>736</v>
      </c>
      <c r="D6282" t="s">
        <v>22</v>
      </c>
      <c r="E6282" t="s">
        <v>52</v>
      </c>
      <c r="F6282" t="s">
        <v>4748</v>
      </c>
      <c r="G6282" t="s">
        <v>11755</v>
      </c>
      <c r="H6282" t="str">
        <f t="shared" si="415"/>
        <v>94993</v>
      </c>
      <c r="I6282" t="s">
        <v>50</v>
      </c>
    </row>
    <row r="6283" spans="1:9" x14ac:dyDescent="0.3">
      <c r="A6283" t="str">
        <f>"70917434"</f>
        <v>70917434</v>
      </c>
      <c r="B6283" t="s">
        <v>11756</v>
      </c>
      <c r="C6283" t="str">
        <f t="shared" si="414"/>
        <v>736</v>
      </c>
      <c r="D6283" t="s">
        <v>22</v>
      </c>
      <c r="E6283" t="s">
        <v>52</v>
      </c>
      <c r="F6283" t="s">
        <v>52</v>
      </c>
      <c r="G6283" t="s">
        <v>11757</v>
      </c>
      <c r="H6283" t="str">
        <f t="shared" si="415"/>
        <v>94993</v>
      </c>
      <c r="I6283" t="s">
        <v>50</v>
      </c>
    </row>
    <row r="6284" spans="1:9" x14ac:dyDescent="0.3">
      <c r="A6284" t="str">
        <f>"71193308"</f>
        <v>71193308</v>
      </c>
      <c r="B6284" t="s">
        <v>11758</v>
      </c>
      <c r="C6284" t="str">
        <f t="shared" si="414"/>
        <v>736</v>
      </c>
      <c r="D6284" t="s">
        <v>22</v>
      </c>
      <c r="E6284" t="s">
        <v>29</v>
      </c>
      <c r="F6284" t="s">
        <v>1926</v>
      </c>
      <c r="G6284" t="s">
        <v>11759</v>
      </c>
      <c r="H6284" t="str">
        <f t="shared" si="415"/>
        <v>94993</v>
      </c>
      <c r="I6284" t="s">
        <v>50</v>
      </c>
    </row>
    <row r="6285" spans="1:9" x14ac:dyDescent="0.3">
      <c r="A6285" t="str">
        <f>"75062305"</f>
        <v>75062305</v>
      </c>
      <c r="B6285" t="s">
        <v>11760</v>
      </c>
      <c r="C6285" t="str">
        <f t="shared" si="414"/>
        <v>736</v>
      </c>
      <c r="D6285" t="s">
        <v>22</v>
      </c>
      <c r="E6285" t="s">
        <v>29</v>
      </c>
      <c r="F6285" t="s">
        <v>195</v>
      </c>
      <c r="G6285" t="s">
        <v>11761</v>
      </c>
      <c r="H6285" t="str">
        <f t="shared" si="415"/>
        <v>94993</v>
      </c>
      <c r="I6285" t="s">
        <v>50</v>
      </c>
    </row>
    <row r="6286" spans="1:9" x14ac:dyDescent="0.3">
      <c r="A6286" t="str">
        <f>"45659524"</f>
        <v>45659524</v>
      </c>
      <c r="B6286" t="s">
        <v>11762</v>
      </c>
      <c r="C6286" t="str">
        <f t="shared" si="414"/>
        <v>736</v>
      </c>
      <c r="D6286" t="s">
        <v>22</v>
      </c>
      <c r="E6286" t="s">
        <v>23</v>
      </c>
      <c r="F6286" t="s">
        <v>23</v>
      </c>
      <c r="G6286" t="s">
        <v>11763</v>
      </c>
      <c r="H6286" t="str">
        <f t="shared" si="415"/>
        <v>94993</v>
      </c>
      <c r="I6286" t="s">
        <v>50</v>
      </c>
    </row>
    <row r="6287" spans="1:9" x14ac:dyDescent="0.3">
      <c r="A6287" t="str">
        <f>"70805491"</f>
        <v>70805491</v>
      </c>
      <c r="B6287" t="s">
        <v>11764</v>
      </c>
      <c r="C6287" t="str">
        <f t="shared" si="414"/>
        <v>736</v>
      </c>
      <c r="D6287" t="s">
        <v>22</v>
      </c>
      <c r="E6287" t="s">
        <v>52</v>
      </c>
      <c r="F6287" t="s">
        <v>673</v>
      </c>
      <c r="G6287" t="s">
        <v>11765</v>
      </c>
      <c r="H6287" t="str">
        <f t="shared" si="415"/>
        <v>94993</v>
      </c>
      <c r="I6287" t="s">
        <v>50</v>
      </c>
    </row>
    <row r="6288" spans="1:9" x14ac:dyDescent="0.3">
      <c r="A6288" t="str">
        <f>"44019009"</f>
        <v>44019009</v>
      </c>
      <c r="B6288" t="s">
        <v>11766</v>
      </c>
      <c r="C6288" t="str">
        <f t="shared" si="414"/>
        <v>736</v>
      </c>
      <c r="D6288" t="s">
        <v>22</v>
      </c>
      <c r="E6288" t="s">
        <v>52</v>
      </c>
      <c r="F6288" t="s">
        <v>234</v>
      </c>
      <c r="G6288" t="s">
        <v>10743</v>
      </c>
      <c r="H6288" t="str">
        <f t="shared" si="415"/>
        <v>94993</v>
      </c>
      <c r="I6288" t="s">
        <v>50</v>
      </c>
    </row>
    <row r="6289" spans="1:9" x14ac:dyDescent="0.3">
      <c r="A6289" t="str">
        <f>"63459337"</f>
        <v>63459337</v>
      </c>
      <c r="B6289" t="s">
        <v>11767</v>
      </c>
      <c r="C6289" t="str">
        <f t="shared" si="414"/>
        <v>736</v>
      </c>
      <c r="D6289" t="s">
        <v>22</v>
      </c>
      <c r="E6289" t="s">
        <v>83</v>
      </c>
      <c r="F6289" t="s">
        <v>409</v>
      </c>
      <c r="G6289" t="s">
        <v>11768</v>
      </c>
      <c r="H6289" t="str">
        <f t="shared" si="415"/>
        <v>94993</v>
      </c>
      <c r="I6289" t="s">
        <v>50</v>
      </c>
    </row>
    <row r="6290" spans="1:9" x14ac:dyDescent="0.3">
      <c r="A6290" t="str">
        <f>"72556358"</f>
        <v>72556358</v>
      </c>
      <c r="B6290" t="s">
        <v>11769</v>
      </c>
      <c r="C6290" t="str">
        <f t="shared" ref="C6290:C6353" si="416">"736"</f>
        <v>736</v>
      </c>
      <c r="D6290" t="s">
        <v>22</v>
      </c>
      <c r="E6290" t="s">
        <v>29</v>
      </c>
      <c r="F6290" t="s">
        <v>29</v>
      </c>
      <c r="G6290" t="s">
        <v>11770</v>
      </c>
      <c r="H6290" t="str">
        <f t="shared" si="415"/>
        <v>94993</v>
      </c>
      <c r="I6290" t="s">
        <v>50</v>
      </c>
    </row>
    <row r="6291" spans="1:9" x14ac:dyDescent="0.3">
      <c r="A6291" t="str">
        <f>"72558512"</f>
        <v>72558512</v>
      </c>
      <c r="B6291" t="s">
        <v>11771</v>
      </c>
      <c r="C6291" t="str">
        <f t="shared" si="416"/>
        <v>736</v>
      </c>
      <c r="D6291" t="s">
        <v>22</v>
      </c>
      <c r="E6291" t="s">
        <v>29</v>
      </c>
      <c r="F6291" t="s">
        <v>702</v>
      </c>
      <c r="G6291" t="s">
        <v>11772</v>
      </c>
      <c r="H6291" t="str">
        <f t="shared" si="415"/>
        <v>94993</v>
      </c>
      <c r="I6291" t="s">
        <v>50</v>
      </c>
    </row>
    <row r="6292" spans="1:9" x14ac:dyDescent="0.3">
      <c r="A6292" t="str">
        <f>"72555068"</f>
        <v>72555068</v>
      </c>
      <c r="B6292" t="s">
        <v>11773</v>
      </c>
      <c r="C6292" t="str">
        <f t="shared" si="416"/>
        <v>736</v>
      </c>
      <c r="D6292" t="s">
        <v>22</v>
      </c>
      <c r="E6292" t="s">
        <v>23</v>
      </c>
      <c r="F6292" t="s">
        <v>4891</v>
      </c>
      <c r="G6292" t="s">
        <v>11774</v>
      </c>
      <c r="H6292" t="str">
        <f t="shared" si="415"/>
        <v>94993</v>
      </c>
      <c r="I6292" t="s">
        <v>50</v>
      </c>
    </row>
    <row r="6293" spans="1:9" x14ac:dyDescent="0.3">
      <c r="A6293" t="str">
        <f>"63459345"</f>
        <v>63459345</v>
      </c>
      <c r="B6293" t="s">
        <v>11775</v>
      </c>
      <c r="C6293" t="str">
        <f t="shared" si="416"/>
        <v>736</v>
      </c>
      <c r="D6293" t="s">
        <v>22</v>
      </c>
      <c r="E6293" t="s">
        <v>83</v>
      </c>
      <c r="F6293" t="s">
        <v>540</v>
      </c>
      <c r="G6293" t="s">
        <v>4874</v>
      </c>
      <c r="H6293" t="str">
        <f t="shared" si="415"/>
        <v>94993</v>
      </c>
      <c r="I6293" t="s">
        <v>50</v>
      </c>
    </row>
    <row r="6294" spans="1:9" x14ac:dyDescent="0.3">
      <c r="A6294" t="str">
        <f>"75107783"</f>
        <v>75107783</v>
      </c>
      <c r="B6294" t="s">
        <v>11776</v>
      </c>
      <c r="C6294" t="str">
        <f t="shared" si="416"/>
        <v>736</v>
      </c>
      <c r="D6294" t="s">
        <v>22</v>
      </c>
      <c r="E6294" t="s">
        <v>23</v>
      </c>
      <c r="F6294" t="s">
        <v>2318</v>
      </c>
      <c r="G6294" t="s">
        <v>3407</v>
      </c>
      <c r="H6294" t="str">
        <f t="shared" si="415"/>
        <v>94993</v>
      </c>
      <c r="I6294" t="s">
        <v>50</v>
      </c>
    </row>
    <row r="6295" spans="1:9" x14ac:dyDescent="0.3">
      <c r="A6295" t="str">
        <f>"61716511"</f>
        <v>61716511</v>
      </c>
      <c r="B6295" t="s">
        <v>11777</v>
      </c>
      <c r="C6295" t="str">
        <f t="shared" si="416"/>
        <v>736</v>
      </c>
      <c r="D6295" t="s">
        <v>22</v>
      </c>
      <c r="E6295" t="s">
        <v>23</v>
      </c>
      <c r="F6295" t="s">
        <v>99</v>
      </c>
      <c r="G6295" t="s">
        <v>2480</v>
      </c>
      <c r="H6295" t="str">
        <f t="shared" si="415"/>
        <v>94993</v>
      </c>
      <c r="I6295" t="s">
        <v>50</v>
      </c>
    </row>
    <row r="6296" spans="1:9" x14ac:dyDescent="0.3">
      <c r="A6296" t="str">
        <f>"62180801"</f>
        <v>62180801</v>
      </c>
      <c r="B6296" t="s">
        <v>11778</v>
      </c>
      <c r="C6296" t="str">
        <f t="shared" si="416"/>
        <v>736</v>
      </c>
      <c r="D6296" t="s">
        <v>22</v>
      </c>
      <c r="E6296" t="s">
        <v>23</v>
      </c>
      <c r="F6296" t="s">
        <v>5347</v>
      </c>
      <c r="G6296" t="s">
        <v>11779</v>
      </c>
      <c r="H6296" t="str">
        <f t="shared" ref="H6296:H6332" si="417">"94993"</f>
        <v>94993</v>
      </c>
      <c r="I6296" t="s">
        <v>50</v>
      </c>
    </row>
    <row r="6297" spans="1:9" x14ac:dyDescent="0.3">
      <c r="A6297" t="str">
        <f>"72558962"</f>
        <v>72558962</v>
      </c>
      <c r="B6297" t="s">
        <v>11780</v>
      </c>
      <c r="C6297" t="str">
        <f t="shared" si="416"/>
        <v>736</v>
      </c>
      <c r="D6297" t="s">
        <v>22</v>
      </c>
      <c r="E6297" t="s">
        <v>23</v>
      </c>
      <c r="F6297" t="s">
        <v>1063</v>
      </c>
      <c r="G6297" t="s">
        <v>8310</v>
      </c>
      <c r="H6297" t="str">
        <f t="shared" si="417"/>
        <v>94993</v>
      </c>
      <c r="I6297" t="s">
        <v>50</v>
      </c>
    </row>
    <row r="6298" spans="1:9" x14ac:dyDescent="0.3">
      <c r="A6298" t="str">
        <f>"62180622"</f>
        <v>62180622</v>
      </c>
      <c r="B6298" t="s">
        <v>11781</v>
      </c>
      <c r="C6298" t="str">
        <f t="shared" si="416"/>
        <v>736</v>
      </c>
      <c r="D6298" t="s">
        <v>22</v>
      </c>
      <c r="E6298" t="s">
        <v>23</v>
      </c>
      <c r="F6298" t="s">
        <v>23</v>
      </c>
      <c r="G6298" t="s">
        <v>11782</v>
      </c>
      <c r="H6298" t="str">
        <f t="shared" si="417"/>
        <v>94993</v>
      </c>
      <c r="I6298" t="s">
        <v>50</v>
      </c>
    </row>
    <row r="6299" spans="1:9" x14ac:dyDescent="0.3">
      <c r="A6299" t="str">
        <f>"66934435"</f>
        <v>66934435</v>
      </c>
      <c r="B6299" t="s">
        <v>11783</v>
      </c>
      <c r="C6299" t="str">
        <f t="shared" si="416"/>
        <v>736</v>
      </c>
      <c r="D6299" t="s">
        <v>22</v>
      </c>
      <c r="E6299" t="s">
        <v>29</v>
      </c>
      <c r="F6299" t="s">
        <v>29</v>
      </c>
      <c r="G6299" t="s">
        <v>11784</v>
      </c>
      <c r="H6299" t="str">
        <f t="shared" si="417"/>
        <v>94993</v>
      </c>
      <c r="I6299" t="s">
        <v>50</v>
      </c>
    </row>
    <row r="6300" spans="1:9" x14ac:dyDescent="0.3">
      <c r="A6300" t="str">
        <f>"63459213"</f>
        <v>63459213</v>
      </c>
      <c r="B6300" t="s">
        <v>11785</v>
      </c>
      <c r="C6300" t="str">
        <f t="shared" si="416"/>
        <v>736</v>
      </c>
      <c r="D6300" t="s">
        <v>22</v>
      </c>
      <c r="E6300" t="s">
        <v>83</v>
      </c>
      <c r="F6300" t="s">
        <v>2674</v>
      </c>
      <c r="G6300" t="s">
        <v>11786</v>
      </c>
      <c r="H6300" t="str">
        <f t="shared" si="417"/>
        <v>94993</v>
      </c>
      <c r="I6300" t="s">
        <v>50</v>
      </c>
    </row>
    <row r="6301" spans="1:9" x14ac:dyDescent="0.3">
      <c r="A6301" t="str">
        <f>"62832859"</f>
        <v>62832859</v>
      </c>
      <c r="B6301" t="s">
        <v>11787</v>
      </c>
      <c r="C6301" t="str">
        <f t="shared" si="416"/>
        <v>736</v>
      </c>
      <c r="D6301" t="s">
        <v>22</v>
      </c>
      <c r="E6301" t="s">
        <v>52</v>
      </c>
      <c r="F6301" t="s">
        <v>4762</v>
      </c>
      <c r="G6301" t="s">
        <v>11788</v>
      </c>
      <c r="H6301" t="str">
        <f t="shared" si="417"/>
        <v>94993</v>
      </c>
      <c r="I6301" t="s">
        <v>50</v>
      </c>
    </row>
    <row r="6302" spans="1:9" x14ac:dyDescent="0.3">
      <c r="A6302" t="str">
        <f>"60382937"</f>
        <v>60382937</v>
      </c>
      <c r="B6302" t="s">
        <v>11789</v>
      </c>
      <c r="C6302" t="str">
        <f t="shared" si="416"/>
        <v>736</v>
      </c>
      <c r="D6302" t="s">
        <v>22</v>
      </c>
      <c r="E6302" t="s">
        <v>83</v>
      </c>
      <c r="F6302" t="s">
        <v>217</v>
      </c>
      <c r="G6302" t="s">
        <v>11790</v>
      </c>
      <c r="H6302" t="str">
        <f t="shared" si="417"/>
        <v>94993</v>
      </c>
      <c r="I6302" t="s">
        <v>50</v>
      </c>
    </row>
    <row r="6303" spans="1:9" x14ac:dyDescent="0.3">
      <c r="A6303" t="str">
        <f>"62182684"</f>
        <v>62182684</v>
      </c>
      <c r="B6303" t="s">
        <v>11791</v>
      </c>
      <c r="C6303" t="str">
        <f t="shared" si="416"/>
        <v>736</v>
      </c>
      <c r="D6303" t="s">
        <v>22</v>
      </c>
      <c r="E6303" t="s">
        <v>23</v>
      </c>
      <c r="F6303" t="s">
        <v>23</v>
      </c>
      <c r="G6303" t="s">
        <v>11792</v>
      </c>
      <c r="H6303" t="str">
        <f t="shared" si="417"/>
        <v>94993</v>
      </c>
      <c r="I6303" t="s">
        <v>50</v>
      </c>
    </row>
    <row r="6304" spans="1:9" x14ac:dyDescent="0.3">
      <c r="A6304" t="str">
        <f>"21796068"</f>
        <v>21796068</v>
      </c>
      <c r="B6304" t="s">
        <v>11793</v>
      </c>
      <c r="C6304" t="str">
        <f t="shared" si="416"/>
        <v>736</v>
      </c>
      <c r="D6304" t="s">
        <v>22</v>
      </c>
      <c r="E6304" t="s">
        <v>23</v>
      </c>
      <c r="F6304" t="s">
        <v>24</v>
      </c>
      <c r="G6304" t="s">
        <v>340</v>
      </c>
      <c r="H6304" t="str">
        <f t="shared" si="417"/>
        <v>94993</v>
      </c>
      <c r="I6304" t="s">
        <v>50</v>
      </c>
    </row>
    <row r="6305" spans="1:12" x14ac:dyDescent="0.3">
      <c r="A6305" t="str">
        <f>"46254251"</f>
        <v>46254251</v>
      </c>
      <c r="B6305" t="s">
        <v>11794</v>
      </c>
      <c r="C6305" t="str">
        <f t="shared" si="416"/>
        <v>736</v>
      </c>
      <c r="D6305" t="s">
        <v>22</v>
      </c>
      <c r="E6305" t="s">
        <v>52</v>
      </c>
      <c r="F6305" t="s">
        <v>144</v>
      </c>
      <c r="G6305" t="s">
        <v>11795</v>
      </c>
      <c r="H6305" t="str">
        <f t="shared" si="417"/>
        <v>94993</v>
      </c>
      <c r="I6305" t="s">
        <v>50</v>
      </c>
    </row>
    <row r="6306" spans="1:12" x14ac:dyDescent="0.3">
      <c r="A6306" t="str">
        <f>"70830436"</f>
        <v>70830436</v>
      </c>
      <c r="B6306" t="s">
        <v>11796</v>
      </c>
      <c r="C6306" t="str">
        <f t="shared" si="416"/>
        <v>736</v>
      </c>
      <c r="D6306" t="s">
        <v>22</v>
      </c>
      <c r="E6306" t="s">
        <v>23</v>
      </c>
      <c r="F6306" t="s">
        <v>23</v>
      </c>
      <c r="G6306" t="s">
        <v>11797</v>
      </c>
      <c r="H6306" t="str">
        <f t="shared" si="417"/>
        <v>94993</v>
      </c>
      <c r="I6306" t="s">
        <v>50</v>
      </c>
    </row>
    <row r="6307" spans="1:12" x14ac:dyDescent="0.3">
      <c r="A6307" t="str">
        <f>"60383232"</f>
        <v>60383232</v>
      </c>
      <c r="B6307" t="s">
        <v>11798</v>
      </c>
      <c r="C6307" t="str">
        <f t="shared" si="416"/>
        <v>736</v>
      </c>
      <c r="D6307" t="s">
        <v>22</v>
      </c>
      <c r="E6307" t="s">
        <v>83</v>
      </c>
      <c r="F6307" t="s">
        <v>130</v>
      </c>
      <c r="G6307" t="s">
        <v>1672</v>
      </c>
      <c r="H6307" t="str">
        <f t="shared" si="417"/>
        <v>94993</v>
      </c>
      <c r="I6307" t="s">
        <v>50</v>
      </c>
    </row>
    <row r="6308" spans="1:12" x14ac:dyDescent="0.3">
      <c r="A6308" t="str">
        <f>"63458993"</f>
        <v>63458993</v>
      </c>
      <c r="B6308" t="s">
        <v>11799</v>
      </c>
      <c r="C6308" t="str">
        <f t="shared" si="416"/>
        <v>736</v>
      </c>
      <c r="D6308" t="s">
        <v>22</v>
      </c>
      <c r="E6308" t="s">
        <v>83</v>
      </c>
      <c r="F6308" t="s">
        <v>4876</v>
      </c>
      <c r="G6308" t="s">
        <v>11800</v>
      </c>
      <c r="H6308" t="str">
        <f t="shared" si="417"/>
        <v>94993</v>
      </c>
      <c r="I6308" t="s">
        <v>50</v>
      </c>
    </row>
    <row r="6309" spans="1:12" x14ac:dyDescent="0.3">
      <c r="A6309" t="str">
        <f>"75054302"</f>
        <v>75054302</v>
      </c>
      <c r="B6309" t="s">
        <v>11801</v>
      </c>
      <c r="C6309" t="str">
        <f t="shared" si="416"/>
        <v>736</v>
      </c>
      <c r="D6309" t="s">
        <v>22</v>
      </c>
      <c r="E6309" t="s">
        <v>23</v>
      </c>
      <c r="F6309" t="s">
        <v>23</v>
      </c>
      <c r="G6309" t="s">
        <v>11802</v>
      </c>
      <c r="H6309" t="str">
        <f t="shared" si="417"/>
        <v>94993</v>
      </c>
      <c r="I6309" t="s">
        <v>50</v>
      </c>
    </row>
    <row r="6310" spans="1:12" x14ac:dyDescent="0.3">
      <c r="A6310" t="str">
        <f>"75099080"</f>
        <v>75099080</v>
      </c>
      <c r="B6310" t="s">
        <v>11803</v>
      </c>
      <c r="C6310" t="str">
        <f t="shared" si="416"/>
        <v>736</v>
      </c>
      <c r="D6310" t="s">
        <v>22</v>
      </c>
      <c r="E6310" t="s">
        <v>23</v>
      </c>
      <c r="F6310" t="s">
        <v>23</v>
      </c>
      <c r="G6310" t="s">
        <v>11804</v>
      </c>
      <c r="H6310" t="str">
        <f t="shared" si="417"/>
        <v>94993</v>
      </c>
      <c r="I6310" t="s">
        <v>50</v>
      </c>
    </row>
    <row r="6311" spans="1:12" x14ac:dyDescent="0.3">
      <c r="A6311" t="str">
        <f>"75060051"</f>
        <v>75060051</v>
      </c>
      <c r="B6311" t="s">
        <v>11805</v>
      </c>
      <c r="C6311" t="str">
        <f t="shared" si="416"/>
        <v>736</v>
      </c>
      <c r="D6311" t="s">
        <v>22</v>
      </c>
      <c r="E6311" t="s">
        <v>23</v>
      </c>
      <c r="F6311" t="s">
        <v>23</v>
      </c>
      <c r="G6311" t="s">
        <v>11806</v>
      </c>
      <c r="H6311" t="str">
        <f t="shared" si="417"/>
        <v>94993</v>
      </c>
      <c r="I6311" t="s">
        <v>50</v>
      </c>
    </row>
    <row r="6312" spans="1:12" x14ac:dyDescent="0.3">
      <c r="A6312" t="str">
        <f>"61716600"</f>
        <v>61716600</v>
      </c>
      <c r="B6312" t="s">
        <v>11807</v>
      </c>
      <c r="C6312" t="str">
        <f t="shared" si="416"/>
        <v>736</v>
      </c>
      <c r="D6312" t="s">
        <v>22</v>
      </c>
      <c r="E6312" t="s">
        <v>23</v>
      </c>
      <c r="F6312" t="s">
        <v>23</v>
      </c>
      <c r="G6312" t="s">
        <v>11808</v>
      </c>
      <c r="H6312" t="str">
        <f t="shared" si="417"/>
        <v>94993</v>
      </c>
      <c r="I6312" t="s">
        <v>50</v>
      </c>
    </row>
    <row r="6313" spans="1:12" x14ac:dyDescent="0.3">
      <c r="A6313" t="str">
        <f>"62180258"</f>
        <v>62180258</v>
      </c>
      <c r="B6313" t="s">
        <v>11809</v>
      </c>
      <c r="C6313" t="str">
        <f t="shared" si="416"/>
        <v>736</v>
      </c>
      <c r="D6313" t="s">
        <v>22</v>
      </c>
      <c r="E6313" t="s">
        <v>23</v>
      </c>
      <c r="F6313" t="s">
        <v>23</v>
      </c>
      <c r="G6313" t="s">
        <v>11810</v>
      </c>
      <c r="H6313" t="str">
        <f t="shared" si="417"/>
        <v>94993</v>
      </c>
      <c r="I6313" t="s">
        <v>50</v>
      </c>
    </row>
    <row r="6314" spans="1:12" x14ac:dyDescent="0.3">
      <c r="A6314" t="str">
        <f>"49158236"</f>
        <v>49158236</v>
      </c>
      <c r="B6314" t="s">
        <v>11811</v>
      </c>
      <c r="C6314" t="str">
        <f t="shared" si="416"/>
        <v>736</v>
      </c>
      <c r="D6314" t="s">
        <v>22</v>
      </c>
      <c r="E6314" t="s">
        <v>23</v>
      </c>
      <c r="F6314" t="s">
        <v>141</v>
      </c>
      <c r="G6314" t="s">
        <v>11812</v>
      </c>
      <c r="H6314" t="str">
        <f t="shared" si="417"/>
        <v>94993</v>
      </c>
      <c r="I6314" t="s">
        <v>50</v>
      </c>
    </row>
    <row r="6315" spans="1:12" x14ac:dyDescent="0.3">
      <c r="A6315" t="str">
        <f>"70417296"</f>
        <v>70417296</v>
      </c>
      <c r="B6315" t="s">
        <v>11813</v>
      </c>
      <c r="C6315" t="str">
        <f t="shared" si="416"/>
        <v>736</v>
      </c>
      <c r="D6315" t="s">
        <v>22</v>
      </c>
      <c r="E6315" t="s">
        <v>52</v>
      </c>
      <c r="F6315" t="s">
        <v>73</v>
      </c>
      <c r="G6315" t="s">
        <v>11814</v>
      </c>
      <c r="H6315" t="str">
        <f t="shared" si="417"/>
        <v>94993</v>
      </c>
      <c r="I6315" t="s">
        <v>50</v>
      </c>
    </row>
    <row r="6316" spans="1:12" x14ac:dyDescent="0.3">
      <c r="A6316" t="str">
        <f>"72562803"</f>
        <v>72562803</v>
      </c>
      <c r="B6316" t="s">
        <v>11815</v>
      </c>
      <c r="C6316" t="str">
        <f t="shared" si="416"/>
        <v>736</v>
      </c>
      <c r="D6316" t="s">
        <v>22</v>
      </c>
      <c r="E6316" t="s">
        <v>23</v>
      </c>
      <c r="F6316" t="s">
        <v>5418</v>
      </c>
      <c r="G6316" t="s">
        <v>5419</v>
      </c>
      <c r="H6316" t="str">
        <f t="shared" si="417"/>
        <v>94993</v>
      </c>
      <c r="I6316" t="s">
        <v>50</v>
      </c>
    </row>
    <row r="6317" spans="1:12" x14ac:dyDescent="0.3">
      <c r="A6317" t="str">
        <f>"61716065"</f>
        <v>61716065</v>
      </c>
      <c r="B6317" t="s">
        <v>11816</v>
      </c>
      <c r="C6317" t="str">
        <f t="shared" si="416"/>
        <v>736</v>
      </c>
      <c r="D6317" t="s">
        <v>22</v>
      </c>
      <c r="E6317" t="s">
        <v>23</v>
      </c>
      <c r="F6317" t="s">
        <v>23</v>
      </c>
      <c r="G6317" t="s">
        <v>11817</v>
      </c>
      <c r="H6317" t="str">
        <f t="shared" si="417"/>
        <v>94993</v>
      </c>
      <c r="I6317" t="s">
        <v>50</v>
      </c>
    </row>
    <row r="6318" spans="1:12" x14ac:dyDescent="0.3">
      <c r="A6318" t="str">
        <f>"46254838"</f>
        <v>46254838</v>
      </c>
      <c r="B6318" t="s">
        <v>11818</v>
      </c>
      <c r="C6318" t="str">
        <f t="shared" si="416"/>
        <v>736</v>
      </c>
      <c r="D6318" t="s">
        <v>22</v>
      </c>
      <c r="E6318" t="s">
        <v>52</v>
      </c>
      <c r="F6318" t="s">
        <v>514</v>
      </c>
      <c r="G6318" t="s">
        <v>11819</v>
      </c>
      <c r="H6318" t="str">
        <f t="shared" si="417"/>
        <v>94993</v>
      </c>
      <c r="I6318" t="s">
        <v>50</v>
      </c>
      <c r="J6318" t="s">
        <v>2347</v>
      </c>
      <c r="K6318" t="s">
        <v>2350</v>
      </c>
      <c r="L6318" t="s">
        <v>209</v>
      </c>
    </row>
    <row r="6319" spans="1:12" x14ac:dyDescent="0.3">
      <c r="A6319" t="str">
        <f>"44019033"</f>
        <v>44019033</v>
      </c>
      <c r="B6319" t="s">
        <v>11820</v>
      </c>
      <c r="C6319" t="str">
        <f t="shared" si="416"/>
        <v>736</v>
      </c>
      <c r="D6319" t="s">
        <v>22</v>
      </c>
      <c r="E6319" t="s">
        <v>52</v>
      </c>
      <c r="F6319" t="s">
        <v>2400</v>
      </c>
      <c r="G6319" t="s">
        <v>11821</v>
      </c>
      <c r="H6319" t="str">
        <f t="shared" si="417"/>
        <v>94993</v>
      </c>
      <c r="I6319" t="s">
        <v>50</v>
      </c>
    </row>
    <row r="6320" spans="1:12" x14ac:dyDescent="0.3">
      <c r="A6320" t="str">
        <f>"66934486"</f>
        <v>66934486</v>
      </c>
      <c r="B6320" t="s">
        <v>11822</v>
      </c>
      <c r="C6320" t="str">
        <f t="shared" si="416"/>
        <v>736</v>
      </c>
      <c r="D6320" t="s">
        <v>22</v>
      </c>
      <c r="E6320" t="s">
        <v>29</v>
      </c>
      <c r="F6320" t="s">
        <v>38</v>
      </c>
      <c r="G6320" t="s">
        <v>11823</v>
      </c>
      <c r="H6320" t="str">
        <f t="shared" si="417"/>
        <v>94993</v>
      </c>
      <c r="I6320" t="s">
        <v>50</v>
      </c>
    </row>
    <row r="6321" spans="1:9" x14ac:dyDescent="0.3">
      <c r="A6321" t="str">
        <f>"08239533"</f>
        <v>08239533</v>
      </c>
      <c r="B6321" t="s">
        <v>11824</v>
      </c>
      <c r="C6321" t="str">
        <f t="shared" si="416"/>
        <v>736</v>
      </c>
      <c r="D6321" t="s">
        <v>22</v>
      </c>
      <c r="E6321" t="s">
        <v>23</v>
      </c>
      <c r="F6321" t="s">
        <v>350</v>
      </c>
      <c r="G6321" t="s">
        <v>441</v>
      </c>
      <c r="H6321" t="str">
        <f t="shared" si="417"/>
        <v>94993</v>
      </c>
      <c r="I6321" t="s">
        <v>50</v>
      </c>
    </row>
    <row r="6322" spans="1:9" x14ac:dyDescent="0.3">
      <c r="A6322" t="str">
        <f>"70284661"</f>
        <v>70284661</v>
      </c>
      <c r="B6322" t="s">
        <v>11825</v>
      </c>
      <c r="C6322" t="str">
        <f t="shared" si="416"/>
        <v>736</v>
      </c>
      <c r="D6322" t="s">
        <v>22</v>
      </c>
      <c r="E6322" t="s">
        <v>52</v>
      </c>
      <c r="F6322" t="s">
        <v>1676</v>
      </c>
      <c r="G6322" t="s">
        <v>9419</v>
      </c>
      <c r="H6322" t="str">
        <f t="shared" si="417"/>
        <v>94993</v>
      </c>
      <c r="I6322" t="s">
        <v>50</v>
      </c>
    </row>
    <row r="6323" spans="1:9" x14ac:dyDescent="0.3">
      <c r="A6323" t="str">
        <f>"44019025"</f>
        <v>44019025</v>
      </c>
      <c r="B6323" t="s">
        <v>11826</v>
      </c>
      <c r="C6323" t="str">
        <f t="shared" si="416"/>
        <v>736</v>
      </c>
      <c r="D6323" t="s">
        <v>22</v>
      </c>
      <c r="E6323" t="s">
        <v>52</v>
      </c>
      <c r="F6323" t="s">
        <v>1027</v>
      </c>
      <c r="G6323" t="s">
        <v>11827</v>
      </c>
      <c r="H6323" t="str">
        <f t="shared" si="417"/>
        <v>94993</v>
      </c>
      <c r="I6323" t="s">
        <v>50</v>
      </c>
    </row>
    <row r="6324" spans="1:9" x14ac:dyDescent="0.3">
      <c r="A6324" t="str">
        <f>"49156314"</f>
        <v>49156314</v>
      </c>
      <c r="B6324" t="s">
        <v>11828</v>
      </c>
      <c r="C6324" t="str">
        <f t="shared" si="416"/>
        <v>736</v>
      </c>
      <c r="D6324" t="s">
        <v>22</v>
      </c>
      <c r="E6324" t="s">
        <v>23</v>
      </c>
      <c r="F6324" t="s">
        <v>24</v>
      </c>
      <c r="G6324" t="s">
        <v>11829</v>
      </c>
      <c r="H6324" t="str">
        <f t="shared" si="417"/>
        <v>94993</v>
      </c>
      <c r="I6324" t="s">
        <v>50</v>
      </c>
    </row>
    <row r="6325" spans="1:9" x14ac:dyDescent="0.3">
      <c r="A6325" t="str">
        <f>"61716791"</f>
        <v>61716791</v>
      </c>
      <c r="B6325" t="s">
        <v>11830</v>
      </c>
      <c r="C6325" t="str">
        <f t="shared" si="416"/>
        <v>736</v>
      </c>
      <c r="D6325" t="s">
        <v>22</v>
      </c>
      <c r="E6325" t="s">
        <v>23</v>
      </c>
      <c r="F6325" t="s">
        <v>24</v>
      </c>
      <c r="G6325" t="s">
        <v>850</v>
      </c>
      <c r="H6325" t="str">
        <f t="shared" si="417"/>
        <v>94993</v>
      </c>
      <c r="I6325" t="s">
        <v>50</v>
      </c>
    </row>
    <row r="6326" spans="1:9" x14ac:dyDescent="0.3">
      <c r="A6326" t="str">
        <f>"70964505"</f>
        <v>70964505</v>
      </c>
      <c r="B6326" t="s">
        <v>11831</v>
      </c>
      <c r="C6326" t="str">
        <f t="shared" si="416"/>
        <v>736</v>
      </c>
      <c r="D6326" t="s">
        <v>22</v>
      </c>
      <c r="E6326" t="s">
        <v>23</v>
      </c>
      <c r="F6326" t="s">
        <v>23</v>
      </c>
      <c r="G6326" t="s">
        <v>3352</v>
      </c>
      <c r="H6326" t="str">
        <f t="shared" si="417"/>
        <v>94993</v>
      </c>
      <c r="I6326" t="s">
        <v>50</v>
      </c>
    </row>
    <row r="6327" spans="1:9" x14ac:dyDescent="0.3">
      <c r="A6327" t="str">
        <f>"65761294"</f>
        <v>65761294</v>
      </c>
      <c r="B6327" t="s">
        <v>11832</v>
      </c>
      <c r="C6327" t="str">
        <f t="shared" si="416"/>
        <v>736</v>
      </c>
      <c r="D6327" t="s">
        <v>22</v>
      </c>
      <c r="E6327" t="s">
        <v>52</v>
      </c>
      <c r="F6327" t="s">
        <v>1765</v>
      </c>
      <c r="G6327" t="s">
        <v>11833</v>
      </c>
      <c r="H6327" t="str">
        <f t="shared" si="417"/>
        <v>94993</v>
      </c>
      <c r="I6327" t="s">
        <v>50</v>
      </c>
    </row>
    <row r="6328" spans="1:9" x14ac:dyDescent="0.3">
      <c r="A6328" t="str">
        <f>"67727841"</f>
        <v>67727841</v>
      </c>
      <c r="B6328" t="s">
        <v>11834</v>
      </c>
      <c r="C6328" t="str">
        <f t="shared" si="416"/>
        <v>736</v>
      </c>
      <c r="D6328" t="s">
        <v>22</v>
      </c>
      <c r="E6328" t="s">
        <v>29</v>
      </c>
      <c r="F6328" t="s">
        <v>29</v>
      </c>
      <c r="G6328" t="s">
        <v>11835</v>
      </c>
      <c r="H6328" t="str">
        <f t="shared" si="417"/>
        <v>94993</v>
      </c>
      <c r="I6328" t="s">
        <v>50</v>
      </c>
    </row>
    <row r="6329" spans="1:9" x14ac:dyDescent="0.3">
      <c r="A6329" t="str">
        <f>"62181459"</f>
        <v>62181459</v>
      </c>
      <c r="B6329" t="s">
        <v>11836</v>
      </c>
      <c r="C6329" t="str">
        <f t="shared" si="416"/>
        <v>736</v>
      </c>
      <c r="D6329" t="s">
        <v>22</v>
      </c>
      <c r="E6329" t="s">
        <v>23</v>
      </c>
      <c r="F6329" t="s">
        <v>23</v>
      </c>
      <c r="G6329" t="s">
        <v>11837</v>
      </c>
      <c r="H6329" t="str">
        <f t="shared" si="417"/>
        <v>94993</v>
      </c>
      <c r="I6329" t="s">
        <v>50</v>
      </c>
    </row>
    <row r="6330" spans="1:9" x14ac:dyDescent="0.3">
      <c r="A6330" t="str">
        <f>"04875494"</f>
        <v>04875494</v>
      </c>
      <c r="B6330" t="s">
        <v>11838</v>
      </c>
      <c r="C6330" t="str">
        <f t="shared" si="416"/>
        <v>736</v>
      </c>
      <c r="D6330" t="s">
        <v>22</v>
      </c>
      <c r="E6330" t="s">
        <v>23</v>
      </c>
      <c r="F6330" t="s">
        <v>23</v>
      </c>
      <c r="G6330" t="s">
        <v>11839</v>
      </c>
      <c r="H6330" t="str">
        <f t="shared" si="417"/>
        <v>94993</v>
      </c>
      <c r="I6330" t="s">
        <v>50</v>
      </c>
    </row>
    <row r="6331" spans="1:9" x14ac:dyDescent="0.3">
      <c r="A6331" t="str">
        <f>"22715550"</f>
        <v>22715550</v>
      </c>
      <c r="B6331" t="s">
        <v>11840</v>
      </c>
      <c r="C6331" t="str">
        <f t="shared" si="416"/>
        <v>736</v>
      </c>
      <c r="D6331" t="s">
        <v>22</v>
      </c>
      <c r="E6331" t="s">
        <v>23</v>
      </c>
      <c r="F6331" t="s">
        <v>23</v>
      </c>
      <c r="G6331" t="s">
        <v>11841</v>
      </c>
      <c r="H6331" t="str">
        <f t="shared" si="417"/>
        <v>94993</v>
      </c>
      <c r="I6331" t="s">
        <v>50</v>
      </c>
    </row>
    <row r="6332" spans="1:9" x14ac:dyDescent="0.3">
      <c r="A6332" t="str">
        <f>"62832824"</f>
        <v>62832824</v>
      </c>
      <c r="B6332" t="s">
        <v>11842</v>
      </c>
      <c r="C6332" t="str">
        <f t="shared" si="416"/>
        <v>736</v>
      </c>
      <c r="D6332" t="s">
        <v>22</v>
      </c>
      <c r="E6332" t="s">
        <v>52</v>
      </c>
      <c r="F6332" t="s">
        <v>52</v>
      </c>
      <c r="G6332" t="s">
        <v>11843</v>
      </c>
      <c r="H6332" t="str">
        <f t="shared" si="417"/>
        <v>94993</v>
      </c>
      <c r="I6332" t="s">
        <v>50</v>
      </c>
    </row>
    <row r="6333" spans="1:9" x14ac:dyDescent="0.3">
      <c r="A6333" t="str">
        <f>"75093341"</f>
        <v>75093341</v>
      </c>
      <c r="B6333" t="s">
        <v>11844</v>
      </c>
      <c r="C6333" t="str">
        <f t="shared" si="416"/>
        <v>736</v>
      </c>
      <c r="D6333" t="s">
        <v>22</v>
      </c>
      <c r="E6333" t="s">
        <v>52</v>
      </c>
      <c r="F6333" t="s">
        <v>52</v>
      </c>
      <c r="G6333" t="s">
        <v>11845</v>
      </c>
      <c r="H6333" t="str">
        <f>"9499"</f>
        <v>9499</v>
      </c>
      <c r="I6333" t="s">
        <v>31</v>
      </c>
    </row>
    <row r="6334" spans="1:9" x14ac:dyDescent="0.3">
      <c r="A6334" t="str">
        <f>"49156365"</f>
        <v>49156365</v>
      </c>
      <c r="B6334" t="s">
        <v>11846</v>
      </c>
      <c r="C6334" t="str">
        <f t="shared" si="416"/>
        <v>736</v>
      </c>
      <c r="D6334" t="s">
        <v>22</v>
      </c>
      <c r="E6334" t="s">
        <v>23</v>
      </c>
      <c r="F6334" t="s">
        <v>24</v>
      </c>
      <c r="G6334" t="s">
        <v>11847</v>
      </c>
      <c r="H6334" t="str">
        <f t="shared" ref="H6334:H6397" si="418">"94993"</f>
        <v>94993</v>
      </c>
      <c r="I6334" t="s">
        <v>50</v>
      </c>
    </row>
    <row r="6335" spans="1:9" x14ac:dyDescent="0.3">
      <c r="A6335" t="str">
        <f>"01438883"</f>
        <v>01438883</v>
      </c>
      <c r="B6335" t="s">
        <v>11848</v>
      </c>
      <c r="C6335" t="str">
        <f t="shared" si="416"/>
        <v>736</v>
      </c>
      <c r="D6335" t="s">
        <v>22</v>
      </c>
      <c r="E6335" t="s">
        <v>52</v>
      </c>
      <c r="F6335" t="s">
        <v>274</v>
      </c>
      <c r="G6335" t="s">
        <v>2759</v>
      </c>
      <c r="H6335" t="str">
        <f t="shared" si="418"/>
        <v>94993</v>
      </c>
      <c r="I6335" t="s">
        <v>50</v>
      </c>
    </row>
    <row r="6336" spans="1:9" x14ac:dyDescent="0.3">
      <c r="A6336" t="str">
        <f>"75107431"</f>
        <v>75107431</v>
      </c>
      <c r="B6336" t="s">
        <v>11849</v>
      </c>
      <c r="C6336" t="str">
        <f t="shared" si="416"/>
        <v>736</v>
      </c>
      <c r="D6336" t="s">
        <v>22</v>
      </c>
      <c r="E6336" t="s">
        <v>23</v>
      </c>
      <c r="F6336" t="s">
        <v>978</v>
      </c>
      <c r="G6336" t="s">
        <v>11850</v>
      </c>
      <c r="H6336" t="str">
        <f t="shared" si="418"/>
        <v>94993</v>
      </c>
      <c r="I6336" t="s">
        <v>50</v>
      </c>
    </row>
    <row r="6337" spans="1:9" x14ac:dyDescent="0.3">
      <c r="A6337" t="str">
        <f>"75045079"</f>
        <v>75045079</v>
      </c>
      <c r="B6337" t="s">
        <v>11851</v>
      </c>
      <c r="C6337" t="str">
        <f t="shared" si="416"/>
        <v>736</v>
      </c>
      <c r="D6337" t="s">
        <v>22</v>
      </c>
      <c r="E6337" t="s">
        <v>52</v>
      </c>
      <c r="F6337" t="s">
        <v>1679</v>
      </c>
      <c r="G6337" t="s">
        <v>11852</v>
      </c>
      <c r="H6337" t="str">
        <f t="shared" si="418"/>
        <v>94993</v>
      </c>
      <c r="I6337" t="s">
        <v>50</v>
      </c>
    </row>
    <row r="6338" spans="1:9" x14ac:dyDescent="0.3">
      <c r="A6338" t="str">
        <f>"72020148"</f>
        <v>72020148</v>
      </c>
      <c r="B6338" t="s">
        <v>11853</v>
      </c>
      <c r="C6338" t="str">
        <f t="shared" si="416"/>
        <v>736</v>
      </c>
      <c r="D6338" t="s">
        <v>22</v>
      </c>
      <c r="E6338" t="s">
        <v>29</v>
      </c>
      <c r="F6338" t="s">
        <v>195</v>
      </c>
      <c r="G6338" t="s">
        <v>10098</v>
      </c>
      <c r="H6338" t="str">
        <f t="shared" si="418"/>
        <v>94993</v>
      </c>
      <c r="I6338" t="s">
        <v>50</v>
      </c>
    </row>
    <row r="6339" spans="1:9" x14ac:dyDescent="0.3">
      <c r="A6339" t="str">
        <f>"44019041"</f>
        <v>44019041</v>
      </c>
      <c r="B6339" t="s">
        <v>11854</v>
      </c>
      <c r="C6339" t="str">
        <f t="shared" si="416"/>
        <v>736</v>
      </c>
      <c r="D6339" t="s">
        <v>22</v>
      </c>
      <c r="E6339" t="s">
        <v>52</v>
      </c>
      <c r="F6339" t="s">
        <v>406</v>
      </c>
      <c r="G6339" t="s">
        <v>11855</v>
      </c>
      <c r="H6339" t="str">
        <f t="shared" si="418"/>
        <v>94993</v>
      </c>
      <c r="I6339" t="s">
        <v>50</v>
      </c>
    </row>
    <row r="6340" spans="1:9" x14ac:dyDescent="0.3">
      <c r="A6340" t="str">
        <f>"62180266"</f>
        <v>62180266</v>
      </c>
      <c r="B6340" t="s">
        <v>11856</v>
      </c>
      <c r="C6340" t="str">
        <f t="shared" si="416"/>
        <v>736</v>
      </c>
      <c r="D6340" t="s">
        <v>22</v>
      </c>
      <c r="E6340" t="s">
        <v>23</v>
      </c>
      <c r="F6340" t="s">
        <v>23</v>
      </c>
      <c r="G6340" t="s">
        <v>11857</v>
      </c>
      <c r="H6340" t="str">
        <f t="shared" si="418"/>
        <v>94993</v>
      </c>
      <c r="I6340" t="s">
        <v>50</v>
      </c>
    </row>
    <row r="6341" spans="1:9" x14ac:dyDescent="0.3">
      <c r="A6341" t="str">
        <f>"65469704"</f>
        <v>65469704</v>
      </c>
      <c r="B6341" t="s">
        <v>11858</v>
      </c>
      <c r="C6341" t="str">
        <f t="shared" si="416"/>
        <v>736</v>
      </c>
      <c r="D6341" t="s">
        <v>22</v>
      </c>
      <c r="E6341" t="s">
        <v>29</v>
      </c>
      <c r="F6341" t="s">
        <v>29</v>
      </c>
      <c r="G6341" t="s">
        <v>7759</v>
      </c>
      <c r="H6341" t="str">
        <f t="shared" si="418"/>
        <v>94993</v>
      </c>
      <c r="I6341" t="s">
        <v>50</v>
      </c>
    </row>
    <row r="6342" spans="1:9" x14ac:dyDescent="0.3">
      <c r="A6342" t="str">
        <f>"71249761"</f>
        <v>71249761</v>
      </c>
      <c r="B6342" t="s">
        <v>11859</v>
      </c>
      <c r="C6342" t="str">
        <f t="shared" si="416"/>
        <v>736</v>
      </c>
      <c r="D6342" t="s">
        <v>22</v>
      </c>
      <c r="E6342" t="s">
        <v>29</v>
      </c>
      <c r="F6342" t="s">
        <v>778</v>
      </c>
      <c r="G6342" t="s">
        <v>11860</v>
      </c>
      <c r="H6342" t="str">
        <f t="shared" si="418"/>
        <v>94993</v>
      </c>
      <c r="I6342" t="s">
        <v>50</v>
      </c>
    </row>
    <row r="6343" spans="1:9" x14ac:dyDescent="0.3">
      <c r="A6343" t="str">
        <f>"60382945"</f>
        <v>60382945</v>
      </c>
      <c r="B6343" t="s">
        <v>11861</v>
      </c>
      <c r="C6343" t="str">
        <f t="shared" si="416"/>
        <v>736</v>
      </c>
      <c r="D6343" t="s">
        <v>22</v>
      </c>
      <c r="E6343" t="s">
        <v>83</v>
      </c>
      <c r="F6343" t="s">
        <v>873</v>
      </c>
      <c r="G6343" t="s">
        <v>11862</v>
      </c>
      <c r="H6343" t="str">
        <f t="shared" si="418"/>
        <v>94993</v>
      </c>
      <c r="I6343" t="s">
        <v>50</v>
      </c>
    </row>
    <row r="6344" spans="1:9" x14ac:dyDescent="0.3">
      <c r="A6344" t="str">
        <f>"63414872"</f>
        <v>63414872</v>
      </c>
      <c r="B6344" t="s">
        <v>11863</v>
      </c>
      <c r="C6344" t="str">
        <f t="shared" si="416"/>
        <v>736</v>
      </c>
      <c r="D6344" t="s">
        <v>22</v>
      </c>
      <c r="E6344" t="s">
        <v>83</v>
      </c>
      <c r="F6344" t="s">
        <v>1778</v>
      </c>
      <c r="G6344" t="s">
        <v>11864</v>
      </c>
      <c r="H6344" t="str">
        <f t="shared" si="418"/>
        <v>94993</v>
      </c>
      <c r="I6344" t="s">
        <v>50</v>
      </c>
    </row>
    <row r="6345" spans="1:9" x14ac:dyDescent="0.3">
      <c r="A6345" t="str">
        <f>"61716324"</f>
        <v>61716324</v>
      </c>
      <c r="B6345" t="s">
        <v>11865</v>
      </c>
      <c r="C6345" t="str">
        <f t="shared" si="416"/>
        <v>736</v>
      </c>
      <c r="D6345" t="s">
        <v>22</v>
      </c>
      <c r="E6345" t="s">
        <v>23</v>
      </c>
      <c r="F6345" t="s">
        <v>24</v>
      </c>
      <c r="G6345" t="s">
        <v>11866</v>
      </c>
      <c r="H6345" t="str">
        <f t="shared" si="418"/>
        <v>94993</v>
      </c>
      <c r="I6345" t="s">
        <v>50</v>
      </c>
    </row>
    <row r="6346" spans="1:9" x14ac:dyDescent="0.3">
      <c r="A6346" t="str">
        <f>"60383194"</f>
        <v>60383194</v>
      </c>
      <c r="B6346" t="s">
        <v>11867</v>
      </c>
      <c r="C6346" t="str">
        <f t="shared" si="416"/>
        <v>736</v>
      </c>
      <c r="D6346" t="s">
        <v>22</v>
      </c>
      <c r="E6346" t="s">
        <v>83</v>
      </c>
      <c r="F6346" t="s">
        <v>200</v>
      </c>
      <c r="G6346" t="s">
        <v>11868</v>
      </c>
      <c r="H6346" t="str">
        <f t="shared" si="418"/>
        <v>94993</v>
      </c>
      <c r="I6346" t="s">
        <v>50</v>
      </c>
    </row>
    <row r="6347" spans="1:9" x14ac:dyDescent="0.3">
      <c r="A6347" t="str">
        <f>"71162275"</f>
        <v>71162275</v>
      </c>
      <c r="B6347" t="s">
        <v>11869</v>
      </c>
      <c r="C6347" t="str">
        <f t="shared" si="416"/>
        <v>736</v>
      </c>
      <c r="D6347" t="s">
        <v>22</v>
      </c>
      <c r="E6347" t="s">
        <v>29</v>
      </c>
      <c r="F6347" t="s">
        <v>29</v>
      </c>
      <c r="G6347" t="s">
        <v>6934</v>
      </c>
      <c r="H6347" t="str">
        <f t="shared" si="418"/>
        <v>94993</v>
      </c>
      <c r="I6347" t="s">
        <v>50</v>
      </c>
    </row>
    <row r="6348" spans="1:9" x14ac:dyDescent="0.3">
      <c r="A6348" t="str">
        <f>"72568411"</f>
        <v>72568411</v>
      </c>
      <c r="B6348" t="s">
        <v>11870</v>
      </c>
      <c r="C6348" t="str">
        <f t="shared" si="416"/>
        <v>736</v>
      </c>
      <c r="D6348" t="s">
        <v>22</v>
      </c>
      <c r="E6348" t="s">
        <v>29</v>
      </c>
      <c r="F6348" t="s">
        <v>2532</v>
      </c>
      <c r="G6348" t="s">
        <v>11871</v>
      </c>
      <c r="H6348" t="str">
        <f t="shared" si="418"/>
        <v>94993</v>
      </c>
      <c r="I6348" t="s">
        <v>50</v>
      </c>
    </row>
    <row r="6349" spans="1:9" x14ac:dyDescent="0.3">
      <c r="A6349" t="str">
        <f>"72558270"</f>
        <v>72558270</v>
      </c>
      <c r="B6349" t="s">
        <v>11872</v>
      </c>
      <c r="C6349" t="str">
        <f t="shared" si="416"/>
        <v>736</v>
      </c>
      <c r="D6349" t="s">
        <v>22</v>
      </c>
      <c r="E6349" t="s">
        <v>52</v>
      </c>
      <c r="F6349" t="s">
        <v>52</v>
      </c>
      <c r="G6349" t="s">
        <v>11873</v>
      </c>
      <c r="H6349" t="str">
        <f t="shared" si="418"/>
        <v>94993</v>
      </c>
      <c r="I6349" t="s">
        <v>50</v>
      </c>
    </row>
    <row r="6350" spans="1:9" x14ac:dyDescent="0.3">
      <c r="A6350" t="str">
        <f>"71212825"</f>
        <v>71212825</v>
      </c>
      <c r="B6350" t="s">
        <v>11874</v>
      </c>
      <c r="C6350" t="str">
        <f t="shared" si="416"/>
        <v>736</v>
      </c>
      <c r="D6350" t="s">
        <v>22</v>
      </c>
      <c r="E6350" t="s">
        <v>29</v>
      </c>
      <c r="F6350" t="s">
        <v>29</v>
      </c>
      <c r="G6350" t="s">
        <v>375</v>
      </c>
      <c r="H6350" t="str">
        <f t="shared" si="418"/>
        <v>94993</v>
      </c>
      <c r="I6350" t="s">
        <v>50</v>
      </c>
    </row>
    <row r="6351" spans="1:9" x14ac:dyDescent="0.3">
      <c r="A6351" t="str">
        <f>"75082772"</f>
        <v>75082772</v>
      </c>
      <c r="B6351" t="s">
        <v>11875</v>
      </c>
      <c r="C6351" t="str">
        <f t="shared" si="416"/>
        <v>736</v>
      </c>
      <c r="D6351" t="s">
        <v>22</v>
      </c>
      <c r="E6351" t="s">
        <v>23</v>
      </c>
      <c r="F6351" t="s">
        <v>23</v>
      </c>
      <c r="G6351" t="s">
        <v>11876</v>
      </c>
      <c r="H6351" t="str">
        <f t="shared" si="418"/>
        <v>94993</v>
      </c>
      <c r="I6351" t="s">
        <v>50</v>
      </c>
    </row>
    <row r="6352" spans="1:9" x14ac:dyDescent="0.3">
      <c r="A6352" t="str">
        <f>"72561653"</f>
        <v>72561653</v>
      </c>
      <c r="B6352" t="s">
        <v>11877</v>
      </c>
      <c r="C6352" t="str">
        <f t="shared" si="416"/>
        <v>736</v>
      </c>
      <c r="D6352" t="s">
        <v>22</v>
      </c>
      <c r="E6352" t="s">
        <v>23</v>
      </c>
      <c r="F6352" t="s">
        <v>23</v>
      </c>
      <c r="G6352" t="s">
        <v>11878</v>
      </c>
      <c r="H6352" t="str">
        <f t="shared" si="418"/>
        <v>94993</v>
      </c>
      <c r="I6352" t="s">
        <v>50</v>
      </c>
    </row>
    <row r="6353" spans="1:9" x14ac:dyDescent="0.3">
      <c r="A6353" t="str">
        <f>"61716294"</f>
        <v>61716294</v>
      </c>
      <c r="B6353" t="s">
        <v>11879</v>
      </c>
      <c r="C6353" t="str">
        <f t="shared" si="416"/>
        <v>736</v>
      </c>
      <c r="D6353" t="s">
        <v>22</v>
      </c>
      <c r="E6353" t="s">
        <v>23</v>
      </c>
      <c r="F6353" t="s">
        <v>23</v>
      </c>
      <c r="G6353" t="s">
        <v>11880</v>
      </c>
      <c r="H6353" t="str">
        <f t="shared" si="418"/>
        <v>94993</v>
      </c>
      <c r="I6353" t="s">
        <v>50</v>
      </c>
    </row>
    <row r="6354" spans="1:9" x14ac:dyDescent="0.3">
      <c r="A6354" t="str">
        <f>"61716979"</f>
        <v>61716979</v>
      </c>
      <c r="B6354" t="s">
        <v>11881</v>
      </c>
      <c r="C6354" t="str">
        <f t="shared" ref="C6354:C6417" si="419">"736"</f>
        <v>736</v>
      </c>
      <c r="D6354" t="s">
        <v>22</v>
      </c>
      <c r="E6354" t="s">
        <v>23</v>
      </c>
      <c r="F6354" t="s">
        <v>24</v>
      </c>
      <c r="G6354" t="s">
        <v>11882</v>
      </c>
      <c r="H6354" t="str">
        <f t="shared" si="418"/>
        <v>94993</v>
      </c>
      <c r="I6354" t="s">
        <v>50</v>
      </c>
    </row>
    <row r="6355" spans="1:9" x14ac:dyDescent="0.3">
      <c r="A6355" t="str">
        <f>"70265682"</f>
        <v>70265682</v>
      </c>
      <c r="B6355" t="s">
        <v>11883</v>
      </c>
      <c r="C6355" t="str">
        <f t="shared" si="419"/>
        <v>736</v>
      </c>
      <c r="D6355" t="s">
        <v>22</v>
      </c>
      <c r="E6355" t="s">
        <v>23</v>
      </c>
      <c r="F6355" t="s">
        <v>744</v>
      </c>
      <c r="G6355" t="s">
        <v>11884</v>
      </c>
      <c r="H6355" t="str">
        <f t="shared" si="418"/>
        <v>94993</v>
      </c>
      <c r="I6355" t="s">
        <v>50</v>
      </c>
    </row>
    <row r="6356" spans="1:9" x14ac:dyDescent="0.3">
      <c r="A6356" t="str">
        <f>"44019050"</f>
        <v>44019050</v>
      </c>
      <c r="B6356" t="s">
        <v>11885</v>
      </c>
      <c r="C6356" t="str">
        <f t="shared" si="419"/>
        <v>736</v>
      </c>
      <c r="D6356" t="s">
        <v>22</v>
      </c>
      <c r="E6356" t="s">
        <v>52</v>
      </c>
      <c r="F6356" t="s">
        <v>52</v>
      </c>
      <c r="G6356" t="s">
        <v>2082</v>
      </c>
      <c r="H6356" t="str">
        <f t="shared" si="418"/>
        <v>94993</v>
      </c>
      <c r="I6356" t="s">
        <v>50</v>
      </c>
    </row>
    <row r="6357" spans="1:9" x14ac:dyDescent="0.3">
      <c r="A6357" t="str">
        <f>"73184128"</f>
        <v>73184128</v>
      </c>
      <c r="B6357" t="s">
        <v>11886</v>
      </c>
      <c r="C6357" t="str">
        <f t="shared" si="419"/>
        <v>736</v>
      </c>
      <c r="D6357" t="s">
        <v>22</v>
      </c>
      <c r="E6357" t="s">
        <v>29</v>
      </c>
      <c r="F6357" t="s">
        <v>1888</v>
      </c>
      <c r="G6357" t="s">
        <v>11887</v>
      </c>
      <c r="H6357" t="str">
        <f t="shared" si="418"/>
        <v>94993</v>
      </c>
      <c r="I6357" t="s">
        <v>50</v>
      </c>
    </row>
    <row r="6358" spans="1:9" x14ac:dyDescent="0.3">
      <c r="A6358" t="str">
        <f>"61716537"</f>
        <v>61716537</v>
      </c>
      <c r="B6358" t="s">
        <v>11888</v>
      </c>
      <c r="C6358" t="str">
        <f t="shared" si="419"/>
        <v>736</v>
      </c>
      <c r="D6358" t="s">
        <v>22</v>
      </c>
      <c r="E6358" t="s">
        <v>23</v>
      </c>
      <c r="F6358" t="s">
        <v>23</v>
      </c>
      <c r="G6358" t="s">
        <v>11889</v>
      </c>
      <c r="H6358" t="str">
        <f t="shared" si="418"/>
        <v>94993</v>
      </c>
      <c r="I6358" t="s">
        <v>50</v>
      </c>
    </row>
    <row r="6359" spans="1:9" x14ac:dyDescent="0.3">
      <c r="A6359" t="str">
        <f>"62180649"</f>
        <v>62180649</v>
      </c>
      <c r="B6359" t="s">
        <v>11890</v>
      </c>
      <c r="C6359" t="str">
        <f t="shared" si="419"/>
        <v>736</v>
      </c>
      <c r="D6359" t="s">
        <v>22</v>
      </c>
      <c r="E6359" t="s">
        <v>23</v>
      </c>
      <c r="F6359" t="s">
        <v>459</v>
      </c>
      <c r="G6359" t="s">
        <v>11891</v>
      </c>
      <c r="H6359" t="str">
        <f t="shared" si="418"/>
        <v>94993</v>
      </c>
      <c r="I6359" t="s">
        <v>50</v>
      </c>
    </row>
    <row r="6360" spans="1:9" x14ac:dyDescent="0.3">
      <c r="A6360" t="str">
        <f>"62180169"</f>
        <v>62180169</v>
      </c>
      <c r="B6360" t="s">
        <v>11892</v>
      </c>
      <c r="C6360" t="str">
        <f t="shared" si="419"/>
        <v>736</v>
      </c>
      <c r="D6360" t="s">
        <v>22</v>
      </c>
      <c r="E6360" t="s">
        <v>23</v>
      </c>
      <c r="F6360" t="s">
        <v>721</v>
      </c>
      <c r="G6360" t="s">
        <v>11893</v>
      </c>
      <c r="H6360" t="str">
        <f t="shared" si="418"/>
        <v>94993</v>
      </c>
      <c r="I6360" t="s">
        <v>50</v>
      </c>
    </row>
    <row r="6361" spans="1:9" x14ac:dyDescent="0.3">
      <c r="A6361" t="str">
        <f>"67026575"</f>
        <v>67026575</v>
      </c>
      <c r="B6361" t="s">
        <v>11894</v>
      </c>
      <c r="C6361" t="str">
        <f t="shared" si="419"/>
        <v>736</v>
      </c>
      <c r="D6361" t="s">
        <v>22</v>
      </c>
      <c r="E6361" t="s">
        <v>52</v>
      </c>
      <c r="F6361" t="s">
        <v>379</v>
      </c>
      <c r="G6361" t="s">
        <v>11895</v>
      </c>
      <c r="H6361" t="str">
        <f t="shared" si="418"/>
        <v>94993</v>
      </c>
      <c r="I6361" t="s">
        <v>50</v>
      </c>
    </row>
    <row r="6362" spans="1:9" x14ac:dyDescent="0.3">
      <c r="A6362" t="str">
        <f>"72560185"</f>
        <v>72560185</v>
      </c>
      <c r="B6362" t="s">
        <v>11896</v>
      </c>
      <c r="C6362" t="str">
        <f t="shared" si="419"/>
        <v>736</v>
      </c>
      <c r="D6362" t="s">
        <v>22</v>
      </c>
      <c r="E6362" t="s">
        <v>23</v>
      </c>
      <c r="F6362" t="s">
        <v>23</v>
      </c>
      <c r="G6362" t="s">
        <v>11897</v>
      </c>
      <c r="H6362" t="str">
        <f t="shared" si="418"/>
        <v>94993</v>
      </c>
      <c r="I6362" t="s">
        <v>50</v>
      </c>
    </row>
    <row r="6363" spans="1:9" x14ac:dyDescent="0.3">
      <c r="A6363" t="str">
        <f>"04164369"</f>
        <v>04164369</v>
      </c>
      <c r="B6363" t="s">
        <v>11898</v>
      </c>
      <c r="C6363" t="str">
        <f t="shared" si="419"/>
        <v>736</v>
      </c>
      <c r="D6363" t="s">
        <v>22</v>
      </c>
      <c r="E6363" t="s">
        <v>52</v>
      </c>
      <c r="F6363" t="s">
        <v>52</v>
      </c>
      <c r="G6363" t="s">
        <v>11899</v>
      </c>
      <c r="H6363" t="str">
        <f t="shared" si="418"/>
        <v>94993</v>
      </c>
      <c r="I6363" t="s">
        <v>50</v>
      </c>
    </row>
    <row r="6364" spans="1:9" x14ac:dyDescent="0.3">
      <c r="A6364" t="str">
        <f>"75098423"</f>
        <v>75098423</v>
      </c>
      <c r="B6364" t="s">
        <v>11900</v>
      </c>
      <c r="C6364" t="str">
        <f t="shared" si="419"/>
        <v>736</v>
      </c>
      <c r="D6364" t="s">
        <v>22</v>
      </c>
      <c r="E6364" t="s">
        <v>29</v>
      </c>
      <c r="F6364" t="s">
        <v>4973</v>
      </c>
      <c r="G6364" t="s">
        <v>11901</v>
      </c>
      <c r="H6364" t="str">
        <f t="shared" si="418"/>
        <v>94993</v>
      </c>
      <c r="I6364" t="s">
        <v>50</v>
      </c>
    </row>
    <row r="6365" spans="1:9" x14ac:dyDescent="0.3">
      <c r="A6365" t="str">
        <f>"75099217"</f>
        <v>75099217</v>
      </c>
      <c r="B6365" t="s">
        <v>11902</v>
      </c>
      <c r="C6365" t="str">
        <f t="shared" si="419"/>
        <v>736</v>
      </c>
      <c r="D6365" t="s">
        <v>22</v>
      </c>
      <c r="E6365" t="s">
        <v>23</v>
      </c>
      <c r="F6365" t="s">
        <v>141</v>
      </c>
      <c r="G6365" t="s">
        <v>11903</v>
      </c>
      <c r="H6365" t="str">
        <f t="shared" si="418"/>
        <v>94993</v>
      </c>
      <c r="I6365" t="s">
        <v>50</v>
      </c>
    </row>
    <row r="6366" spans="1:9" x14ac:dyDescent="0.3">
      <c r="A6366" t="str">
        <f>"65326032"</f>
        <v>65326032</v>
      </c>
      <c r="B6366" t="s">
        <v>11904</v>
      </c>
      <c r="C6366" t="str">
        <f t="shared" si="419"/>
        <v>736</v>
      </c>
      <c r="D6366" t="s">
        <v>22</v>
      </c>
      <c r="E6366" t="s">
        <v>52</v>
      </c>
      <c r="F6366" t="s">
        <v>52</v>
      </c>
      <c r="G6366" t="s">
        <v>11905</v>
      </c>
      <c r="H6366" t="str">
        <f t="shared" si="418"/>
        <v>94993</v>
      </c>
      <c r="I6366" t="s">
        <v>50</v>
      </c>
    </row>
    <row r="6367" spans="1:9" x14ac:dyDescent="0.3">
      <c r="A6367" t="str">
        <f>"22707794"</f>
        <v>22707794</v>
      </c>
      <c r="B6367" t="s">
        <v>11906</v>
      </c>
      <c r="C6367" t="str">
        <f t="shared" si="419"/>
        <v>736</v>
      </c>
      <c r="D6367" t="s">
        <v>22</v>
      </c>
      <c r="E6367" t="s">
        <v>52</v>
      </c>
      <c r="F6367" t="s">
        <v>52</v>
      </c>
      <c r="G6367" t="s">
        <v>11907</v>
      </c>
      <c r="H6367" t="str">
        <f t="shared" si="418"/>
        <v>94993</v>
      </c>
      <c r="I6367" t="s">
        <v>50</v>
      </c>
    </row>
    <row r="6368" spans="1:9" x14ac:dyDescent="0.3">
      <c r="A6368" t="str">
        <f>"72568496"</f>
        <v>72568496</v>
      </c>
      <c r="B6368" t="s">
        <v>11908</v>
      </c>
      <c r="C6368" t="str">
        <f t="shared" si="419"/>
        <v>736</v>
      </c>
      <c r="D6368" t="s">
        <v>22</v>
      </c>
      <c r="E6368" t="s">
        <v>23</v>
      </c>
      <c r="F6368" t="s">
        <v>296</v>
      </c>
      <c r="G6368" t="s">
        <v>11909</v>
      </c>
      <c r="H6368" t="str">
        <f t="shared" si="418"/>
        <v>94993</v>
      </c>
      <c r="I6368" t="s">
        <v>50</v>
      </c>
    </row>
    <row r="6369" spans="1:9" x14ac:dyDescent="0.3">
      <c r="A6369" t="str">
        <f>"61715981"</f>
        <v>61715981</v>
      </c>
      <c r="B6369" t="s">
        <v>11910</v>
      </c>
      <c r="C6369" t="str">
        <f t="shared" si="419"/>
        <v>736</v>
      </c>
      <c r="D6369" t="s">
        <v>22</v>
      </c>
      <c r="E6369" t="s">
        <v>23</v>
      </c>
      <c r="F6369" t="s">
        <v>695</v>
      </c>
      <c r="G6369" t="s">
        <v>11911</v>
      </c>
      <c r="H6369" t="str">
        <f t="shared" si="418"/>
        <v>94993</v>
      </c>
      <c r="I6369" t="s">
        <v>50</v>
      </c>
    </row>
    <row r="6370" spans="1:9" x14ac:dyDescent="0.3">
      <c r="A6370" t="str">
        <f>"44019076"</f>
        <v>44019076</v>
      </c>
      <c r="B6370" t="s">
        <v>11912</v>
      </c>
      <c r="C6370" t="str">
        <f t="shared" si="419"/>
        <v>736</v>
      </c>
      <c r="D6370" t="s">
        <v>22</v>
      </c>
      <c r="E6370" t="s">
        <v>52</v>
      </c>
      <c r="F6370" t="s">
        <v>920</v>
      </c>
      <c r="G6370" t="s">
        <v>11913</v>
      </c>
      <c r="H6370" t="str">
        <f t="shared" si="418"/>
        <v>94993</v>
      </c>
      <c r="I6370" t="s">
        <v>50</v>
      </c>
    </row>
    <row r="6371" spans="1:9" x14ac:dyDescent="0.3">
      <c r="A6371" t="str">
        <f>"67028713"</f>
        <v>67028713</v>
      </c>
      <c r="B6371" t="s">
        <v>11914</v>
      </c>
      <c r="C6371" t="str">
        <f t="shared" si="419"/>
        <v>736</v>
      </c>
      <c r="D6371" t="s">
        <v>22</v>
      </c>
      <c r="E6371" t="s">
        <v>52</v>
      </c>
      <c r="F6371" t="s">
        <v>1908</v>
      </c>
      <c r="G6371" t="s">
        <v>11915</v>
      </c>
      <c r="H6371" t="str">
        <f t="shared" si="418"/>
        <v>94993</v>
      </c>
      <c r="I6371" t="s">
        <v>50</v>
      </c>
    </row>
    <row r="6372" spans="1:9" x14ac:dyDescent="0.3">
      <c r="A6372" t="str">
        <f>"63459027"</f>
        <v>63459027</v>
      </c>
      <c r="B6372" t="s">
        <v>11916</v>
      </c>
      <c r="C6372" t="str">
        <f t="shared" si="419"/>
        <v>736</v>
      </c>
      <c r="D6372" t="s">
        <v>22</v>
      </c>
      <c r="E6372" t="s">
        <v>83</v>
      </c>
      <c r="F6372" t="s">
        <v>83</v>
      </c>
      <c r="G6372" t="s">
        <v>8537</v>
      </c>
      <c r="H6372" t="str">
        <f t="shared" si="418"/>
        <v>94993</v>
      </c>
      <c r="I6372" t="s">
        <v>50</v>
      </c>
    </row>
    <row r="6373" spans="1:9" x14ac:dyDescent="0.3">
      <c r="A6373" t="str">
        <f>"75104661"</f>
        <v>75104661</v>
      </c>
      <c r="B6373" t="s">
        <v>11917</v>
      </c>
      <c r="C6373" t="str">
        <f t="shared" si="419"/>
        <v>736</v>
      </c>
      <c r="D6373" t="s">
        <v>22</v>
      </c>
      <c r="E6373" t="s">
        <v>23</v>
      </c>
      <c r="F6373" t="s">
        <v>190</v>
      </c>
      <c r="G6373" t="s">
        <v>11918</v>
      </c>
      <c r="H6373" t="str">
        <f t="shared" si="418"/>
        <v>94993</v>
      </c>
      <c r="I6373" t="s">
        <v>50</v>
      </c>
    </row>
    <row r="6374" spans="1:9" x14ac:dyDescent="0.3">
      <c r="A6374" t="str">
        <f>"04046374"</f>
        <v>04046374</v>
      </c>
      <c r="B6374" t="s">
        <v>11919</v>
      </c>
      <c r="C6374" t="str">
        <f t="shared" si="419"/>
        <v>736</v>
      </c>
      <c r="D6374" t="s">
        <v>22</v>
      </c>
      <c r="E6374" t="s">
        <v>52</v>
      </c>
      <c r="F6374" t="s">
        <v>52</v>
      </c>
      <c r="G6374" t="s">
        <v>11920</v>
      </c>
      <c r="H6374" t="str">
        <f t="shared" si="418"/>
        <v>94993</v>
      </c>
      <c r="I6374" t="s">
        <v>50</v>
      </c>
    </row>
    <row r="6375" spans="1:9" x14ac:dyDescent="0.3">
      <c r="A6375" t="str">
        <f>"44019084"</f>
        <v>44019084</v>
      </c>
      <c r="B6375" t="s">
        <v>11921</v>
      </c>
      <c r="C6375" t="str">
        <f t="shared" si="419"/>
        <v>736</v>
      </c>
      <c r="D6375" t="s">
        <v>22</v>
      </c>
      <c r="E6375" t="s">
        <v>52</v>
      </c>
      <c r="F6375" t="s">
        <v>178</v>
      </c>
      <c r="G6375" t="s">
        <v>11922</v>
      </c>
      <c r="H6375" t="str">
        <f t="shared" si="418"/>
        <v>94993</v>
      </c>
      <c r="I6375" t="s">
        <v>50</v>
      </c>
    </row>
    <row r="6376" spans="1:9" x14ac:dyDescent="0.3">
      <c r="A6376" t="str">
        <f>"22710850"</f>
        <v>22710850</v>
      </c>
      <c r="B6376" t="s">
        <v>11923</v>
      </c>
      <c r="C6376" t="str">
        <f t="shared" si="419"/>
        <v>736</v>
      </c>
      <c r="D6376" t="s">
        <v>22</v>
      </c>
      <c r="E6376" t="s">
        <v>23</v>
      </c>
      <c r="F6376" t="s">
        <v>23</v>
      </c>
      <c r="G6376" t="s">
        <v>2811</v>
      </c>
      <c r="H6376" t="str">
        <f t="shared" si="418"/>
        <v>94993</v>
      </c>
      <c r="I6376" t="s">
        <v>50</v>
      </c>
    </row>
    <row r="6377" spans="1:9" x14ac:dyDescent="0.3">
      <c r="A6377" t="str">
        <f>"62180291"</f>
        <v>62180291</v>
      </c>
      <c r="B6377" t="s">
        <v>11924</v>
      </c>
      <c r="C6377" t="str">
        <f t="shared" si="419"/>
        <v>736</v>
      </c>
      <c r="D6377" t="s">
        <v>22</v>
      </c>
      <c r="E6377" t="s">
        <v>23</v>
      </c>
      <c r="F6377" t="s">
        <v>350</v>
      </c>
      <c r="G6377" t="s">
        <v>11925</v>
      </c>
      <c r="H6377" t="str">
        <f t="shared" si="418"/>
        <v>94993</v>
      </c>
      <c r="I6377" t="s">
        <v>50</v>
      </c>
    </row>
    <row r="6378" spans="1:9" x14ac:dyDescent="0.3">
      <c r="A6378" t="str">
        <f>"71159177"</f>
        <v>71159177</v>
      </c>
      <c r="B6378" t="s">
        <v>11926</v>
      </c>
      <c r="C6378" t="str">
        <f t="shared" si="419"/>
        <v>736</v>
      </c>
      <c r="D6378" t="s">
        <v>22</v>
      </c>
      <c r="E6378" t="s">
        <v>29</v>
      </c>
      <c r="F6378" t="s">
        <v>38</v>
      </c>
      <c r="G6378" t="s">
        <v>11927</v>
      </c>
      <c r="H6378" t="str">
        <f t="shared" si="418"/>
        <v>94993</v>
      </c>
      <c r="I6378" t="s">
        <v>50</v>
      </c>
    </row>
    <row r="6379" spans="1:9" x14ac:dyDescent="0.3">
      <c r="A6379" t="str">
        <f>"70038325"</f>
        <v>70038325</v>
      </c>
      <c r="B6379" t="s">
        <v>11928</v>
      </c>
      <c r="C6379" t="str">
        <f t="shared" si="419"/>
        <v>736</v>
      </c>
      <c r="D6379" t="s">
        <v>22</v>
      </c>
      <c r="E6379" t="s">
        <v>29</v>
      </c>
      <c r="F6379" t="s">
        <v>29</v>
      </c>
      <c r="G6379" t="s">
        <v>11929</v>
      </c>
      <c r="H6379" t="str">
        <f t="shared" si="418"/>
        <v>94993</v>
      </c>
      <c r="I6379" t="s">
        <v>50</v>
      </c>
    </row>
    <row r="6380" spans="1:9" x14ac:dyDescent="0.3">
      <c r="A6380" t="str">
        <f>"44019092"</f>
        <v>44019092</v>
      </c>
      <c r="B6380" t="s">
        <v>11930</v>
      </c>
      <c r="C6380" t="str">
        <f t="shared" si="419"/>
        <v>736</v>
      </c>
      <c r="D6380" t="s">
        <v>22</v>
      </c>
      <c r="E6380" t="s">
        <v>52</v>
      </c>
      <c r="F6380" t="s">
        <v>113</v>
      </c>
      <c r="G6380" t="s">
        <v>11931</v>
      </c>
      <c r="H6380" t="str">
        <f t="shared" si="418"/>
        <v>94993</v>
      </c>
      <c r="I6380" t="s">
        <v>50</v>
      </c>
    </row>
    <row r="6381" spans="1:9" x14ac:dyDescent="0.3">
      <c r="A6381" t="str">
        <f>"44019106"</f>
        <v>44019106</v>
      </c>
      <c r="B6381" t="s">
        <v>11932</v>
      </c>
      <c r="C6381" t="str">
        <f t="shared" si="419"/>
        <v>736</v>
      </c>
      <c r="D6381" t="s">
        <v>22</v>
      </c>
      <c r="E6381" t="s">
        <v>52</v>
      </c>
      <c r="F6381" t="s">
        <v>94</v>
      </c>
      <c r="G6381" t="s">
        <v>11933</v>
      </c>
      <c r="H6381" t="str">
        <f t="shared" si="418"/>
        <v>94993</v>
      </c>
      <c r="I6381" t="s">
        <v>50</v>
      </c>
    </row>
    <row r="6382" spans="1:9" x14ac:dyDescent="0.3">
      <c r="A6382" t="str">
        <f>"72564041"</f>
        <v>72564041</v>
      </c>
      <c r="B6382" t="s">
        <v>11934</v>
      </c>
      <c r="C6382" t="str">
        <f t="shared" si="419"/>
        <v>736</v>
      </c>
      <c r="D6382" t="s">
        <v>22</v>
      </c>
      <c r="E6382" t="s">
        <v>29</v>
      </c>
      <c r="F6382" t="s">
        <v>138</v>
      </c>
      <c r="G6382" t="s">
        <v>8565</v>
      </c>
      <c r="H6382" t="str">
        <f t="shared" si="418"/>
        <v>94993</v>
      </c>
      <c r="I6382" t="s">
        <v>50</v>
      </c>
    </row>
    <row r="6383" spans="1:9" x14ac:dyDescent="0.3">
      <c r="A6383" t="str">
        <f>"01898396"</f>
        <v>01898396</v>
      </c>
      <c r="B6383" t="s">
        <v>11935</v>
      </c>
      <c r="C6383" t="str">
        <f t="shared" si="419"/>
        <v>736</v>
      </c>
      <c r="D6383" t="s">
        <v>22</v>
      </c>
      <c r="E6383" t="s">
        <v>29</v>
      </c>
      <c r="F6383" t="s">
        <v>195</v>
      </c>
      <c r="G6383" t="s">
        <v>11936</v>
      </c>
      <c r="H6383" t="str">
        <f t="shared" si="418"/>
        <v>94993</v>
      </c>
      <c r="I6383" t="s">
        <v>50</v>
      </c>
    </row>
    <row r="6384" spans="1:9" x14ac:dyDescent="0.3">
      <c r="A6384" t="str">
        <f>"72056291"</f>
        <v>72056291</v>
      </c>
      <c r="B6384" t="s">
        <v>11937</v>
      </c>
      <c r="C6384" t="str">
        <f t="shared" si="419"/>
        <v>736</v>
      </c>
      <c r="D6384" t="s">
        <v>22</v>
      </c>
      <c r="E6384" t="s">
        <v>29</v>
      </c>
      <c r="F6384" t="s">
        <v>195</v>
      </c>
      <c r="G6384" t="s">
        <v>11938</v>
      </c>
      <c r="H6384" t="str">
        <f t="shared" si="418"/>
        <v>94993</v>
      </c>
      <c r="I6384" t="s">
        <v>50</v>
      </c>
    </row>
    <row r="6385" spans="1:9" x14ac:dyDescent="0.3">
      <c r="A6385" t="str">
        <f>"01732552"</f>
        <v>01732552</v>
      </c>
      <c r="B6385" t="s">
        <v>11939</v>
      </c>
      <c r="C6385" t="str">
        <f t="shared" si="419"/>
        <v>736</v>
      </c>
      <c r="D6385" t="s">
        <v>22</v>
      </c>
      <c r="E6385" t="s">
        <v>29</v>
      </c>
      <c r="F6385" t="s">
        <v>195</v>
      </c>
      <c r="G6385" t="s">
        <v>11940</v>
      </c>
      <c r="H6385" t="str">
        <f t="shared" si="418"/>
        <v>94993</v>
      </c>
      <c r="I6385" t="s">
        <v>50</v>
      </c>
    </row>
    <row r="6386" spans="1:9" x14ac:dyDescent="0.3">
      <c r="A6386" t="str">
        <f>"75072084"</f>
        <v>75072084</v>
      </c>
      <c r="B6386" t="s">
        <v>11941</v>
      </c>
      <c r="C6386" t="str">
        <f t="shared" si="419"/>
        <v>736</v>
      </c>
      <c r="D6386" t="s">
        <v>22</v>
      </c>
      <c r="E6386" t="s">
        <v>52</v>
      </c>
      <c r="F6386" t="s">
        <v>2806</v>
      </c>
      <c r="G6386" t="s">
        <v>2807</v>
      </c>
      <c r="H6386" t="str">
        <f t="shared" si="418"/>
        <v>94993</v>
      </c>
      <c r="I6386" t="s">
        <v>50</v>
      </c>
    </row>
    <row r="6387" spans="1:9" x14ac:dyDescent="0.3">
      <c r="A6387" t="str">
        <f>"69649561"</f>
        <v>69649561</v>
      </c>
      <c r="B6387" t="s">
        <v>11942</v>
      </c>
      <c r="C6387" t="str">
        <f t="shared" si="419"/>
        <v>736</v>
      </c>
      <c r="D6387" t="s">
        <v>22</v>
      </c>
      <c r="E6387" t="s">
        <v>23</v>
      </c>
      <c r="F6387" t="s">
        <v>1697</v>
      </c>
      <c r="G6387" t="s">
        <v>11943</v>
      </c>
      <c r="H6387" t="str">
        <f t="shared" si="418"/>
        <v>94993</v>
      </c>
      <c r="I6387" t="s">
        <v>50</v>
      </c>
    </row>
    <row r="6388" spans="1:9" x14ac:dyDescent="0.3">
      <c r="A6388" t="str">
        <f>"75120658"</f>
        <v>75120658</v>
      </c>
      <c r="B6388" t="s">
        <v>11944</v>
      </c>
      <c r="C6388" t="str">
        <f t="shared" si="419"/>
        <v>736</v>
      </c>
      <c r="D6388" t="s">
        <v>22</v>
      </c>
      <c r="E6388" t="s">
        <v>23</v>
      </c>
      <c r="F6388" t="s">
        <v>23</v>
      </c>
      <c r="G6388" t="s">
        <v>11945</v>
      </c>
      <c r="H6388" t="str">
        <f t="shared" si="418"/>
        <v>94993</v>
      </c>
      <c r="I6388" t="s">
        <v>50</v>
      </c>
    </row>
    <row r="6389" spans="1:9" x14ac:dyDescent="0.3">
      <c r="A6389" t="str">
        <f>"02057603"</f>
        <v>02057603</v>
      </c>
      <c r="B6389" t="s">
        <v>11946</v>
      </c>
      <c r="C6389" t="str">
        <f t="shared" si="419"/>
        <v>736</v>
      </c>
      <c r="D6389" t="s">
        <v>22</v>
      </c>
      <c r="E6389" t="s">
        <v>23</v>
      </c>
      <c r="F6389" t="s">
        <v>23</v>
      </c>
      <c r="G6389" t="s">
        <v>11947</v>
      </c>
      <c r="H6389" t="str">
        <f t="shared" si="418"/>
        <v>94993</v>
      </c>
      <c r="I6389" t="s">
        <v>50</v>
      </c>
    </row>
    <row r="6390" spans="1:9" x14ac:dyDescent="0.3">
      <c r="A6390" t="str">
        <f>"60382970"</f>
        <v>60382970</v>
      </c>
      <c r="B6390" t="s">
        <v>11948</v>
      </c>
      <c r="C6390" t="str">
        <f t="shared" si="419"/>
        <v>736</v>
      </c>
      <c r="D6390" t="s">
        <v>22</v>
      </c>
      <c r="E6390" t="s">
        <v>83</v>
      </c>
      <c r="F6390" t="s">
        <v>4976</v>
      </c>
      <c r="G6390" t="s">
        <v>11949</v>
      </c>
      <c r="H6390" t="str">
        <f t="shared" si="418"/>
        <v>94993</v>
      </c>
      <c r="I6390" t="s">
        <v>50</v>
      </c>
    </row>
    <row r="6391" spans="1:9" x14ac:dyDescent="0.3">
      <c r="A6391" t="str">
        <f>"61716898"</f>
        <v>61716898</v>
      </c>
      <c r="B6391" t="s">
        <v>11950</v>
      </c>
      <c r="C6391" t="str">
        <f t="shared" si="419"/>
        <v>736</v>
      </c>
      <c r="D6391" t="s">
        <v>22</v>
      </c>
      <c r="E6391" t="s">
        <v>23</v>
      </c>
      <c r="F6391" t="s">
        <v>23</v>
      </c>
      <c r="G6391" t="s">
        <v>11951</v>
      </c>
      <c r="H6391" t="str">
        <f t="shared" si="418"/>
        <v>94993</v>
      </c>
      <c r="I6391" t="s">
        <v>50</v>
      </c>
    </row>
    <row r="6392" spans="1:9" x14ac:dyDescent="0.3">
      <c r="A6392" t="str">
        <f>"61716812"</f>
        <v>61716812</v>
      </c>
      <c r="B6392" t="s">
        <v>11952</v>
      </c>
      <c r="C6392" t="str">
        <f t="shared" si="419"/>
        <v>736</v>
      </c>
      <c r="D6392" t="s">
        <v>22</v>
      </c>
      <c r="E6392" t="s">
        <v>23</v>
      </c>
      <c r="F6392" t="s">
        <v>1935</v>
      </c>
      <c r="G6392" t="s">
        <v>11953</v>
      </c>
      <c r="H6392" t="str">
        <f t="shared" si="418"/>
        <v>94993</v>
      </c>
      <c r="I6392" t="s">
        <v>50</v>
      </c>
    </row>
    <row r="6393" spans="1:9" x14ac:dyDescent="0.3">
      <c r="A6393" t="str">
        <f>"62180576"</f>
        <v>62180576</v>
      </c>
      <c r="B6393" t="s">
        <v>11954</v>
      </c>
      <c r="C6393" t="str">
        <f t="shared" si="419"/>
        <v>736</v>
      </c>
      <c r="D6393" t="s">
        <v>22</v>
      </c>
      <c r="E6393" t="s">
        <v>23</v>
      </c>
      <c r="F6393" t="s">
        <v>6066</v>
      </c>
      <c r="G6393" t="s">
        <v>11955</v>
      </c>
      <c r="H6393" t="str">
        <f t="shared" si="418"/>
        <v>94993</v>
      </c>
      <c r="I6393" t="s">
        <v>50</v>
      </c>
    </row>
    <row r="6394" spans="1:9" x14ac:dyDescent="0.3">
      <c r="A6394" t="str">
        <f>"70640408"</f>
        <v>70640408</v>
      </c>
      <c r="B6394" t="s">
        <v>11956</v>
      </c>
      <c r="C6394" t="str">
        <f t="shared" si="419"/>
        <v>736</v>
      </c>
      <c r="D6394" t="s">
        <v>22</v>
      </c>
      <c r="E6394" t="s">
        <v>29</v>
      </c>
      <c r="F6394" t="s">
        <v>29</v>
      </c>
      <c r="G6394" t="s">
        <v>724</v>
      </c>
      <c r="H6394" t="str">
        <f t="shared" si="418"/>
        <v>94993</v>
      </c>
      <c r="I6394" t="s">
        <v>50</v>
      </c>
    </row>
    <row r="6395" spans="1:9" x14ac:dyDescent="0.3">
      <c r="A6395" t="str">
        <f>"71211713"</f>
        <v>71211713</v>
      </c>
      <c r="B6395" t="s">
        <v>11957</v>
      </c>
      <c r="C6395" t="str">
        <f t="shared" si="419"/>
        <v>736</v>
      </c>
      <c r="D6395" t="s">
        <v>22</v>
      </c>
      <c r="E6395" t="s">
        <v>29</v>
      </c>
      <c r="F6395" t="s">
        <v>29</v>
      </c>
      <c r="G6395" t="s">
        <v>11958</v>
      </c>
      <c r="H6395" t="str">
        <f t="shared" si="418"/>
        <v>94993</v>
      </c>
      <c r="I6395" t="s">
        <v>50</v>
      </c>
    </row>
    <row r="6396" spans="1:9" x14ac:dyDescent="0.3">
      <c r="A6396" t="str">
        <f>"65888511"</f>
        <v>65888511</v>
      </c>
      <c r="B6396" t="s">
        <v>11959</v>
      </c>
      <c r="C6396" t="str">
        <f t="shared" si="419"/>
        <v>736</v>
      </c>
      <c r="D6396" t="s">
        <v>22</v>
      </c>
      <c r="E6396" t="s">
        <v>29</v>
      </c>
      <c r="F6396" t="s">
        <v>29</v>
      </c>
      <c r="G6396" t="s">
        <v>11960</v>
      </c>
      <c r="H6396" t="str">
        <f t="shared" si="418"/>
        <v>94993</v>
      </c>
      <c r="I6396" t="s">
        <v>50</v>
      </c>
    </row>
    <row r="6397" spans="1:9" x14ac:dyDescent="0.3">
      <c r="A6397" t="str">
        <f>"70957819"</f>
        <v>70957819</v>
      </c>
      <c r="B6397" t="s">
        <v>11961</v>
      </c>
      <c r="C6397" t="str">
        <f t="shared" si="419"/>
        <v>736</v>
      </c>
      <c r="D6397" t="s">
        <v>22</v>
      </c>
      <c r="E6397" t="s">
        <v>29</v>
      </c>
      <c r="F6397" t="s">
        <v>29</v>
      </c>
      <c r="G6397" t="s">
        <v>11962</v>
      </c>
      <c r="H6397" t="str">
        <f t="shared" si="418"/>
        <v>94993</v>
      </c>
      <c r="I6397" t="s">
        <v>50</v>
      </c>
    </row>
    <row r="6398" spans="1:9" x14ac:dyDescent="0.3">
      <c r="A6398" t="str">
        <f>"70907111"</f>
        <v>70907111</v>
      </c>
      <c r="B6398" t="s">
        <v>11963</v>
      </c>
      <c r="C6398" t="str">
        <f t="shared" si="419"/>
        <v>736</v>
      </c>
      <c r="D6398" t="s">
        <v>22</v>
      </c>
      <c r="E6398" t="s">
        <v>29</v>
      </c>
      <c r="F6398" t="s">
        <v>29</v>
      </c>
      <c r="G6398" t="s">
        <v>11964</v>
      </c>
      <c r="H6398" t="str">
        <f t="shared" ref="H6398:H6419" si="420">"94993"</f>
        <v>94993</v>
      </c>
      <c r="I6398" t="s">
        <v>50</v>
      </c>
    </row>
    <row r="6399" spans="1:9" x14ac:dyDescent="0.3">
      <c r="A6399" t="str">
        <f>"60042192"</f>
        <v>60042192</v>
      </c>
      <c r="B6399" t="s">
        <v>11965</v>
      </c>
      <c r="C6399" t="str">
        <f t="shared" si="419"/>
        <v>736</v>
      </c>
      <c r="D6399" t="s">
        <v>22</v>
      </c>
      <c r="E6399" t="s">
        <v>29</v>
      </c>
      <c r="F6399" t="s">
        <v>29</v>
      </c>
      <c r="G6399" t="s">
        <v>11966</v>
      </c>
      <c r="H6399" t="str">
        <f t="shared" si="420"/>
        <v>94993</v>
      </c>
      <c r="I6399" t="s">
        <v>50</v>
      </c>
    </row>
    <row r="6400" spans="1:9" x14ac:dyDescent="0.3">
      <c r="A6400" t="str">
        <f>"70949611"</f>
        <v>70949611</v>
      </c>
      <c r="B6400" t="s">
        <v>11967</v>
      </c>
      <c r="C6400" t="str">
        <f t="shared" si="419"/>
        <v>736</v>
      </c>
      <c r="D6400" t="s">
        <v>22</v>
      </c>
      <c r="E6400" t="s">
        <v>29</v>
      </c>
      <c r="F6400" t="s">
        <v>29</v>
      </c>
      <c r="G6400" t="s">
        <v>11968</v>
      </c>
      <c r="H6400" t="str">
        <f t="shared" si="420"/>
        <v>94993</v>
      </c>
      <c r="I6400" t="s">
        <v>50</v>
      </c>
    </row>
    <row r="6401" spans="1:9" x14ac:dyDescent="0.3">
      <c r="A6401" t="str">
        <f>"72029498"</f>
        <v>72029498</v>
      </c>
      <c r="B6401" t="s">
        <v>11969</v>
      </c>
      <c r="C6401" t="str">
        <f t="shared" si="419"/>
        <v>736</v>
      </c>
      <c r="D6401" t="s">
        <v>22</v>
      </c>
      <c r="E6401" t="s">
        <v>29</v>
      </c>
      <c r="F6401" t="s">
        <v>29</v>
      </c>
      <c r="G6401" t="s">
        <v>11970</v>
      </c>
      <c r="H6401" t="str">
        <f t="shared" si="420"/>
        <v>94993</v>
      </c>
      <c r="I6401" t="s">
        <v>50</v>
      </c>
    </row>
    <row r="6402" spans="1:9" x14ac:dyDescent="0.3">
      <c r="A6402" t="str">
        <f>"72566060"</f>
        <v>72566060</v>
      </c>
      <c r="B6402" t="s">
        <v>11971</v>
      </c>
      <c r="C6402" t="str">
        <f t="shared" si="419"/>
        <v>736</v>
      </c>
      <c r="D6402" t="s">
        <v>22</v>
      </c>
      <c r="E6402" t="s">
        <v>29</v>
      </c>
      <c r="F6402" t="s">
        <v>29</v>
      </c>
      <c r="G6402" t="s">
        <v>11972</v>
      </c>
      <c r="H6402" t="str">
        <f t="shared" si="420"/>
        <v>94993</v>
      </c>
      <c r="I6402" t="s">
        <v>50</v>
      </c>
    </row>
    <row r="6403" spans="1:9" x14ac:dyDescent="0.3">
      <c r="A6403" t="str">
        <f>"75148196"</f>
        <v>75148196</v>
      </c>
      <c r="B6403" t="s">
        <v>11973</v>
      </c>
      <c r="C6403" t="str">
        <f t="shared" si="419"/>
        <v>736</v>
      </c>
      <c r="D6403" t="s">
        <v>22</v>
      </c>
      <c r="E6403" t="s">
        <v>29</v>
      </c>
      <c r="F6403" t="s">
        <v>29</v>
      </c>
      <c r="G6403" t="s">
        <v>11974</v>
      </c>
      <c r="H6403" t="str">
        <f t="shared" si="420"/>
        <v>94993</v>
      </c>
      <c r="I6403" t="s">
        <v>50</v>
      </c>
    </row>
    <row r="6404" spans="1:9" x14ac:dyDescent="0.3">
      <c r="A6404" t="str">
        <f>"69211833"</f>
        <v>69211833</v>
      </c>
      <c r="B6404" t="s">
        <v>11975</v>
      </c>
      <c r="C6404" t="str">
        <f t="shared" si="419"/>
        <v>736</v>
      </c>
      <c r="D6404" t="s">
        <v>22</v>
      </c>
      <c r="E6404" t="s">
        <v>29</v>
      </c>
      <c r="F6404" t="s">
        <v>29</v>
      </c>
      <c r="G6404" t="s">
        <v>11976</v>
      </c>
      <c r="H6404" t="str">
        <f t="shared" si="420"/>
        <v>94993</v>
      </c>
      <c r="I6404" t="s">
        <v>50</v>
      </c>
    </row>
    <row r="6405" spans="1:9" x14ac:dyDescent="0.3">
      <c r="A6405" t="str">
        <f>"70917981"</f>
        <v>70917981</v>
      </c>
      <c r="B6405" t="s">
        <v>11977</v>
      </c>
      <c r="C6405" t="str">
        <f t="shared" si="419"/>
        <v>736</v>
      </c>
      <c r="D6405" t="s">
        <v>22</v>
      </c>
      <c r="E6405" t="s">
        <v>29</v>
      </c>
      <c r="F6405" t="s">
        <v>29</v>
      </c>
      <c r="G6405" t="s">
        <v>11978</v>
      </c>
      <c r="H6405" t="str">
        <f t="shared" si="420"/>
        <v>94993</v>
      </c>
      <c r="I6405" t="s">
        <v>50</v>
      </c>
    </row>
    <row r="6406" spans="1:9" x14ac:dyDescent="0.3">
      <c r="A6406" t="str">
        <f>"72065290"</f>
        <v>72065290</v>
      </c>
      <c r="B6406" t="s">
        <v>11979</v>
      </c>
      <c r="C6406" t="str">
        <f t="shared" si="419"/>
        <v>736</v>
      </c>
      <c r="D6406" t="s">
        <v>22</v>
      </c>
      <c r="E6406" t="s">
        <v>29</v>
      </c>
      <c r="F6406" t="s">
        <v>195</v>
      </c>
      <c r="G6406" t="s">
        <v>11980</v>
      </c>
      <c r="H6406" t="str">
        <f t="shared" si="420"/>
        <v>94993</v>
      </c>
      <c r="I6406" t="s">
        <v>50</v>
      </c>
    </row>
    <row r="6407" spans="1:9" x14ac:dyDescent="0.3">
      <c r="A6407" t="str">
        <f>"03979849"</f>
        <v>03979849</v>
      </c>
      <c r="B6407" t="s">
        <v>11981</v>
      </c>
      <c r="C6407" t="str">
        <f t="shared" si="419"/>
        <v>736</v>
      </c>
      <c r="D6407" t="s">
        <v>22</v>
      </c>
      <c r="E6407" t="s">
        <v>52</v>
      </c>
      <c r="F6407" t="s">
        <v>52</v>
      </c>
      <c r="G6407" t="s">
        <v>11982</v>
      </c>
      <c r="H6407" t="str">
        <f t="shared" si="420"/>
        <v>94993</v>
      </c>
      <c r="I6407" t="s">
        <v>50</v>
      </c>
    </row>
    <row r="6408" spans="1:9" x14ac:dyDescent="0.3">
      <c r="A6408" t="str">
        <f>"75102030"</f>
        <v>75102030</v>
      </c>
      <c r="B6408" t="s">
        <v>11983</v>
      </c>
      <c r="C6408" t="str">
        <f t="shared" si="419"/>
        <v>736</v>
      </c>
      <c r="D6408" t="s">
        <v>22</v>
      </c>
      <c r="E6408" t="s">
        <v>23</v>
      </c>
      <c r="F6408" t="s">
        <v>23</v>
      </c>
      <c r="G6408" t="s">
        <v>11984</v>
      </c>
      <c r="H6408" t="str">
        <f t="shared" si="420"/>
        <v>94993</v>
      </c>
      <c r="I6408" t="s">
        <v>50</v>
      </c>
    </row>
    <row r="6409" spans="1:9" x14ac:dyDescent="0.3">
      <c r="A6409" t="str">
        <f>"02805332"</f>
        <v>02805332</v>
      </c>
      <c r="B6409" t="s">
        <v>11985</v>
      </c>
      <c r="C6409" t="str">
        <f t="shared" si="419"/>
        <v>736</v>
      </c>
      <c r="D6409" t="s">
        <v>22</v>
      </c>
      <c r="E6409" t="s">
        <v>52</v>
      </c>
      <c r="F6409" t="s">
        <v>645</v>
      </c>
      <c r="G6409" t="s">
        <v>11986</v>
      </c>
      <c r="H6409" t="str">
        <f t="shared" si="420"/>
        <v>94993</v>
      </c>
      <c r="I6409" t="s">
        <v>50</v>
      </c>
    </row>
    <row r="6410" spans="1:9" x14ac:dyDescent="0.3">
      <c r="A6410" t="str">
        <f>"63459175"</f>
        <v>63459175</v>
      </c>
      <c r="B6410" t="s">
        <v>11987</v>
      </c>
      <c r="C6410" t="str">
        <f t="shared" si="419"/>
        <v>736</v>
      </c>
      <c r="D6410" t="s">
        <v>22</v>
      </c>
      <c r="E6410" t="s">
        <v>83</v>
      </c>
      <c r="F6410" t="s">
        <v>1635</v>
      </c>
      <c r="G6410" t="s">
        <v>3743</v>
      </c>
      <c r="H6410" t="str">
        <f t="shared" si="420"/>
        <v>94993</v>
      </c>
      <c r="I6410" t="s">
        <v>50</v>
      </c>
    </row>
    <row r="6411" spans="1:9" x14ac:dyDescent="0.3">
      <c r="A6411" t="str">
        <f>"63414066"</f>
        <v>63414066</v>
      </c>
      <c r="B6411" t="s">
        <v>11988</v>
      </c>
      <c r="C6411" t="str">
        <f t="shared" si="419"/>
        <v>736</v>
      </c>
      <c r="D6411" t="s">
        <v>22</v>
      </c>
      <c r="E6411" t="s">
        <v>83</v>
      </c>
      <c r="F6411" t="s">
        <v>1635</v>
      </c>
      <c r="G6411" t="s">
        <v>11989</v>
      </c>
      <c r="H6411" t="str">
        <f t="shared" si="420"/>
        <v>94993</v>
      </c>
      <c r="I6411" t="s">
        <v>50</v>
      </c>
    </row>
    <row r="6412" spans="1:9" x14ac:dyDescent="0.3">
      <c r="A6412" t="str">
        <f>"67011446"</f>
        <v>67011446</v>
      </c>
      <c r="B6412" t="s">
        <v>11990</v>
      </c>
      <c r="C6412" t="str">
        <f t="shared" si="419"/>
        <v>736</v>
      </c>
      <c r="D6412" t="s">
        <v>22</v>
      </c>
      <c r="E6412" t="s">
        <v>52</v>
      </c>
      <c r="F6412" t="s">
        <v>2736</v>
      </c>
      <c r="G6412" t="s">
        <v>11991</v>
      </c>
      <c r="H6412" t="str">
        <f t="shared" si="420"/>
        <v>94993</v>
      </c>
      <c r="I6412" t="s">
        <v>50</v>
      </c>
    </row>
    <row r="6413" spans="1:9" x14ac:dyDescent="0.3">
      <c r="A6413" t="str">
        <f>"01938053"</f>
        <v>01938053</v>
      </c>
      <c r="B6413" t="s">
        <v>11992</v>
      </c>
      <c r="C6413" t="str">
        <f t="shared" si="419"/>
        <v>736</v>
      </c>
      <c r="D6413" t="s">
        <v>22</v>
      </c>
      <c r="E6413" t="s">
        <v>23</v>
      </c>
      <c r="F6413" t="s">
        <v>23</v>
      </c>
      <c r="G6413" t="s">
        <v>6341</v>
      </c>
      <c r="H6413" t="str">
        <f t="shared" si="420"/>
        <v>94993</v>
      </c>
      <c r="I6413" t="s">
        <v>50</v>
      </c>
    </row>
    <row r="6414" spans="1:9" x14ac:dyDescent="0.3">
      <c r="A6414" t="str">
        <f>"71216260"</f>
        <v>71216260</v>
      </c>
      <c r="B6414" t="s">
        <v>11993</v>
      </c>
      <c r="C6414" t="str">
        <f t="shared" si="419"/>
        <v>736</v>
      </c>
      <c r="D6414" t="s">
        <v>22</v>
      </c>
      <c r="E6414" t="s">
        <v>29</v>
      </c>
      <c r="F6414" t="s">
        <v>38</v>
      </c>
      <c r="G6414" t="s">
        <v>3928</v>
      </c>
      <c r="H6414" t="str">
        <f t="shared" si="420"/>
        <v>94993</v>
      </c>
      <c r="I6414" t="s">
        <v>50</v>
      </c>
    </row>
    <row r="6415" spans="1:9" x14ac:dyDescent="0.3">
      <c r="A6415" t="str">
        <f>"65469691"</f>
        <v>65469691</v>
      </c>
      <c r="B6415" t="s">
        <v>11994</v>
      </c>
      <c r="C6415" t="str">
        <f t="shared" si="419"/>
        <v>736</v>
      </c>
      <c r="D6415" t="s">
        <v>22</v>
      </c>
      <c r="E6415" t="s">
        <v>29</v>
      </c>
      <c r="F6415" t="s">
        <v>45</v>
      </c>
      <c r="G6415" t="s">
        <v>1949</v>
      </c>
      <c r="H6415" t="str">
        <f t="shared" si="420"/>
        <v>94993</v>
      </c>
      <c r="I6415" t="s">
        <v>50</v>
      </c>
    </row>
    <row r="6416" spans="1:9" x14ac:dyDescent="0.3">
      <c r="A6416" t="str">
        <f>"63459035"</f>
        <v>63459035</v>
      </c>
      <c r="B6416" t="s">
        <v>11995</v>
      </c>
      <c r="C6416" t="str">
        <f t="shared" si="419"/>
        <v>736</v>
      </c>
      <c r="D6416" t="s">
        <v>22</v>
      </c>
      <c r="E6416" t="s">
        <v>83</v>
      </c>
      <c r="F6416" t="s">
        <v>5718</v>
      </c>
      <c r="G6416" t="s">
        <v>5719</v>
      </c>
      <c r="H6416" t="str">
        <f t="shared" si="420"/>
        <v>94993</v>
      </c>
      <c r="I6416" t="s">
        <v>50</v>
      </c>
    </row>
    <row r="6417" spans="1:14" x14ac:dyDescent="0.3">
      <c r="A6417" t="str">
        <f>"61716847"</f>
        <v>61716847</v>
      </c>
      <c r="B6417" t="s">
        <v>11996</v>
      </c>
      <c r="C6417" t="str">
        <f t="shared" si="419"/>
        <v>736</v>
      </c>
      <c r="D6417" t="s">
        <v>22</v>
      </c>
      <c r="E6417" t="s">
        <v>23</v>
      </c>
      <c r="F6417" t="s">
        <v>793</v>
      </c>
      <c r="G6417" t="s">
        <v>11997</v>
      </c>
      <c r="H6417" t="str">
        <f t="shared" si="420"/>
        <v>94993</v>
      </c>
      <c r="I6417" t="s">
        <v>50</v>
      </c>
    </row>
    <row r="6418" spans="1:14" x14ac:dyDescent="0.3">
      <c r="A6418" t="str">
        <f>"70807787"</f>
        <v>70807787</v>
      </c>
      <c r="B6418" t="s">
        <v>11998</v>
      </c>
      <c r="C6418" t="str">
        <f t="shared" ref="C6418:C6424" si="421">"736"</f>
        <v>736</v>
      </c>
      <c r="D6418" t="s">
        <v>22</v>
      </c>
      <c r="E6418" t="s">
        <v>23</v>
      </c>
      <c r="F6418" t="s">
        <v>24</v>
      </c>
      <c r="G6418" t="s">
        <v>11999</v>
      </c>
      <c r="H6418" t="str">
        <f t="shared" si="420"/>
        <v>94993</v>
      </c>
      <c r="I6418" t="s">
        <v>50</v>
      </c>
    </row>
    <row r="6419" spans="1:14" x14ac:dyDescent="0.3">
      <c r="A6419" t="str">
        <f>"72563010"</f>
        <v>72563010</v>
      </c>
      <c r="B6419" t="s">
        <v>12000</v>
      </c>
      <c r="C6419" t="str">
        <f t="shared" si="421"/>
        <v>736</v>
      </c>
      <c r="D6419" t="s">
        <v>22</v>
      </c>
      <c r="E6419" t="s">
        <v>29</v>
      </c>
      <c r="F6419" t="s">
        <v>195</v>
      </c>
      <c r="G6419" t="s">
        <v>12001</v>
      </c>
      <c r="H6419" t="str">
        <f t="shared" si="420"/>
        <v>94993</v>
      </c>
      <c r="I6419" t="s">
        <v>50</v>
      </c>
    </row>
    <row r="6420" spans="1:14" x14ac:dyDescent="0.3">
      <c r="A6420" t="str">
        <f>"65326539"</f>
        <v>65326539</v>
      </c>
      <c r="B6420" t="s">
        <v>12002</v>
      </c>
      <c r="C6420" t="str">
        <f t="shared" si="421"/>
        <v>736</v>
      </c>
      <c r="D6420" t="s">
        <v>22</v>
      </c>
      <c r="E6420" t="s">
        <v>52</v>
      </c>
      <c r="F6420" t="s">
        <v>2700</v>
      </c>
      <c r="G6420" t="s">
        <v>12003</v>
      </c>
      <c r="H6420" t="str">
        <f>"94995"</f>
        <v>94995</v>
      </c>
      <c r="I6420" t="s">
        <v>232</v>
      </c>
    </row>
    <row r="6421" spans="1:14" x14ac:dyDescent="0.3">
      <c r="A6421" t="str">
        <f>"05345502"</f>
        <v>05345502</v>
      </c>
      <c r="B6421" t="s">
        <v>12004</v>
      </c>
      <c r="C6421" t="str">
        <f t="shared" si="421"/>
        <v>736</v>
      </c>
      <c r="D6421" t="s">
        <v>22</v>
      </c>
      <c r="E6421" t="s">
        <v>29</v>
      </c>
      <c r="F6421" t="s">
        <v>38</v>
      </c>
      <c r="G6421" t="s">
        <v>3993</v>
      </c>
      <c r="H6421" t="str">
        <f>"94993"</f>
        <v>94993</v>
      </c>
      <c r="I6421" t="s">
        <v>50</v>
      </c>
    </row>
    <row r="6422" spans="1:14" x14ac:dyDescent="0.3">
      <c r="A6422" t="str">
        <f>"04757611"</f>
        <v>04757611</v>
      </c>
      <c r="B6422" t="s">
        <v>12005</v>
      </c>
      <c r="C6422" t="str">
        <f t="shared" si="421"/>
        <v>736</v>
      </c>
      <c r="D6422" t="s">
        <v>22</v>
      </c>
      <c r="E6422" t="s">
        <v>83</v>
      </c>
      <c r="F6422" t="s">
        <v>2423</v>
      </c>
      <c r="G6422" t="s">
        <v>5512</v>
      </c>
      <c r="H6422" t="str">
        <f>"94993"</f>
        <v>94993</v>
      </c>
      <c r="I6422" t="s">
        <v>50</v>
      </c>
    </row>
    <row r="6423" spans="1:14" x14ac:dyDescent="0.3">
      <c r="A6423" t="str">
        <f>"05988691"</f>
        <v>05988691</v>
      </c>
      <c r="B6423" t="s">
        <v>12006</v>
      </c>
      <c r="C6423" t="str">
        <f t="shared" si="421"/>
        <v>736</v>
      </c>
      <c r="D6423" t="s">
        <v>22</v>
      </c>
      <c r="E6423" t="s">
        <v>83</v>
      </c>
      <c r="F6423" t="s">
        <v>1627</v>
      </c>
      <c r="G6423" t="s">
        <v>4023</v>
      </c>
      <c r="H6423" t="str">
        <f>"94993"</f>
        <v>94993</v>
      </c>
      <c r="I6423" t="s">
        <v>50</v>
      </c>
    </row>
    <row r="6424" spans="1:14" x14ac:dyDescent="0.3">
      <c r="A6424" t="str">
        <f>"62181289"</f>
        <v>62181289</v>
      </c>
      <c r="B6424" t="s">
        <v>12007</v>
      </c>
      <c r="C6424" t="str">
        <f t="shared" si="421"/>
        <v>736</v>
      </c>
      <c r="D6424" t="s">
        <v>22</v>
      </c>
      <c r="E6424" t="s">
        <v>23</v>
      </c>
      <c r="F6424" t="s">
        <v>23</v>
      </c>
      <c r="G6424" t="s">
        <v>12008</v>
      </c>
      <c r="H6424" t="str">
        <f>"9499"</f>
        <v>9499</v>
      </c>
      <c r="I6424" t="s">
        <v>31</v>
      </c>
    </row>
    <row r="6425" spans="1:14" x14ac:dyDescent="0.3">
      <c r="A6425" t="str">
        <f>"25853708"</f>
        <v>25853708</v>
      </c>
      <c r="B6425" t="s">
        <v>12009</v>
      </c>
      <c r="C6425" t="str">
        <f>"141"</f>
        <v>141</v>
      </c>
      <c r="D6425" t="s">
        <v>112</v>
      </c>
      <c r="E6425" t="s">
        <v>29</v>
      </c>
      <c r="F6425" t="s">
        <v>38</v>
      </c>
      <c r="G6425" t="s">
        <v>7898</v>
      </c>
      <c r="H6425" t="str">
        <f>"853"</f>
        <v>853</v>
      </c>
      <c r="I6425" t="s">
        <v>12010</v>
      </c>
      <c r="J6425" t="s">
        <v>115</v>
      </c>
    </row>
    <row r="6426" spans="1:14" x14ac:dyDescent="0.3">
      <c r="A6426" t="str">
        <f>"29396662"</f>
        <v>29396662</v>
      </c>
      <c r="B6426" t="s">
        <v>12011</v>
      </c>
      <c r="C6426" t="str">
        <f>"141"</f>
        <v>141</v>
      </c>
      <c r="D6426" t="s">
        <v>112</v>
      </c>
      <c r="E6426" t="s">
        <v>29</v>
      </c>
      <c r="F6426" t="s">
        <v>852</v>
      </c>
      <c r="G6426" t="s">
        <v>12012</v>
      </c>
      <c r="H6426" t="str">
        <f>"85520"</f>
        <v>85520</v>
      </c>
      <c r="I6426" t="s">
        <v>10449</v>
      </c>
    </row>
    <row r="6427" spans="1:14" x14ac:dyDescent="0.3">
      <c r="A6427" t="str">
        <f>"22893334"</f>
        <v>22893334</v>
      </c>
      <c r="B6427" t="s">
        <v>12013</v>
      </c>
      <c r="C6427" t="str">
        <f>"736"</f>
        <v>736</v>
      </c>
      <c r="D6427" t="s">
        <v>22</v>
      </c>
      <c r="E6427" t="s">
        <v>52</v>
      </c>
      <c r="F6427" t="s">
        <v>344</v>
      </c>
      <c r="G6427" t="s">
        <v>667</v>
      </c>
      <c r="H6427" t="str">
        <f>"9499"</f>
        <v>9499</v>
      </c>
      <c r="I6427" t="s">
        <v>31</v>
      </c>
    </row>
    <row r="6428" spans="1:14" x14ac:dyDescent="0.3">
      <c r="A6428" t="str">
        <f>"65792947"</f>
        <v>65792947</v>
      </c>
      <c r="B6428" t="s">
        <v>12014</v>
      </c>
      <c r="C6428" t="str">
        <f>"736"</f>
        <v>736</v>
      </c>
      <c r="D6428" t="s">
        <v>22</v>
      </c>
      <c r="E6428" t="s">
        <v>23</v>
      </c>
      <c r="F6428" t="s">
        <v>23</v>
      </c>
      <c r="G6428" t="s">
        <v>9107</v>
      </c>
      <c r="H6428" t="str">
        <f>"9499"</f>
        <v>9499</v>
      </c>
      <c r="I6428" t="s">
        <v>31</v>
      </c>
    </row>
    <row r="6429" spans="1:14" x14ac:dyDescent="0.3">
      <c r="A6429" t="str">
        <f>"23020083"</f>
        <v>23020083</v>
      </c>
      <c r="B6429" t="s">
        <v>12015</v>
      </c>
      <c r="C6429" t="str">
        <f>"706"</f>
        <v>706</v>
      </c>
      <c r="D6429" t="s">
        <v>28</v>
      </c>
      <c r="E6429" t="s">
        <v>23</v>
      </c>
      <c r="F6429" t="s">
        <v>23</v>
      </c>
      <c r="G6429" t="s">
        <v>12016</v>
      </c>
      <c r="H6429" t="str">
        <f>"94991"</f>
        <v>94991</v>
      </c>
      <c r="I6429" t="s">
        <v>433</v>
      </c>
    </row>
    <row r="6430" spans="1:14" x14ac:dyDescent="0.3">
      <c r="A6430" t="str">
        <f>"02009145"</f>
        <v>02009145</v>
      </c>
      <c r="B6430" t="s">
        <v>12017</v>
      </c>
      <c r="C6430" t="str">
        <f>"141"</f>
        <v>141</v>
      </c>
      <c r="D6430" t="s">
        <v>112</v>
      </c>
      <c r="E6430" t="s">
        <v>83</v>
      </c>
      <c r="F6430" t="s">
        <v>1425</v>
      </c>
      <c r="G6430" t="s">
        <v>12018</v>
      </c>
      <c r="H6430" t="str">
        <f>"8130"</f>
        <v>8130</v>
      </c>
      <c r="I6430" t="s">
        <v>10386</v>
      </c>
    </row>
    <row r="6431" spans="1:14" x14ac:dyDescent="0.3">
      <c r="A6431" t="str">
        <f>"21766894"</f>
        <v>21766894</v>
      </c>
      <c r="B6431" t="s">
        <v>12019</v>
      </c>
      <c r="C6431" t="str">
        <f>"706"</f>
        <v>706</v>
      </c>
      <c r="D6431" t="s">
        <v>28</v>
      </c>
      <c r="E6431" t="s">
        <v>29</v>
      </c>
      <c r="F6431" t="s">
        <v>676</v>
      </c>
      <c r="G6431" t="s">
        <v>677</v>
      </c>
      <c r="H6431" t="str">
        <f>"90040"</f>
        <v>90040</v>
      </c>
      <c r="I6431" t="s">
        <v>222</v>
      </c>
    </row>
    <row r="6432" spans="1:14" x14ac:dyDescent="0.3">
      <c r="A6432" t="str">
        <f>"27730719"</f>
        <v>27730719</v>
      </c>
      <c r="B6432" t="s">
        <v>12020</v>
      </c>
      <c r="C6432" t="str">
        <f>"161"</f>
        <v>161</v>
      </c>
      <c r="D6432" t="s">
        <v>152</v>
      </c>
      <c r="E6432" t="s">
        <v>52</v>
      </c>
      <c r="F6432" t="s">
        <v>612</v>
      </c>
      <c r="G6432" t="s">
        <v>12021</v>
      </c>
      <c r="H6432" t="str">
        <f>"9104"</f>
        <v>9104</v>
      </c>
      <c r="I6432" t="s">
        <v>12022</v>
      </c>
      <c r="J6432" t="s">
        <v>157</v>
      </c>
      <c r="K6432" t="s">
        <v>209</v>
      </c>
      <c r="L6432" t="s">
        <v>161</v>
      </c>
      <c r="M6432" t="s">
        <v>163</v>
      </c>
      <c r="N6432" t="s">
        <v>126</v>
      </c>
    </row>
    <row r="6433" spans="1:11" x14ac:dyDescent="0.3">
      <c r="A6433" t="str">
        <f>"06868584"</f>
        <v>06868584</v>
      </c>
      <c r="B6433" t="s">
        <v>12023</v>
      </c>
      <c r="C6433" t="str">
        <f>"706"</f>
        <v>706</v>
      </c>
      <c r="D6433" t="s">
        <v>28</v>
      </c>
      <c r="E6433" t="s">
        <v>83</v>
      </c>
      <c r="F6433" t="s">
        <v>8555</v>
      </c>
      <c r="G6433" t="s">
        <v>12024</v>
      </c>
      <c r="H6433" t="str">
        <f>"9499"</f>
        <v>9499</v>
      </c>
      <c r="I6433" t="s">
        <v>31</v>
      </c>
    </row>
    <row r="6434" spans="1:11" x14ac:dyDescent="0.3">
      <c r="A6434" t="str">
        <f>"22858695"</f>
        <v>22858695</v>
      </c>
      <c r="B6434" t="s">
        <v>12025</v>
      </c>
      <c r="C6434" t="str">
        <f>"706"</f>
        <v>706</v>
      </c>
      <c r="D6434" t="s">
        <v>28</v>
      </c>
      <c r="E6434" t="s">
        <v>23</v>
      </c>
      <c r="F6434" t="s">
        <v>24</v>
      </c>
      <c r="G6434" t="s">
        <v>12026</v>
      </c>
      <c r="H6434" t="str">
        <f>"93120"</f>
        <v>93120</v>
      </c>
      <c r="I6434" t="s">
        <v>54</v>
      </c>
    </row>
    <row r="6435" spans="1:11" x14ac:dyDescent="0.3">
      <c r="A6435" t="str">
        <f>"19169221"</f>
        <v>19169221</v>
      </c>
      <c r="B6435" t="s">
        <v>12027</v>
      </c>
      <c r="C6435" t="str">
        <f>"161"</f>
        <v>161</v>
      </c>
      <c r="D6435" t="s">
        <v>152</v>
      </c>
      <c r="E6435" t="s">
        <v>83</v>
      </c>
      <c r="F6435" t="s">
        <v>83</v>
      </c>
      <c r="G6435" t="s">
        <v>373</v>
      </c>
      <c r="H6435" t="str">
        <f>"9319"</f>
        <v>9319</v>
      </c>
      <c r="I6435" t="s">
        <v>59</v>
      </c>
      <c r="J6435" t="s">
        <v>258</v>
      </c>
      <c r="K6435" t="s">
        <v>146</v>
      </c>
    </row>
    <row r="6436" spans="1:11" x14ac:dyDescent="0.3">
      <c r="A6436" t="str">
        <f>"22492381"</f>
        <v>22492381</v>
      </c>
      <c r="B6436" t="s">
        <v>12028</v>
      </c>
      <c r="C6436" t="str">
        <f>"161"</f>
        <v>161</v>
      </c>
      <c r="D6436" t="s">
        <v>152</v>
      </c>
      <c r="E6436" t="s">
        <v>29</v>
      </c>
      <c r="F6436" t="s">
        <v>1796</v>
      </c>
      <c r="G6436" t="s">
        <v>12029</v>
      </c>
      <c r="H6436" t="str">
        <f>"85600"</f>
        <v>85600</v>
      </c>
      <c r="I6436" t="s">
        <v>173</v>
      </c>
    </row>
    <row r="6437" spans="1:11" x14ac:dyDescent="0.3">
      <c r="A6437" t="str">
        <f>"19270429"</f>
        <v>19270429</v>
      </c>
      <c r="B6437" t="s">
        <v>12030</v>
      </c>
      <c r="C6437" t="str">
        <f t="shared" ref="C6437:C6458" si="422">"706"</f>
        <v>706</v>
      </c>
      <c r="D6437" t="s">
        <v>28</v>
      </c>
      <c r="E6437" t="s">
        <v>23</v>
      </c>
      <c r="F6437" t="s">
        <v>23</v>
      </c>
      <c r="G6437" t="s">
        <v>4774</v>
      </c>
      <c r="H6437" t="str">
        <f>"93190"</f>
        <v>93190</v>
      </c>
      <c r="I6437" t="s">
        <v>59</v>
      </c>
    </row>
    <row r="6438" spans="1:11" x14ac:dyDescent="0.3">
      <c r="A6438" t="str">
        <f>"05132835"</f>
        <v>05132835</v>
      </c>
      <c r="B6438" t="s">
        <v>12031</v>
      </c>
      <c r="C6438" t="str">
        <f t="shared" si="422"/>
        <v>706</v>
      </c>
      <c r="D6438" t="s">
        <v>28</v>
      </c>
      <c r="E6438" t="s">
        <v>52</v>
      </c>
      <c r="F6438" t="s">
        <v>274</v>
      </c>
      <c r="G6438" t="s">
        <v>12032</v>
      </c>
      <c r="H6438" t="str">
        <f t="shared" ref="H6438:H6445" si="423">"9499"</f>
        <v>9499</v>
      </c>
      <c r="I6438" t="s">
        <v>31</v>
      </c>
    </row>
    <row r="6439" spans="1:11" x14ac:dyDescent="0.3">
      <c r="A6439" t="str">
        <f>"08226679"</f>
        <v>08226679</v>
      </c>
      <c r="B6439" t="s">
        <v>12033</v>
      </c>
      <c r="C6439" t="str">
        <f t="shared" si="422"/>
        <v>706</v>
      </c>
      <c r="D6439" t="s">
        <v>28</v>
      </c>
      <c r="E6439" t="s">
        <v>29</v>
      </c>
      <c r="F6439" t="s">
        <v>1221</v>
      </c>
      <c r="G6439" t="s">
        <v>12034</v>
      </c>
      <c r="H6439" t="str">
        <f t="shared" si="423"/>
        <v>9499</v>
      </c>
      <c r="I6439" t="s">
        <v>31</v>
      </c>
    </row>
    <row r="6440" spans="1:11" x14ac:dyDescent="0.3">
      <c r="A6440" t="str">
        <f>"01224484"</f>
        <v>01224484</v>
      </c>
      <c r="B6440" t="s">
        <v>12035</v>
      </c>
      <c r="C6440" t="str">
        <f t="shared" si="422"/>
        <v>706</v>
      </c>
      <c r="D6440" t="s">
        <v>28</v>
      </c>
      <c r="E6440" t="s">
        <v>29</v>
      </c>
      <c r="F6440" t="s">
        <v>852</v>
      </c>
      <c r="G6440" t="s">
        <v>12036</v>
      </c>
      <c r="H6440" t="str">
        <f t="shared" si="423"/>
        <v>9499</v>
      </c>
      <c r="I6440" t="s">
        <v>31</v>
      </c>
    </row>
    <row r="6441" spans="1:11" x14ac:dyDescent="0.3">
      <c r="A6441" t="str">
        <f>"11895489"</f>
        <v>11895489</v>
      </c>
      <c r="B6441" t="s">
        <v>12037</v>
      </c>
      <c r="C6441" t="str">
        <f t="shared" si="422"/>
        <v>706</v>
      </c>
      <c r="D6441" t="s">
        <v>28</v>
      </c>
      <c r="E6441" t="s">
        <v>29</v>
      </c>
      <c r="F6441" t="s">
        <v>852</v>
      </c>
      <c r="G6441" t="s">
        <v>12038</v>
      </c>
      <c r="H6441" t="str">
        <f t="shared" si="423"/>
        <v>9499</v>
      </c>
      <c r="I6441" t="s">
        <v>31</v>
      </c>
      <c r="J6441" t="s">
        <v>12039</v>
      </c>
    </row>
    <row r="6442" spans="1:11" x14ac:dyDescent="0.3">
      <c r="A6442" t="str">
        <f>"05684048"</f>
        <v>05684048</v>
      </c>
      <c r="B6442" t="s">
        <v>12040</v>
      </c>
      <c r="C6442" t="str">
        <f t="shared" si="422"/>
        <v>706</v>
      </c>
      <c r="D6442" t="s">
        <v>28</v>
      </c>
      <c r="E6442" t="s">
        <v>83</v>
      </c>
      <c r="F6442" t="s">
        <v>83</v>
      </c>
      <c r="G6442" t="s">
        <v>12041</v>
      </c>
      <c r="H6442" t="str">
        <f t="shared" si="423"/>
        <v>9499</v>
      </c>
      <c r="I6442" t="s">
        <v>31</v>
      </c>
    </row>
    <row r="6443" spans="1:11" x14ac:dyDescent="0.3">
      <c r="A6443" t="str">
        <f>"23328266"</f>
        <v>23328266</v>
      </c>
      <c r="B6443" t="s">
        <v>12042</v>
      </c>
      <c r="C6443" t="str">
        <f t="shared" si="422"/>
        <v>706</v>
      </c>
      <c r="D6443" t="s">
        <v>28</v>
      </c>
      <c r="E6443" t="s">
        <v>29</v>
      </c>
      <c r="F6443" t="s">
        <v>195</v>
      </c>
      <c r="G6443" t="s">
        <v>10303</v>
      </c>
      <c r="H6443" t="str">
        <f t="shared" si="423"/>
        <v>9499</v>
      </c>
      <c r="I6443" t="s">
        <v>31</v>
      </c>
    </row>
    <row r="6444" spans="1:11" x14ac:dyDescent="0.3">
      <c r="A6444" t="str">
        <f>"04610130"</f>
        <v>04610130</v>
      </c>
      <c r="B6444" t="s">
        <v>12043</v>
      </c>
      <c r="C6444" t="str">
        <f t="shared" si="422"/>
        <v>706</v>
      </c>
      <c r="D6444" t="s">
        <v>28</v>
      </c>
      <c r="E6444" t="s">
        <v>83</v>
      </c>
      <c r="F6444" t="s">
        <v>944</v>
      </c>
      <c r="G6444" t="s">
        <v>1706</v>
      </c>
      <c r="H6444" t="str">
        <f t="shared" si="423"/>
        <v>9499</v>
      </c>
      <c r="I6444" t="s">
        <v>31</v>
      </c>
    </row>
    <row r="6445" spans="1:11" x14ac:dyDescent="0.3">
      <c r="A6445" t="str">
        <f>"11636165"</f>
        <v>11636165</v>
      </c>
      <c r="B6445" t="s">
        <v>12044</v>
      </c>
      <c r="C6445" t="str">
        <f t="shared" si="422"/>
        <v>706</v>
      </c>
      <c r="D6445" t="s">
        <v>28</v>
      </c>
      <c r="E6445" t="s">
        <v>29</v>
      </c>
      <c r="F6445" t="s">
        <v>29</v>
      </c>
      <c r="G6445" t="s">
        <v>12045</v>
      </c>
      <c r="H6445" t="str">
        <f t="shared" si="423"/>
        <v>9499</v>
      </c>
      <c r="I6445" t="s">
        <v>31</v>
      </c>
    </row>
    <row r="6446" spans="1:11" x14ac:dyDescent="0.3">
      <c r="A6446" t="str">
        <f>"22871501"</f>
        <v>22871501</v>
      </c>
      <c r="B6446" t="s">
        <v>12046</v>
      </c>
      <c r="C6446" t="str">
        <f t="shared" si="422"/>
        <v>706</v>
      </c>
      <c r="D6446" t="s">
        <v>28</v>
      </c>
      <c r="E6446" t="s">
        <v>83</v>
      </c>
      <c r="F6446" t="s">
        <v>3456</v>
      </c>
      <c r="G6446" t="s">
        <v>12047</v>
      </c>
      <c r="H6446" t="str">
        <f>"94995"</f>
        <v>94995</v>
      </c>
      <c r="I6446" t="s">
        <v>232</v>
      </c>
    </row>
    <row r="6447" spans="1:11" x14ac:dyDescent="0.3">
      <c r="A6447" t="str">
        <f>"68689403"</f>
        <v>68689403</v>
      </c>
      <c r="B6447" t="s">
        <v>12048</v>
      </c>
      <c r="C6447" t="str">
        <f t="shared" si="422"/>
        <v>706</v>
      </c>
      <c r="D6447" t="s">
        <v>28</v>
      </c>
      <c r="E6447" t="s">
        <v>52</v>
      </c>
      <c r="F6447" t="s">
        <v>113</v>
      </c>
      <c r="G6447" t="s">
        <v>12049</v>
      </c>
      <c r="H6447" t="str">
        <f>"9499"</f>
        <v>9499</v>
      </c>
      <c r="I6447" t="s">
        <v>31</v>
      </c>
    </row>
    <row r="6448" spans="1:11" x14ac:dyDescent="0.3">
      <c r="A6448" t="str">
        <f>"17411297"</f>
        <v>17411297</v>
      </c>
      <c r="B6448" t="s">
        <v>12050</v>
      </c>
      <c r="C6448" t="str">
        <f t="shared" si="422"/>
        <v>706</v>
      </c>
      <c r="D6448" t="s">
        <v>28</v>
      </c>
      <c r="E6448" t="s">
        <v>29</v>
      </c>
      <c r="F6448" t="s">
        <v>2532</v>
      </c>
      <c r="G6448" t="s">
        <v>12051</v>
      </c>
      <c r="H6448" t="str">
        <f>"9499"</f>
        <v>9499</v>
      </c>
      <c r="I6448" t="s">
        <v>31</v>
      </c>
    </row>
    <row r="6449" spans="1:9" x14ac:dyDescent="0.3">
      <c r="A6449" t="str">
        <f>"22828583"</f>
        <v>22828583</v>
      </c>
      <c r="B6449" t="s">
        <v>12052</v>
      </c>
      <c r="C6449" t="str">
        <f t="shared" si="422"/>
        <v>706</v>
      </c>
      <c r="D6449" t="s">
        <v>28</v>
      </c>
      <c r="E6449" t="s">
        <v>23</v>
      </c>
      <c r="F6449" t="s">
        <v>688</v>
      </c>
      <c r="G6449" t="s">
        <v>12053</v>
      </c>
      <c r="H6449" t="str">
        <f>"9499"</f>
        <v>9499</v>
      </c>
      <c r="I6449" t="s">
        <v>31</v>
      </c>
    </row>
    <row r="6450" spans="1:9" x14ac:dyDescent="0.3">
      <c r="A6450" t="str">
        <f>"22901264"</f>
        <v>22901264</v>
      </c>
      <c r="B6450" t="s">
        <v>12054</v>
      </c>
      <c r="C6450" t="str">
        <f t="shared" si="422"/>
        <v>706</v>
      </c>
      <c r="D6450" t="s">
        <v>28</v>
      </c>
      <c r="E6450" t="s">
        <v>23</v>
      </c>
      <c r="F6450" t="s">
        <v>99</v>
      </c>
      <c r="G6450" t="s">
        <v>3070</v>
      </c>
      <c r="H6450" t="str">
        <f>"94995"</f>
        <v>94995</v>
      </c>
      <c r="I6450" t="s">
        <v>232</v>
      </c>
    </row>
    <row r="6451" spans="1:9" x14ac:dyDescent="0.3">
      <c r="A6451" t="str">
        <f>"02412357"</f>
        <v>02412357</v>
      </c>
      <c r="B6451" t="s">
        <v>12055</v>
      </c>
      <c r="C6451" t="str">
        <f t="shared" si="422"/>
        <v>706</v>
      </c>
      <c r="D6451" t="s">
        <v>28</v>
      </c>
      <c r="E6451" t="s">
        <v>23</v>
      </c>
      <c r="F6451" t="s">
        <v>23</v>
      </c>
      <c r="G6451" t="s">
        <v>12056</v>
      </c>
      <c r="H6451" t="str">
        <f>"9499"</f>
        <v>9499</v>
      </c>
      <c r="I6451" t="s">
        <v>31</v>
      </c>
    </row>
    <row r="6452" spans="1:9" x14ac:dyDescent="0.3">
      <c r="A6452" t="str">
        <f>"22827846"</f>
        <v>22827846</v>
      </c>
      <c r="B6452" t="s">
        <v>12057</v>
      </c>
      <c r="C6452" t="str">
        <f t="shared" si="422"/>
        <v>706</v>
      </c>
      <c r="D6452" t="s">
        <v>28</v>
      </c>
      <c r="E6452" t="s">
        <v>29</v>
      </c>
      <c r="F6452" t="s">
        <v>195</v>
      </c>
      <c r="G6452" t="s">
        <v>9975</v>
      </c>
      <c r="H6452" t="str">
        <f>"94996"</f>
        <v>94996</v>
      </c>
      <c r="I6452" t="s">
        <v>47</v>
      </c>
    </row>
    <row r="6453" spans="1:9" x14ac:dyDescent="0.3">
      <c r="A6453" t="str">
        <f>"68898665"</f>
        <v>68898665</v>
      </c>
      <c r="B6453" t="s">
        <v>12058</v>
      </c>
      <c r="C6453" t="str">
        <f t="shared" si="422"/>
        <v>706</v>
      </c>
      <c r="D6453" t="s">
        <v>28</v>
      </c>
      <c r="E6453" t="s">
        <v>29</v>
      </c>
      <c r="F6453" t="s">
        <v>38</v>
      </c>
      <c r="G6453" t="s">
        <v>12059</v>
      </c>
      <c r="H6453" t="str">
        <f>"94"</f>
        <v>94</v>
      </c>
      <c r="I6453" t="s">
        <v>1016</v>
      </c>
    </row>
    <row r="6454" spans="1:9" x14ac:dyDescent="0.3">
      <c r="A6454" t="str">
        <f>"05981387"</f>
        <v>05981387</v>
      </c>
      <c r="B6454" t="s">
        <v>12060</v>
      </c>
      <c r="C6454" t="str">
        <f t="shared" si="422"/>
        <v>706</v>
      </c>
      <c r="D6454" t="s">
        <v>28</v>
      </c>
      <c r="E6454" t="s">
        <v>83</v>
      </c>
      <c r="F6454" t="s">
        <v>815</v>
      </c>
      <c r="G6454" t="s">
        <v>12061</v>
      </c>
      <c r="H6454" t="str">
        <f>"9499"</f>
        <v>9499</v>
      </c>
      <c r="I6454" t="s">
        <v>31</v>
      </c>
    </row>
    <row r="6455" spans="1:9" x14ac:dyDescent="0.3">
      <c r="A6455" t="str">
        <f>"22671293"</f>
        <v>22671293</v>
      </c>
      <c r="B6455" t="s">
        <v>12062</v>
      </c>
      <c r="C6455" t="str">
        <f t="shared" si="422"/>
        <v>706</v>
      </c>
      <c r="D6455" t="s">
        <v>28</v>
      </c>
      <c r="E6455" t="s">
        <v>23</v>
      </c>
      <c r="F6455" t="s">
        <v>23</v>
      </c>
      <c r="G6455" t="s">
        <v>12063</v>
      </c>
      <c r="H6455" t="str">
        <f>"9499"</f>
        <v>9499</v>
      </c>
      <c r="I6455" t="s">
        <v>31</v>
      </c>
    </row>
    <row r="6456" spans="1:9" x14ac:dyDescent="0.3">
      <c r="A6456" t="str">
        <f>"03315789"</f>
        <v>03315789</v>
      </c>
      <c r="B6456" t="s">
        <v>12064</v>
      </c>
      <c r="C6456" t="str">
        <f t="shared" si="422"/>
        <v>706</v>
      </c>
      <c r="D6456" t="s">
        <v>28</v>
      </c>
      <c r="E6456" t="s">
        <v>83</v>
      </c>
      <c r="F6456" t="s">
        <v>537</v>
      </c>
      <c r="G6456" t="s">
        <v>1140</v>
      </c>
      <c r="H6456" t="str">
        <f>"9499"</f>
        <v>9499</v>
      </c>
      <c r="I6456" t="s">
        <v>31</v>
      </c>
    </row>
    <row r="6457" spans="1:9" x14ac:dyDescent="0.3">
      <c r="A6457" t="str">
        <f>"70417717"</f>
        <v>70417717</v>
      </c>
      <c r="B6457" t="s">
        <v>12065</v>
      </c>
      <c r="C6457" t="str">
        <f t="shared" si="422"/>
        <v>706</v>
      </c>
      <c r="D6457" t="s">
        <v>28</v>
      </c>
      <c r="E6457" t="s">
        <v>23</v>
      </c>
      <c r="F6457" t="s">
        <v>23</v>
      </c>
      <c r="G6457" t="s">
        <v>12066</v>
      </c>
      <c r="H6457" t="str">
        <f>"9499"</f>
        <v>9499</v>
      </c>
      <c r="I6457" t="s">
        <v>31</v>
      </c>
    </row>
    <row r="6458" spans="1:9" x14ac:dyDescent="0.3">
      <c r="A6458" t="str">
        <f>"22680659"</f>
        <v>22680659</v>
      </c>
      <c r="B6458" t="s">
        <v>12067</v>
      </c>
      <c r="C6458" t="str">
        <f t="shared" si="422"/>
        <v>706</v>
      </c>
      <c r="D6458" t="s">
        <v>28</v>
      </c>
      <c r="E6458" t="s">
        <v>52</v>
      </c>
      <c r="F6458" t="s">
        <v>8156</v>
      </c>
      <c r="G6458" t="s">
        <v>12068</v>
      </c>
      <c r="H6458" t="str">
        <f>"9499"</f>
        <v>9499</v>
      </c>
      <c r="I6458" t="s">
        <v>31</v>
      </c>
    </row>
    <row r="6459" spans="1:9" x14ac:dyDescent="0.3">
      <c r="A6459" t="str">
        <f>"02676206"</f>
        <v>02676206</v>
      </c>
      <c r="B6459" t="s">
        <v>12069</v>
      </c>
      <c r="C6459" t="str">
        <f t="shared" ref="C6459:C6467" si="424">"706"</f>
        <v>706</v>
      </c>
      <c r="D6459" t="s">
        <v>28</v>
      </c>
      <c r="E6459" t="s">
        <v>52</v>
      </c>
      <c r="F6459" t="s">
        <v>113</v>
      </c>
      <c r="G6459" t="s">
        <v>12070</v>
      </c>
      <c r="H6459" t="str">
        <f>"9499"</f>
        <v>9499</v>
      </c>
      <c r="I6459" t="s">
        <v>31</v>
      </c>
    </row>
    <row r="6460" spans="1:9" x14ac:dyDescent="0.3">
      <c r="A6460" t="str">
        <f>"21811997"</f>
        <v>21811997</v>
      </c>
      <c r="B6460" t="s">
        <v>12071</v>
      </c>
      <c r="C6460" t="str">
        <f t="shared" si="424"/>
        <v>706</v>
      </c>
      <c r="D6460" t="s">
        <v>28</v>
      </c>
      <c r="E6460" t="s">
        <v>29</v>
      </c>
      <c r="F6460" t="s">
        <v>670</v>
      </c>
      <c r="G6460" t="s">
        <v>12072</v>
      </c>
      <c r="H6460" t="str">
        <f>"9499"</f>
        <v>9499</v>
      </c>
      <c r="I6460" t="s">
        <v>31</v>
      </c>
    </row>
    <row r="6461" spans="1:9" x14ac:dyDescent="0.3">
      <c r="A6461" t="str">
        <f>"08202931"</f>
        <v>08202931</v>
      </c>
      <c r="B6461" t="s">
        <v>12073</v>
      </c>
      <c r="C6461" t="str">
        <f t="shared" si="424"/>
        <v>706</v>
      </c>
      <c r="D6461" t="s">
        <v>28</v>
      </c>
      <c r="E6461" t="s">
        <v>52</v>
      </c>
      <c r="F6461" t="s">
        <v>52</v>
      </c>
      <c r="G6461" t="s">
        <v>12074</v>
      </c>
      <c r="H6461" t="str">
        <f>"93190"</f>
        <v>93190</v>
      </c>
      <c r="I6461" t="s">
        <v>59</v>
      </c>
    </row>
    <row r="6462" spans="1:9" x14ac:dyDescent="0.3">
      <c r="A6462" t="str">
        <f>"22827684"</f>
        <v>22827684</v>
      </c>
      <c r="B6462" t="s">
        <v>12075</v>
      </c>
      <c r="C6462" t="str">
        <f t="shared" si="424"/>
        <v>706</v>
      </c>
      <c r="D6462" t="s">
        <v>28</v>
      </c>
      <c r="E6462" t="s">
        <v>52</v>
      </c>
      <c r="F6462" t="s">
        <v>113</v>
      </c>
      <c r="G6462" t="s">
        <v>12076</v>
      </c>
      <c r="H6462" t="str">
        <f>"9499"</f>
        <v>9499</v>
      </c>
      <c r="I6462" t="s">
        <v>31</v>
      </c>
    </row>
    <row r="6463" spans="1:9" x14ac:dyDescent="0.3">
      <c r="A6463" t="str">
        <f>"62335049"</f>
        <v>62335049</v>
      </c>
      <c r="B6463" t="s">
        <v>12077</v>
      </c>
      <c r="C6463" t="str">
        <f t="shared" si="424"/>
        <v>706</v>
      </c>
      <c r="D6463" t="s">
        <v>28</v>
      </c>
      <c r="E6463" t="s">
        <v>29</v>
      </c>
      <c r="F6463" t="s">
        <v>2532</v>
      </c>
      <c r="G6463" t="s">
        <v>2533</v>
      </c>
      <c r="H6463" t="str">
        <f>"9499"</f>
        <v>9499</v>
      </c>
      <c r="I6463" t="s">
        <v>31</v>
      </c>
    </row>
    <row r="6464" spans="1:9" x14ac:dyDescent="0.3">
      <c r="A6464" t="str">
        <f>"05081475"</f>
        <v>05081475</v>
      </c>
      <c r="B6464" t="s">
        <v>12078</v>
      </c>
      <c r="C6464" t="str">
        <f t="shared" si="424"/>
        <v>706</v>
      </c>
      <c r="D6464" t="s">
        <v>28</v>
      </c>
      <c r="E6464" t="s">
        <v>23</v>
      </c>
      <c r="F6464" t="s">
        <v>24</v>
      </c>
      <c r="G6464" t="s">
        <v>11090</v>
      </c>
      <c r="H6464" t="str">
        <f>"9499"</f>
        <v>9499</v>
      </c>
      <c r="I6464" t="s">
        <v>31</v>
      </c>
    </row>
    <row r="6465" spans="1:13" x14ac:dyDescent="0.3">
      <c r="A6465" t="str">
        <f>"04874366"</f>
        <v>04874366</v>
      </c>
      <c r="B6465" t="s">
        <v>12079</v>
      </c>
      <c r="C6465" t="str">
        <f t="shared" si="424"/>
        <v>706</v>
      </c>
      <c r="D6465" t="s">
        <v>28</v>
      </c>
      <c r="E6465" t="s">
        <v>23</v>
      </c>
      <c r="F6465" t="s">
        <v>68</v>
      </c>
      <c r="G6465" t="s">
        <v>12080</v>
      </c>
      <c r="H6465" t="str">
        <f>"94993"</f>
        <v>94993</v>
      </c>
      <c r="I6465" t="s">
        <v>50</v>
      </c>
    </row>
    <row r="6466" spans="1:13" x14ac:dyDescent="0.3">
      <c r="A6466" t="str">
        <f>"03412911"</f>
        <v>03412911</v>
      </c>
      <c r="B6466" t="s">
        <v>12081</v>
      </c>
      <c r="C6466" t="str">
        <f t="shared" si="424"/>
        <v>706</v>
      </c>
      <c r="D6466" t="s">
        <v>28</v>
      </c>
      <c r="E6466" t="s">
        <v>52</v>
      </c>
      <c r="F6466" t="s">
        <v>3423</v>
      </c>
      <c r="G6466" t="s">
        <v>5709</v>
      </c>
      <c r="H6466" t="str">
        <f>"94992"</f>
        <v>94992</v>
      </c>
      <c r="I6466" t="s">
        <v>241</v>
      </c>
    </row>
    <row r="6467" spans="1:13" x14ac:dyDescent="0.3">
      <c r="A6467" t="str">
        <f>"22721142"</f>
        <v>22721142</v>
      </c>
      <c r="B6467" t="s">
        <v>12082</v>
      </c>
      <c r="C6467" t="str">
        <f t="shared" si="424"/>
        <v>706</v>
      </c>
      <c r="D6467" t="s">
        <v>28</v>
      </c>
      <c r="E6467" t="s">
        <v>23</v>
      </c>
      <c r="F6467" t="s">
        <v>107</v>
      </c>
      <c r="G6467" t="s">
        <v>12083</v>
      </c>
      <c r="H6467" t="str">
        <f>"9499"</f>
        <v>9499</v>
      </c>
      <c r="I6467" t="s">
        <v>31</v>
      </c>
    </row>
    <row r="6468" spans="1:13" x14ac:dyDescent="0.3">
      <c r="A6468" t="str">
        <f>"66598486"</f>
        <v>66598486</v>
      </c>
      <c r="B6468" t="s">
        <v>12084</v>
      </c>
      <c r="C6468" t="str">
        <f>"736"</f>
        <v>736</v>
      </c>
      <c r="D6468" t="s">
        <v>22</v>
      </c>
      <c r="E6468" t="s">
        <v>23</v>
      </c>
      <c r="F6468" t="s">
        <v>23</v>
      </c>
      <c r="G6468" t="s">
        <v>12085</v>
      </c>
      <c r="H6468" t="str">
        <f>"94993"</f>
        <v>94993</v>
      </c>
      <c r="I6468" t="s">
        <v>50</v>
      </c>
    </row>
    <row r="6469" spans="1:13" x14ac:dyDescent="0.3">
      <c r="A6469" t="str">
        <f>"49156934"</f>
        <v>49156934</v>
      </c>
      <c r="B6469" t="s">
        <v>12086</v>
      </c>
      <c r="C6469" t="str">
        <f>"736"</f>
        <v>736</v>
      </c>
      <c r="D6469" t="s">
        <v>22</v>
      </c>
      <c r="E6469" t="s">
        <v>23</v>
      </c>
      <c r="F6469" t="s">
        <v>23</v>
      </c>
      <c r="G6469" t="s">
        <v>12087</v>
      </c>
      <c r="H6469" t="str">
        <f>"931"</f>
        <v>931</v>
      </c>
      <c r="I6469" t="s">
        <v>26</v>
      </c>
    </row>
    <row r="6470" spans="1:13" x14ac:dyDescent="0.3">
      <c r="A6470" t="str">
        <f>"22712771"</f>
        <v>22712771</v>
      </c>
      <c r="B6470" t="s">
        <v>12088</v>
      </c>
      <c r="C6470" t="str">
        <f>"706"</f>
        <v>706</v>
      </c>
      <c r="D6470" t="s">
        <v>28</v>
      </c>
      <c r="E6470" t="s">
        <v>23</v>
      </c>
      <c r="F6470" t="s">
        <v>23</v>
      </c>
      <c r="G6470" t="s">
        <v>12089</v>
      </c>
      <c r="H6470" t="str">
        <f>"93120"</f>
        <v>93120</v>
      </c>
      <c r="I6470" t="s">
        <v>54</v>
      </c>
    </row>
    <row r="6471" spans="1:13" x14ac:dyDescent="0.3">
      <c r="A6471" t="str">
        <f>"01735527"</f>
        <v>01735527</v>
      </c>
      <c r="B6471" t="s">
        <v>12090</v>
      </c>
      <c r="C6471" t="str">
        <f>"706"</f>
        <v>706</v>
      </c>
      <c r="D6471" t="s">
        <v>28</v>
      </c>
      <c r="E6471" t="s">
        <v>23</v>
      </c>
      <c r="F6471" t="s">
        <v>99</v>
      </c>
      <c r="G6471" t="s">
        <v>12091</v>
      </c>
      <c r="H6471" t="str">
        <f>"9499"</f>
        <v>9499</v>
      </c>
      <c r="I6471" t="s">
        <v>31</v>
      </c>
      <c r="J6471" t="s">
        <v>258</v>
      </c>
      <c r="K6471" t="s">
        <v>146</v>
      </c>
      <c r="L6471" t="s">
        <v>622</v>
      </c>
      <c r="M6471" t="s">
        <v>163</v>
      </c>
    </row>
    <row r="6472" spans="1:13" x14ac:dyDescent="0.3">
      <c r="A6472" t="str">
        <f>"68081839"</f>
        <v>68081839</v>
      </c>
      <c r="B6472" t="s">
        <v>12092</v>
      </c>
      <c r="C6472" t="str">
        <f>"706"</f>
        <v>706</v>
      </c>
      <c r="D6472" t="s">
        <v>28</v>
      </c>
      <c r="E6472" t="s">
        <v>23</v>
      </c>
      <c r="F6472" t="s">
        <v>23</v>
      </c>
      <c r="G6472" t="s">
        <v>9214</v>
      </c>
      <c r="H6472" t="str">
        <f>"9499"</f>
        <v>9499</v>
      </c>
      <c r="I6472" t="s">
        <v>31</v>
      </c>
    </row>
    <row r="6473" spans="1:13" x14ac:dyDescent="0.3">
      <c r="A6473" t="str">
        <f>"46276475"</f>
        <v>46276475</v>
      </c>
      <c r="B6473" t="s">
        <v>12093</v>
      </c>
      <c r="C6473" t="str">
        <f>"706"</f>
        <v>706</v>
      </c>
      <c r="D6473" t="s">
        <v>28</v>
      </c>
      <c r="E6473" t="s">
        <v>23</v>
      </c>
      <c r="F6473" t="s">
        <v>23</v>
      </c>
      <c r="G6473" t="s">
        <v>12094</v>
      </c>
      <c r="H6473" t="str">
        <f>"9499"</f>
        <v>9499</v>
      </c>
      <c r="I6473" t="s">
        <v>31</v>
      </c>
    </row>
    <row r="6474" spans="1:13" x14ac:dyDescent="0.3">
      <c r="A6474" t="str">
        <f>"26681871"</f>
        <v>26681871</v>
      </c>
      <c r="B6474" t="s">
        <v>12095</v>
      </c>
      <c r="C6474" t="str">
        <f>"706"</f>
        <v>706</v>
      </c>
      <c r="D6474" t="s">
        <v>28</v>
      </c>
      <c r="E6474" t="s">
        <v>83</v>
      </c>
      <c r="F6474" t="s">
        <v>183</v>
      </c>
      <c r="G6474" t="s">
        <v>12096</v>
      </c>
      <c r="H6474" t="str">
        <f>"93110"</f>
        <v>93110</v>
      </c>
      <c r="I6474" t="s">
        <v>92</v>
      </c>
    </row>
    <row r="6475" spans="1:13" x14ac:dyDescent="0.3">
      <c r="A6475" t="str">
        <f>"70925003"</f>
        <v>70925003</v>
      </c>
      <c r="B6475" t="s">
        <v>12097</v>
      </c>
      <c r="C6475" t="str">
        <f>"736"</f>
        <v>736</v>
      </c>
      <c r="D6475" t="s">
        <v>22</v>
      </c>
      <c r="E6475" t="s">
        <v>23</v>
      </c>
      <c r="F6475" t="s">
        <v>23</v>
      </c>
      <c r="G6475" t="s">
        <v>204</v>
      </c>
      <c r="H6475" t="str">
        <f>"93110"</f>
        <v>93110</v>
      </c>
      <c r="I6475" t="s">
        <v>92</v>
      </c>
    </row>
    <row r="6476" spans="1:13" x14ac:dyDescent="0.3">
      <c r="A6476" t="str">
        <f>"22761560"</f>
        <v>22761560</v>
      </c>
      <c r="B6476" t="s">
        <v>12098</v>
      </c>
      <c r="C6476" t="str">
        <f>"706"</f>
        <v>706</v>
      </c>
      <c r="D6476" t="s">
        <v>28</v>
      </c>
      <c r="E6476" t="s">
        <v>23</v>
      </c>
      <c r="F6476" t="s">
        <v>23</v>
      </c>
      <c r="G6476" t="s">
        <v>12099</v>
      </c>
      <c r="H6476" t="str">
        <f>"9499"</f>
        <v>9499</v>
      </c>
      <c r="I6476" t="s">
        <v>31</v>
      </c>
    </row>
    <row r="6477" spans="1:13" x14ac:dyDescent="0.3">
      <c r="A6477" t="str">
        <f>"18013929"</f>
        <v>18013929</v>
      </c>
      <c r="B6477" t="s">
        <v>12100</v>
      </c>
      <c r="C6477" t="str">
        <f>"706"</f>
        <v>706</v>
      </c>
      <c r="D6477" t="s">
        <v>28</v>
      </c>
      <c r="E6477" t="s">
        <v>83</v>
      </c>
      <c r="F6477" t="s">
        <v>4323</v>
      </c>
      <c r="G6477" t="s">
        <v>4324</v>
      </c>
      <c r="H6477" t="str">
        <f>"93190"</f>
        <v>93190</v>
      </c>
      <c r="I6477" t="s">
        <v>59</v>
      </c>
    </row>
    <row r="6478" spans="1:13" x14ac:dyDescent="0.3">
      <c r="A6478" t="str">
        <f>"07034962"</f>
        <v>07034962</v>
      </c>
      <c r="B6478" t="s">
        <v>12101</v>
      </c>
      <c r="C6478" t="str">
        <f>"706"</f>
        <v>706</v>
      </c>
      <c r="D6478" t="s">
        <v>28</v>
      </c>
      <c r="E6478" t="s">
        <v>23</v>
      </c>
      <c r="F6478" t="s">
        <v>23</v>
      </c>
      <c r="G6478" t="s">
        <v>3083</v>
      </c>
      <c r="H6478" t="str">
        <f>"9499"</f>
        <v>9499</v>
      </c>
      <c r="I6478" t="s">
        <v>31</v>
      </c>
    </row>
    <row r="6479" spans="1:13" x14ac:dyDescent="0.3">
      <c r="A6479" t="str">
        <f>"25554166"</f>
        <v>25554166</v>
      </c>
      <c r="B6479" t="s">
        <v>12102</v>
      </c>
      <c r="C6479" t="str">
        <f>"141"</f>
        <v>141</v>
      </c>
      <c r="D6479" t="s">
        <v>112</v>
      </c>
      <c r="E6479" t="s">
        <v>23</v>
      </c>
      <c r="F6479" t="s">
        <v>23</v>
      </c>
      <c r="G6479" t="s">
        <v>12103</v>
      </c>
      <c r="H6479" t="str">
        <f>"85420"</f>
        <v>85420</v>
      </c>
      <c r="I6479" t="s">
        <v>12104</v>
      </c>
      <c r="J6479" t="s">
        <v>423</v>
      </c>
    </row>
    <row r="6480" spans="1:13" x14ac:dyDescent="0.3">
      <c r="A6480" t="str">
        <f>"19196351"</f>
        <v>19196351</v>
      </c>
      <c r="B6480" t="s">
        <v>12105</v>
      </c>
      <c r="C6480" t="str">
        <f t="shared" ref="C6480:C6485" si="425">"706"</f>
        <v>706</v>
      </c>
      <c r="D6480" t="s">
        <v>28</v>
      </c>
      <c r="E6480" t="s">
        <v>83</v>
      </c>
      <c r="F6480" t="s">
        <v>83</v>
      </c>
      <c r="G6480" t="s">
        <v>12106</v>
      </c>
      <c r="H6480" t="str">
        <f>"93190"</f>
        <v>93190</v>
      </c>
      <c r="I6480" t="s">
        <v>59</v>
      </c>
    </row>
    <row r="6481" spans="1:14" x14ac:dyDescent="0.3">
      <c r="A6481" t="str">
        <f>"22731024"</f>
        <v>22731024</v>
      </c>
      <c r="B6481" t="s">
        <v>12107</v>
      </c>
      <c r="C6481" t="str">
        <f t="shared" si="425"/>
        <v>706</v>
      </c>
      <c r="D6481" t="s">
        <v>28</v>
      </c>
      <c r="E6481" t="s">
        <v>23</v>
      </c>
      <c r="F6481" t="s">
        <v>23</v>
      </c>
      <c r="G6481" t="s">
        <v>12108</v>
      </c>
      <c r="H6481" t="str">
        <f>"9499"</f>
        <v>9499</v>
      </c>
      <c r="I6481" t="s">
        <v>31</v>
      </c>
    </row>
    <row r="6482" spans="1:14" x14ac:dyDescent="0.3">
      <c r="A6482" t="str">
        <f>"26631873"</f>
        <v>26631873</v>
      </c>
      <c r="B6482" t="s">
        <v>12109</v>
      </c>
      <c r="C6482" t="str">
        <f t="shared" si="425"/>
        <v>706</v>
      </c>
      <c r="D6482" t="s">
        <v>28</v>
      </c>
      <c r="E6482" t="s">
        <v>23</v>
      </c>
      <c r="F6482" t="s">
        <v>23</v>
      </c>
      <c r="G6482" t="s">
        <v>12110</v>
      </c>
      <c r="H6482" t="str">
        <f>"9499"</f>
        <v>9499</v>
      </c>
      <c r="I6482" t="s">
        <v>31</v>
      </c>
    </row>
    <row r="6483" spans="1:14" x14ac:dyDescent="0.3">
      <c r="A6483" t="str">
        <f>"03448932"</f>
        <v>03448932</v>
      </c>
      <c r="B6483" t="s">
        <v>12111</v>
      </c>
      <c r="C6483" t="str">
        <f t="shared" si="425"/>
        <v>706</v>
      </c>
      <c r="D6483" t="s">
        <v>28</v>
      </c>
      <c r="E6483" t="s">
        <v>23</v>
      </c>
      <c r="F6483" t="s">
        <v>23</v>
      </c>
      <c r="G6483" t="s">
        <v>457</v>
      </c>
      <c r="H6483" t="str">
        <f>"9499"</f>
        <v>9499</v>
      </c>
      <c r="I6483" t="s">
        <v>31</v>
      </c>
    </row>
    <row r="6484" spans="1:14" x14ac:dyDescent="0.3">
      <c r="A6484" t="str">
        <f>"18034276"</f>
        <v>18034276</v>
      </c>
      <c r="B6484" t="s">
        <v>12112</v>
      </c>
      <c r="C6484" t="str">
        <f t="shared" si="425"/>
        <v>706</v>
      </c>
      <c r="D6484" t="s">
        <v>28</v>
      </c>
      <c r="E6484" t="s">
        <v>23</v>
      </c>
      <c r="F6484" t="s">
        <v>23</v>
      </c>
      <c r="G6484" t="s">
        <v>4137</v>
      </c>
      <c r="H6484" t="str">
        <f>"9499"</f>
        <v>9499</v>
      </c>
      <c r="I6484" t="s">
        <v>31</v>
      </c>
    </row>
    <row r="6485" spans="1:14" x14ac:dyDescent="0.3">
      <c r="A6485" t="str">
        <f>"28560868"</f>
        <v>28560868</v>
      </c>
      <c r="B6485" t="s">
        <v>12113</v>
      </c>
      <c r="C6485" t="str">
        <f t="shared" si="425"/>
        <v>706</v>
      </c>
      <c r="D6485" t="s">
        <v>28</v>
      </c>
      <c r="E6485" t="s">
        <v>23</v>
      </c>
      <c r="F6485" t="s">
        <v>23</v>
      </c>
      <c r="G6485" t="s">
        <v>12114</v>
      </c>
      <c r="H6485" t="str">
        <f>"93110"</f>
        <v>93110</v>
      </c>
      <c r="I6485" t="s">
        <v>92</v>
      </c>
    </row>
    <row r="6486" spans="1:14" x14ac:dyDescent="0.3">
      <c r="A6486" t="str">
        <f>"70927961"</f>
        <v>70927961</v>
      </c>
      <c r="B6486" t="s">
        <v>12115</v>
      </c>
      <c r="C6486" t="str">
        <f t="shared" ref="C6486:C6491" si="426">"736"</f>
        <v>736</v>
      </c>
      <c r="D6486" t="s">
        <v>22</v>
      </c>
      <c r="E6486" t="s">
        <v>23</v>
      </c>
      <c r="F6486" t="s">
        <v>23</v>
      </c>
      <c r="G6486" t="s">
        <v>204</v>
      </c>
      <c r="H6486" t="str">
        <f>"931"</f>
        <v>931</v>
      </c>
      <c r="I6486" t="s">
        <v>26</v>
      </c>
    </row>
    <row r="6487" spans="1:14" x14ac:dyDescent="0.3">
      <c r="A6487" t="str">
        <f>"70935882"</f>
        <v>70935882</v>
      </c>
      <c r="B6487" t="s">
        <v>12116</v>
      </c>
      <c r="C6487" t="str">
        <f t="shared" si="426"/>
        <v>736</v>
      </c>
      <c r="D6487" t="s">
        <v>22</v>
      </c>
      <c r="E6487" t="s">
        <v>23</v>
      </c>
      <c r="F6487" t="s">
        <v>23</v>
      </c>
      <c r="G6487" t="s">
        <v>204</v>
      </c>
      <c r="H6487" t="str">
        <f>"9311"</f>
        <v>9311</v>
      </c>
      <c r="I6487" t="s">
        <v>92</v>
      </c>
    </row>
    <row r="6488" spans="1:14" x14ac:dyDescent="0.3">
      <c r="A6488" t="str">
        <f>"10794760"</f>
        <v>10794760</v>
      </c>
      <c r="B6488" t="s">
        <v>12117</v>
      </c>
      <c r="C6488" t="str">
        <f t="shared" si="426"/>
        <v>736</v>
      </c>
      <c r="D6488" t="s">
        <v>22</v>
      </c>
      <c r="E6488" t="s">
        <v>23</v>
      </c>
      <c r="F6488" t="s">
        <v>23</v>
      </c>
      <c r="G6488" t="s">
        <v>204</v>
      </c>
      <c r="H6488" t="str">
        <f>"93110"</f>
        <v>93110</v>
      </c>
      <c r="I6488" t="s">
        <v>92</v>
      </c>
    </row>
    <row r="6489" spans="1:14" x14ac:dyDescent="0.3">
      <c r="A6489" t="str">
        <f>"21085510"</f>
        <v>21085510</v>
      </c>
      <c r="B6489" t="s">
        <v>12118</v>
      </c>
      <c r="C6489" t="str">
        <f t="shared" si="426"/>
        <v>736</v>
      </c>
      <c r="D6489" t="s">
        <v>22</v>
      </c>
      <c r="E6489" t="s">
        <v>29</v>
      </c>
      <c r="F6489" t="s">
        <v>38</v>
      </c>
      <c r="G6489" t="s">
        <v>393</v>
      </c>
      <c r="H6489" t="str">
        <f>"93110"</f>
        <v>93110</v>
      </c>
      <c r="I6489" t="s">
        <v>92</v>
      </c>
    </row>
    <row r="6490" spans="1:14" x14ac:dyDescent="0.3">
      <c r="A6490" t="str">
        <f>"05101271"</f>
        <v>05101271</v>
      </c>
      <c r="B6490" t="s">
        <v>12119</v>
      </c>
      <c r="C6490" t="str">
        <f t="shared" si="426"/>
        <v>736</v>
      </c>
      <c r="D6490" t="s">
        <v>22</v>
      </c>
      <c r="E6490" t="s">
        <v>23</v>
      </c>
      <c r="F6490" t="s">
        <v>23</v>
      </c>
      <c r="G6490" t="s">
        <v>204</v>
      </c>
      <c r="H6490" t="str">
        <f>"931"</f>
        <v>931</v>
      </c>
      <c r="I6490" t="s">
        <v>26</v>
      </c>
    </row>
    <row r="6491" spans="1:14" x14ac:dyDescent="0.3">
      <c r="A6491" t="str">
        <f>"08972958"</f>
        <v>08972958</v>
      </c>
      <c r="B6491" t="s">
        <v>12120</v>
      </c>
      <c r="C6491" t="str">
        <f t="shared" si="426"/>
        <v>736</v>
      </c>
      <c r="D6491" t="s">
        <v>22</v>
      </c>
      <c r="E6491" t="s">
        <v>29</v>
      </c>
      <c r="F6491" t="s">
        <v>2591</v>
      </c>
      <c r="G6491" t="s">
        <v>12121</v>
      </c>
      <c r="H6491" t="str">
        <f>"931"</f>
        <v>931</v>
      </c>
      <c r="I6491" t="s">
        <v>26</v>
      </c>
    </row>
    <row r="6492" spans="1:14" x14ac:dyDescent="0.3">
      <c r="A6492" t="str">
        <f>"06512526"</f>
        <v>06512526</v>
      </c>
      <c r="B6492" t="s">
        <v>12122</v>
      </c>
      <c r="C6492" t="str">
        <f>"706"</f>
        <v>706</v>
      </c>
      <c r="D6492" t="s">
        <v>28</v>
      </c>
      <c r="E6492" t="s">
        <v>23</v>
      </c>
      <c r="F6492" t="s">
        <v>23</v>
      </c>
      <c r="G6492" t="s">
        <v>204</v>
      </c>
      <c r="H6492" t="str">
        <f>"93120"</f>
        <v>93120</v>
      </c>
      <c r="I6492" t="s">
        <v>54</v>
      </c>
    </row>
    <row r="6493" spans="1:14" x14ac:dyDescent="0.3">
      <c r="A6493" t="str">
        <f>"26537583"</f>
        <v>26537583</v>
      </c>
      <c r="B6493" t="s">
        <v>12123</v>
      </c>
      <c r="C6493" t="str">
        <f>"706"</f>
        <v>706</v>
      </c>
      <c r="D6493" t="s">
        <v>28</v>
      </c>
      <c r="E6493" t="s">
        <v>83</v>
      </c>
      <c r="F6493" t="s">
        <v>1532</v>
      </c>
      <c r="G6493" t="s">
        <v>12124</v>
      </c>
      <c r="H6493" t="str">
        <f>"93110"</f>
        <v>93110</v>
      </c>
      <c r="I6493" t="s">
        <v>92</v>
      </c>
    </row>
    <row r="6494" spans="1:14" x14ac:dyDescent="0.3">
      <c r="A6494" t="str">
        <f>"75048515"</f>
        <v>75048515</v>
      </c>
      <c r="B6494" t="s">
        <v>12125</v>
      </c>
      <c r="C6494" t="str">
        <f>"736"</f>
        <v>736</v>
      </c>
      <c r="D6494" t="s">
        <v>22</v>
      </c>
      <c r="E6494" t="s">
        <v>23</v>
      </c>
      <c r="F6494" t="s">
        <v>23</v>
      </c>
      <c r="G6494" t="s">
        <v>12126</v>
      </c>
      <c r="H6494" t="str">
        <f>"931"</f>
        <v>931</v>
      </c>
      <c r="I6494" t="s">
        <v>26</v>
      </c>
    </row>
    <row r="6495" spans="1:14" x14ac:dyDescent="0.3">
      <c r="A6495" t="str">
        <f>"01365258"</f>
        <v>01365258</v>
      </c>
      <c r="B6495" t="s">
        <v>12127</v>
      </c>
      <c r="C6495" t="str">
        <f>"706"</f>
        <v>706</v>
      </c>
      <c r="D6495" t="s">
        <v>28</v>
      </c>
      <c r="E6495" t="s">
        <v>23</v>
      </c>
      <c r="F6495" t="s">
        <v>23</v>
      </c>
      <c r="G6495" t="s">
        <v>12128</v>
      </c>
      <c r="H6495" t="str">
        <f>"94120"</f>
        <v>94120</v>
      </c>
      <c r="I6495" t="s">
        <v>43</v>
      </c>
      <c r="J6495" t="s">
        <v>236</v>
      </c>
      <c r="K6495" t="s">
        <v>238</v>
      </c>
      <c r="L6495" t="s">
        <v>1059</v>
      </c>
      <c r="M6495" t="s">
        <v>312</v>
      </c>
      <c r="N6495" t="s">
        <v>260</v>
      </c>
    </row>
    <row r="6496" spans="1:14" x14ac:dyDescent="0.3">
      <c r="A6496" t="str">
        <f>"22865047"</f>
        <v>22865047</v>
      </c>
      <c r="B6496" t="s">
        <v>12129</v>
      </c>
      <c r="C6496" t="str">
        <f>"706"</f>
        <v>706</v>
      </c>
      <c r="D6496" t="s">
        <v>28</v>
      </c>
      <c r="E6496" t="s">
        <v>23</v>
      </c>
      <c r="F6496" t="s">
        <v>23</v>
      </c>
      <c r="G6496" t="s">
        <v>12130</v>
      </c>
      <c r="H6496" t="str">
        <f>"93120"</f>
        <v>93120</v>
      </c>
      <c r="I6496" t="s">
        <v>54</v>
      </c>
    </row>
    <row r="6497" spans="1:15" x14ac:dyDescent="0.3">
      <c r="A6497" t="str">
        <f>"26602211"</f>
        <v>26602211</v>
      </c>
      <c r="B6497" t="s">
        <v>12131</v>
      </c>
      <c r="C6497" t="str">
        <f>"706"</f>
        <v>706</v>
      </c>
      <c r="D6497" t="s">
        <v>28</v>
      </c>
      <c r="E6497" t="s">
        <v>23</v>
      </c>
      <c r="F6497" t="s">
        <v>23</v>
      </c>
      <c r="G6497" t="s">
        <v>4208</v>
      </c>
      <c r="H6497" t="str">
        <f>"9499"</f>
        <v>9499</v>
      </c>
      <c r="I6497" t="s">
        <v>31</v>
      </c>
    </row>
    <row r="6498" spans="1:15" x14ac:dyDescent="0.3">
      <c r="A6498" t="str">
        <f>"01605992"</f>
        <v>01605992</v>
      </c>
      <c r="B6498" t="s">
        <v>12132</v>
      </c>
      <c r="C6498" t="str">
        <f>"706"</f>
        <v>706</v>
      </c>
      <c r="D6498" t="s">
        <v>28</v>
      </c>
      <c r="E6498" t="s">
        <v>23</v>
      </c>
      <c r="F6498" t="s">
        <v>24</v>
      </c>
      <c r="G6498" t="s">
        <v>2206</v>
      </c>
      <c r="H6498" t="str">
        <f>"9499"</f>
        <v>9499</v>
      </c>
      <c r="I6498" t="s">
        <v>31</v>
      </c>
    </row>
    <row r="6499" spans="1:15" x14ac:dyDescent="0.3">
      <c r="A6499" t="str">
        <f>"26992574"</f>
        <v>26992574</v>
      </c>
      <c r="B6499" t="s">
        <v>12133</v>
      </c>
      <c r="C6499" t="str">
        <f>"706"</f>
        <v>706</v>
      </c>
      <c r="D6499" t="s">
        <v>28</v>
      </c>
      <c r="E6499" t="s">
        <v>23</v>
      </c>
      <c r="F6499" t="s">
        <v>24</v>
      </c>
      <c r="G6499" t="s">
        <v>12134</v>
      </c>
      <c r="H6499" t="str">
        <f>"9499"</f>
        <v>9499</v>
      </c>
      <c r="I6499" t="s">
        <v>31</v>
      </c>
    </row>
    <row r="6500" spans="1:15" x14ac:dyDescent="0.3">
      <c r="A6500" t="str">
        <f>"29374511"</f>
        <v>29374511</v>
      </c>
      <c r="B6500" t="s">
        <v>12135</v>
      </c>
      <c r="C6500" t="str">
        <f>"141"</f>
        <v>141</v>
      </c>
      <c r="D6500" t="s">
        <v>112</v>
      </c>
      <c r="E6500" t="s">
        <v>23</v>
      </c>
      <c r="F6500" t="s">
        <v>23</v>
      </c>
      <c r="G6500" t="s">
        <v>12136</v>
      </c>
      <c r="H6500" t="str">
        <f>"900"</f>
        <v>900</v>
      </c>
      <c r="I6500" t="s">
        <v>500</v>
      </c>
      <c r="J6500" t="s">
        <v>238</v>
      </c>
      <c r="K6500" t="s">
        <v>159</v>
      </c>
      <c r="L6500" t="s">
        <v>498</v>
      </c>
      <c r="M6500" t="s">
        <v>622</v>
      </c>
      <c r="N6500" t="s">
        <v>160</v>
      </c>
      <c r="O6500" t="s">
        <v>262</v>
      </c>
    </row>
    <row r="6501" spans="1:15" x14ac:dyDescent="0.3">
      <c r="A6501" t="str">
        <f>"22710051"</f>
        <v>22710051</v>
      </c>
      <c r="B6501" t="s">
        <v>12137</v>
      </c>
      <c r="C6501" t="str">
        <f>"706"</f>
        <v>706</v>
      </c>
      <c r="D6501" t="s">
        <v>28</v>
      </c>
      <c r="E6501" t="s">
        <v>23</v>
      </c>
      <c r="F6501" t="s">
        <v>23</v>
      </c>
      <c r="G6501" t="s">
        <v>416</v>
      </c>
      <c r="H6501" t="str">
        <f>"9499"</f>
        <v>9499</v>
      </c>
      <c r="I6501" t="s">
        <v>31</v>
      </c>
    </row>
    <row r="6502" spans="1:15" x14ac:dyDescent="0.3">
      <c r="A6502" t="str">
        <f>"65792726"</f>
        <v>65792726</v>
      </c>
      <c r="B6502" t="s">
        <v>12138</v>
      </c>
      <c r="C6502" t="str">
        <f>"706"</f>
        <v>706</v>
      </c>
      <c r="D6502" t="s">
        <v>28</v>
      </c>
      <c r="E6502" t="s">
        <v>23</v>
      </c>
      <c r="F6502" t="s">
        <v>1581</v>
      </c>
      <c r="G6502" t="s">
        <v>12139</v>
      </c>
      <c r="H6502" t="str">
        <f>"9499"</f>
        <v>9499</v>
      </c>
      <c r="I6502" t="s">
        <v>31</v>
      </c>
    </row>
    <row r="6503" spans="1:15" x14ac:dyDescent="0.3">
      <c r="A6503" t="str">
        <f>"70967318"</f>
        <v>70967318</v>
      </c>
      <c r="B6503" t="s">
        <v>12140</v>
      </c>
      <c r="C6503" t="str">
        <f t="shared" ref="C6503:C6524" si="427">"736"</f>
        <v>736</v>
      </c>
      <c r="D6503" t="s">
        <v>22</v>
      </c>
      <c r="E6503" t="s">
        <v>52</v>
      </c>
      <c r="F6503" t="s">
        <v>344</v>
      </c>
      <c r="G6503" t="s">
        <v>12141</v>
      </c>
      <c r="H6503" t="str">
        <f t="shared" ref="H6503:H6510" si="428">"94995"</f>
        <v>94995</v>
      </c>
      <c r="I6503" t="s">
        <v>232</v>
      </c>
    </row>
    <row r="6504" spans="1:15" x14ac:dyDescent="0.3">
      <c r="A6504" t="str">
        <f>"47935758"</f>
        <v>47935758</v>
      </c>
      <c r="B6504" t="s">
        <v>12142</v>
      </c>
      <c r="C6504" t="str">
        <f t="shared" si="427"/>
        <v>736</v>
      </c>
      <c r="D6504" t="s">
        <v>22</v>
      </c>
      <c r="E6504" t="s">
        <v>83</v>
      </c>
      <c r="F6504" t="s">
        <v>944</v>
      </c>
      <c r="G6504" t="s">
        <v>12143</v>
      </c>
      <c r="H6504" t="str">
        <f t="shared" si="428"/>
        <v>94995</v>
      </c>
      <c r="I6504" t="s">
        <v>232</v>
      </c>
    </row>
    <row r="6505" spans="1:15" x14ac:dyDescent="0.3">
      <c r="A6505" t="str">
        <f>"44117477"</f>
        <v>44117477</v>
      </c>
      <c r="B6505" t="s">
        <v>12144</v>
      </c>
      <c r="C6505" t="str">
        <f t="shared" si="427"/>
        <v>736</v>
      </c>
      <c r="D6505" t="s">
        <v>22</v>
      </c>
      <c r="E6505" t="s">
        <v>23</v>
      </c>
      <c r="F6505" t="s">
        <v>23</v>
      </c>
      <c r="G6505" t="s">
        <v>12145</v>
      </c>
      <c r="H6505" t="str">
        <f t="shared" si="428"/>
        <v>94995</v>
      </c>
      <c r="I6505" t="s">
        <v>232</v>
      </c>
    </row>
    <row r="6506" spans="1:15" x14ac:dyDescent="0.3">
      <c r="A6506" t="str">
        <f>"75109271"</f>
        <v>75109271</v>
      </c>
      <c r="B6506" t="s">
        <v>12146</v>
      </c>
      <c r="C6506" t="str">
        <f t="shared" si="427"/>
        <v>736</v>
      </c>
      <c r="D6506" t="s">
        <v>22</v>
      </c>
      <c r="E6506" t="s">
        <v>29</v>
      </c>
      <c r="F6506" t="s">
        <v>653</v>
      </c>
      <c r="G6506" t="s">
        <v>12147</v>
      </c>
      <c r="H6506" t="str">
        <f t="shared" si="428"/>
        <v>94995</v>
      </c>
      <c r="I6506" t="s">
        <v>232</v>
      </c>
    </row>
    <row r="6507" spans="1:15" x14ac:dyDescent="0.3">
      <c r="A6507" t="str">
        <f>"60575590"</f>
        <v>60575590</v>
      </c>
      <c r="B6507" t="s">
        <v>12148</v>
      </c>
      <c r="C6507" t="str">
        <f t="shared" si="427"/>
        <v>736</v>
      </c>
      <c r="D6507" t="s">
        <v>22</v>
      </c>
      <c r="E6507" t="s">
        <v>52</v>
      </c>
      <c r="F6507" t="s">
        <v>2078</v>
      </c>
      <c r="G6507" t="s">
        <v>12149</v>
      </c>
      <c r="H6507" t="str">
        <f t="shared" si="428"/>
        <v>94995</v>
      </c>
      <c r="I6507" t="s">
        <v>232</v>
      </c>
    </row>
    <row r="6508" spans="1:15" x14ac:dyDescent="0.3">
      <c r="A6508" t="str">
        <f>"47930314"</f>
        <v>47930314</v>
      </c>
      <c r="B6508" t="s">
        <v>12150</v>
      </c>
      <c r="C6508" t="str">
        <f t="shared" si="427"/>
        <v>736</v>
      </c>
      <c r="D6508" t="s">
        <v>22</v>
      </c>
      <c r="E6508" t="s">
        <v>83</v>
      </c>
      <c r="F6508" t="s">
        <v>1425</v>
      </c>
      <c r="G6508" t="s">
        <v>12151</v>
      </c>
      <c r="H6508" t="str">
        <f t="shared" si="428"/>
        <v>94995</v>
      </c>
      <c r="I6508" t="s">
        <v>232</v>
      </c>
    </row>
    <row r="6509" spans="1:15" x14ac:dyDescent="0.3">
      <c r="A6509" t="str">
        <f>"46276394"</f>
        <v>46276394</v>
      </c>
      <c r="B6509" t="s">
        <v>12152</v>
      </c>
      <c r="C6509" t="str">
        <f t="shared" si="427"/>
        <v>736</v>
      </c>
      <c r="D6509" t="s">
        <v>22</v>
      </c>
      <c r="E6509" t="s">
        <v>23</v>
      </c>
      <c r="F6509" t="s">
        <v>107</v>
      </c>
      <c r="G6509" t="s">
        <v>11241</v>
      </c>
      <c r="H6509" t="str">
        <f t="shared" si="428"/>
        <v>94995</v>
      </c>
      <c r="I6509" t="s">
        <v>232</v>
      </c>
    </row>
    <row r="6510" spans="1:15" x14ac:dyDescent="0.3">
      <c r="A6510" t="str">
        <f>"49563289"</f>
        <v>49563289</v>
      </c>
      <c r="B6510" t="s">
        <v>12153</v>
      </c>
      <c r="C6510" t="str">
        <f t="shared" si="427"/>
        <v>736</v>
      </c>
      <c r="D6510" t="s">
        <v>22</v>
      </c>
      <c r="E6510" t="s">
        <v>29</v>
      </c>
      <c r="F6510" t="s">
        <v>138</v>
      </c>
      <c r="G6510" t="s">
        <v>12154</v>
      </c>
      <c r="H6510" t="str">
        <f t="shared" si="428"/>
        <v>94995</v>
      </c>
      <c r="I6510" t="s">
        <v>232</v>
      </c>
    </row>
    <row r="6511" spans="1:15" x14ac:dyDescent="0.3">
      <c r="A6511" t="str">
        <f>"48471861"</f>
        <v>48471861</v>
      </c>
      <c r="B6511" t="s">
        <v>12155</v>
      </c>
      <c r="C6511" t="str">
        <f t="shared" si="427"/>
        <v>736</v>
      </c>
      <c r="D6511" t="s">
        <v>22</v>
      </c>
      <c r="E6511" t="s">
        <v>23</v>
      </c>
      <c r="F6511" t="s">
        <v>1555</v>
      </c>
      <c r="G6511" t="s">
        <v>12156</v>
      </c>
      <c r="H6511" t="str">
        <f>"9499"</f>
        <v>9499</v>
      </c>
      <c r="I6511" t="s">
        <v>31</v>
      </c>
    </row>
    <row r="6512" spans="1:15" x14ac:dyDescent="0.3">
      <c r="A6512" t="str">
        <f>"64123804"</f>
        <v>64123804</v>
      </c>
      <c r="B6512" t="s">
        <v>12157</v>
      </c>
      <c r="C6512" t="str">
        <f t="shared" si="427"/>
        <v>736</v>
      </c>
      <c r="D6512" t="s">
        <v>22</v>
      </c>
      <c r="E6512" t="s">
        <v>29</v>
      </c>
      <c r="F6512" t="s">
        <v>38</v>
      </c>
      <c r="G6512" t="s">
        <v>12158</v>
      </c>
      <c r="H6512" t="str">
        <f>"94995"</f>
        <v>94995</v>
      </c>
      <c r="I6512" t="s">
        <v>232</v>
      </c>
    </row>
    <row r="6513" spans="1:13" x14ac:dyDescent="0.3">
      <c r="A6513" t="str">
        <f>"46277366"</f>
        <v>46277366</v>
      </c>
      <c r="B6513" t="s">
        <v>12159</v>
      </c>
      <c r="C6513" t="str">
        <f t="shared" si="427"/>
        <v>736</v>
      </c>
      <c r="D6513" t="s">
        <v>22</v>
      </c>
      <c r="E6513" t="s">
        <v>23</v>
      </c>
      <c r="F6513" t="s">
        <v>350</v>
      </c>
      <c r="G6513" t="s">
        <v>12160</v>
      </c>
      <c r="H6513" t="str">
        <f>"9499"</f>
        <v>9499</v>
      </c>
      <c r="I6513" t="s">
        <v>31</v>
      </c>
    </row>
    <row r="6514" spans="1:13" x14ac:dyDescent="0.3">
      <c r="A6514" t="str">
        <f>"46254668"</f>
        <v>46254668</v>
      </c>
      <c r="B6514" t="s">
        <v>12161</v>
      </c>
      <c r="C6514" t="str">
        <f t="shared" si="427"/>
        <v>736</v>
      </c>
      <c r="D6514" t="s">
        <v>22</v>
      </c>
      <c r="E6514" t="s">
        <v>52</v>
      </c>
      <c r="F6514" t="s">
        <v>1257</v>
      </c>
      <c r="G6514" t="s">
        <v>12162</v>
      </c>
      <c r="H6514" t="str">
        <f t="shared" ref="H6514:H6523" si="429">"94995"</f>
        <v>94995</v>
      </c>
      <c r="I6514" t="s">
        <v>232</v>
      </c>
    </row>
    <row r="6515" spans="1:13" x14ac:dyDescent="0.3">
      <c r="A6515" t="str">
        <f>"65341708"</f>
        <v>65341708</v>
      </c>
      <c r="B6515" t="s">
        <v>12163</v>
      </c>
      <c r="C6515" t="str">
        <f t="shared" si="427"/>
        <v>736</v>
      </c>
      <c r="D6515" t="s">
        <v>22</v>
      </c>
      <c r="E6515" t="s">
        <v>52</v>
      </c>
      <c r="F6515" t="s">
        <v>1973</v>
      </c>
      <c r="G6515" t="s">
        <v>12164</v>
      </c>
      <c r="H6515" t="str">
        <f t="shared" si="429"/>
        <v>94995</v>
      </c>
      <c r="I6515" t="s">
        <v>232</v>
      </c>
    </row>
    <row r="6516" spans="1:13" x14ac:dyDescent="0.3">
      <c r="A6516" t="str">
        <f>"65270011"</f>
        <v>65270011</v>
      </c>
      <c r="B6516" t="s">
        <v>12165</v>
      </c>
      <c r="C6516" t="str">
        <f t="shared" si="427"/>
        <v>736</v>
      </c>
      <c r="D6516" t="s">
        <v>22</v>
      </c>
      <c r="E6516" t="s">
        <v>83</v>
      </c>
      <c r="F6516" t="s">
        <v>537</v>
      </c>
      <c r="G6516" t="s">
        <v>12166</v>
      </c>
      <c r="H6516" t="str">
        <f t="shared" si="429"/>
        <v>94995</v>
      </c>
      <c r="I6516" t="s">
        <v>232</v>
      </c>
    </row>
    <row r="6517" spans="1:13" x14ac:dyDescent="0.3">
      <c r="A6517" t="str">
        <f>"46308237"</f>
        <v>46308237</v>
      </c>
      <c r="B6517" t="s">
        <v>12167</v>
      </c>
      <c r="C6517" t="str">
        <f t="shared" si="427"/>
        <v>736</v>
      </c>
      <c r="D6517" t="s">
        <v>22</v>
      </c>
      <c r="E6517" t="s">
        <v>23</v>
      </c>
      <c r="F6517" t="s">
        <v>1631</v>
      </c>
      <c r="G6517" t="s">
        <v>12168</v>
      </c>
      <c r="H6517" t="str">
        <f t="shared" si="429"/>
        <v>94995</v>
      </c>
      <c r="I6517" t="s">
        <v>232</v>
      </c>
    </row>
    <row r="6518" spans="1:13" x14ac:dyDescent="0.3">
      <c r="A6518" t="str">
        <f>"65326385"</f>
        <v>65326385</v>
      </c>
      <c r="B6518" t="s">
        <v>12169</v>
      </c>
      <c r="C6518" t="str">
        <f t="shared" si="427"/>
        <v>736</v>
      </c>
      <c r="D6518" t="s">
        <v>22</v>
      </c>
      <c r="E6518" t="s">
        <v>52</v>
      </c>
      <c r="F6518" t="s">
        <v>113</v>
      </c>
      <c r="G6518" t="s">
        <v>12170</v>
      </c>
      <c r="H6518" t="str">
        <f t="shared" si="429"/>
        <v>94995</v>
      </c>
      <c r="I6518" t="s">
        <v>232</v>
      </c>
    </row>
    <row r="6519" spans="1:13" x14ac:dyDescent="0.3">
      <c r="A6519" t="str">
        <f>"62831968"</f>
        <v>62831968</v>
      </c>
      <c r="B6519" t="s">
        <v>12171</v>
      </c>
      <c r="C6519" t="str">
        <f t="shared" si="427"/>
        <v>736</v>
      </c>
      <c r="D6519" t="s">
        <v>22</v>
      </c>
      <c r="E6519" t="s">
        <v>52</v>
      </c>
      <c r="F6519" t="s">
        <v>52</v>
      </c>
      <c r="G6519" t="s">
        <v>9429</v>
      </c>
      <c r="H6519" t="str">
        <f t="shared" si="429"/>
        <v>94995</v>
      </c>
      <c r="I6519" t="s">
        <v>232</v>
      </c>
    </row>
    <row r="6520" spans="1:13" x14ac:dyDescent="0.3">
      <c r="A6520" t="str">
        <f>"72044705"</f>
        <v>72044705</v>
      </c>
      <c r="B6520" t="s">
        <v>12172</v>
      </c>
      <c r="C6520" t="str">
        <f t="shared" si="427"/>
        <v>736</v>
      </c>
      <c r="D6520" t="s">
        <v>22</v>
      </c>
      <c r="E6520" t="s">
        <v>23</v>
      </c>
      <c r="F6520" t="s">
        <v>5600</v>
      </c>
      <c r="G6520" t="s">
        <v>12173</v>
      </c>
      <c r="H6520" t="str">
        <f t="shared" si="429"/>
        <v>94995</v>
      </c>
      <c r="I6520" t="s">
        <v>232</v>
      </c>
      <c r="J6520" t="s">
        <v>2267</v>
      </c>
      <c r="K6520" t="s">
        <v>9985</v>
      </c>
      <c r="L6520" t="s">
        <v>2350</v>
      </c>
      <c r="M6520" t="s">
        <v>9616</v>
      </c>
    </row>
    <row r="6521" spans="1:13" x14ac:dyDescent="0.3">
      <c r="A6521" t="str">
        <f>"75146223"</f>
        <v>75146223</v>
      </c>
      <c r="B6521" t="s">
        <v>12174</v>
      </c>
      <c r="C6521" t="str">
        <f t="shared" si="427"/>
        <v>736</v>
      </c>
      <c r="D6521" t="s">
        <v>22</v>
      </c>
      <c r="E6521" t="s">
        <v>29</v>
      </c>
      <c r="F6521" t="s">
        <v>135</v>
      </c>
      <c r="G6521" t="s">
        <v>12175</v>
      </c>
      <c r="H6521" t="str">
        <f t="shared" si="429"/>
        <v>94995</v>
      </c>
      <c r="I6521" t="s">
        <v>232</v>
      </c>
    </row>
    <row r="6522" spans="1:13" x14ac:dyDescent="0.3">
      <c r="A6522" t="str">
        <f>"70893675"</f>
        <v>70893675</v>
      </c>
      <c r="B6522" t="s">
        <v>12176</v>
      </c>
      <c r="C6522" t="str">
        <f t="shared" si="427"/>
        <v>736</v>
      </c>
      <c r="D6522" t="s">
        <v>22</v>
      </c>
      <c r="E6522" t="s">
        <v>29</v>
      </c>
      <c r="F6522" t="s">
        <v>195</v>
      </c>
      <c r="G6522" t="s">
        <v>12177</v>
      </c>
      <c r="H6522" t="str">
        <f t="shared" si="429"/>
        <v>94995</v>
      </c>
      <c r="I6522" t="s">
        <v>232</v>
      </c>
    </row>
    <row r="6523" spans="1:13" x14ac:dyDescent="0.3">
      <c r="A6523" t="str">
        <f>"72019476"</f>
        <v>72019476</v>
      </c>
      <c r="B6523" t="s">
        <v>12178</v>
      </c>
      <c r="C6523" t="str">
        <f t="shared" si="427"/>
        <v>736</v>
      </c>
      <c r="D6523" t="s">
        <v>22</v>
      </c>
      <c r="E6523" t="s">
        <v>29</v>
      </c>
      <c r="F6523" t="s">
        <v>676</v>
      </c>
      <c r="G6523" t="s">
        <v>12179</v>
      </c>
      <c r="H6523" t="str">
        <f t="shared" si="429"/>
        <v>94995</v>
      </c>
      <c r="I6523" t="s">
        <v>232</v>
      </c>
    </row>
    <row r="6524" spans="1:13" x14ac:dyDescent="0.3">
      <c r="A6524" t="str">
        <f>"09264337"</f>
        <v>09264337</v>
      </c>
      <c r="B6524" t="s">
        <v>12180</v>
      </c>
      <c r="C6524" t="str">
        <f t="shared" si="427"/>
        <v>736</v>
      </c>
      <c r="D6524" t="s">
        <v>22</v>
      </c>
      <c r="E6524" t="s">
        <v>52</v>
      </c>
      <c r="F6524" t="s">
        <v>5296</v>
      </c>
      <c r="G6524" t="s">
        <v>12181</v>
      </c>
      <c r="H6524" t="str">
        <f>"94993"</f>
        <v>94993</v>
      </c>
      <c r="I6524" t="s">
        <v>50</v>
      </c>
    </row>
    <row r="6525" spans="1:13" x14ac:dyDescent="0.3">
      <c r="A6525" t="str">
        <f>"48506117"</f>
        <v>48506117</v>
      </c>
      <c r="B6525" t="s">
        <v>12182</v>
      </c>
      <c r="C6525" t="str">
        <f>"706"</f>
        <v>706</v>
      </c>
      <c r="D6525" t="s">
        <v>28</v>
      </c>
      <c r="E6525" t="s">
        <v>52</v>
      </c>
      <c r="F6525" t="s">
        <v>781</v>
      </c>
      <c r="G6525" t="s">
        <v>12183</v>
      </c>
      <c r="H6525" t="str">
        <f>"9499"</f>
        <v>9499</v>
      </c>
      <c r="I6525" t="s">
        <v>31</v>
      </c>
      <c r="J6525" t="s">
        <v>146</v>
      </c>
    </row>
    <row r="6526" spans="1:13" x14ac:dyDescent="0.3">
      <c r="A6526" t="str">
        <f>"47930268"</f>
        <v>47930268</v>
      </c>
      <c r="B6526" t="s">
        <v>12184</v>
      </c>
      <c r="C6526" t="str">
        <f>"736"</f>
        <v>736</v>
      </c>
      <c r="D6526" t="s">
        <v>22</v>
      </c>
      <c r="E6526" t="s">
        <v>83</v>
      </c>
      <c r="F6526" t="s">
        <v>83</v>
      </c>
      <c r="G6526" t="s">
        <v>6105</v>
      </c>
      <c r="H6526" t="str">
        <f>"94995"</f>
        <v>94995</v>
      </c>
      <c r="I6526" t="s">
        <v>232</v>
      </c>
    </row>
    <row r="6527" spans="1:13" x14ac:dyDescent="0.3">
      <c r="A6527" t="str">
        <f>"08346909"</f>
        <v>08346909</v>
      </c>
      <c r="B6527" t="s">
        <v>12185</v>
      </c>
      <c r="C6527" t="str">
        <f>"706"</f>
        <v>706</v>
      </c>
      <c r="D6527" t="s">
        <v>28</v>
      </c>
      <c r="E6527" t="s">
        <v>29</v>
      </c>
      <c r="F6527" t="s">
        <v>38</v>
      </c>
      <c r="G6527" t="s">
        <v>12186</v>
      </c>
      <c r="H6527" t="str">
        <f>"9499"</f>
        <v>9499</v>
      </c>
      <c r="I6527" t="s">
        <v>31</v>
      </c>
    </row>
    <row r="6528" spans="1:13" x14ac:dyDescent="0.3">
      <c r="A6528" t="str">
        <f>"27056121"</f>
        <v>27056121</v>
      </c>
      <c r="B6528" t="s">
        <v>12187</v>
      </c>
      <c r="C6528" t="str">
        <f>"706"</f>
        <v>706</v>
      </c>
      <c r="D6528" t="s">
        <v>28</v>
      </c>
      <c r="E6528" t="s">
        <v>52</v>
      </c>
      <c r="F6528" t="s">
        <v>379</v>
      </c>
      <c r="G6528" t="s">
        <v>12188</v>
      </c>
      <c r="H6528" t="str">
        <f>"9499"</f>
        <v>9499</v>
      </c>
      <c r="I6528" t="s">
        <v>31</v>
      </c>
    </row>
    <row r="6529" spans="1:9" x14ac:dyDescent="0.3">
      <c r="A6529" t="str">
        <f>"11912391"</f>
        <v>11912391</v>
      </c>
      <c r="B6529" t="s">
        <v>12189</v>
      </c>
      <c r="C6529" t="str">
        <f>"706"</f>
        <v>706</v>
      </c>
      <c r="D6529" t="s">
        <v>28</v>
      </c>
      <c r="E6529" t="s">
        <v>52</v>
      </c>
      <c r="F6529" t="s">
        <v>864</v>
      </c>
      <c r="G6529" t="s">
        <v>4575</v>
      </c>
      <c r="H6529" t="str">
        <f>"94993"</f>
        <v>94993</v>
      </c>
      <c r="I6529" t="s">
        <v>50</v>
      </c>
    </row>
    <row r="6530" spans="1:9" x14ac:dyDescent="0.3">
      <c r="A6530" t="str">
        <f>"26652731"</f>
        <v>26652731</v>
      </c>
      <c r="B6530" t="s">
        <v>12190</v>
      </c>
      <c r="C6530" t="str">
        <f>"706"</f>
        <v>706</v>
      </c>
      <c r="D6530" t="s">
        <v>28</v>
      </c>
      <c r="E6530" t="s">
        <v>23</v>
      </c>
      <c r="F6530" t="s">
        <v>1418</v>
      </c>
      <c r="G6530" t="s">
        <v>12191</v>
      </c>
      <c r="H6530" t="str">
        <f>"93110"</f>
        <v>93110</v>
      </c>
      <c r="I6530" t="s">
        <v>92</v>
      </c>
    </row>
    <row r="6531" spans="1:9" x14ac:dyDescent="0.3">
      <c r="A6531" t="str">
        <f>"22864610"</f>
        <v>22864610</v>
      </c>
      <c r="B6531" t="s">
        <v>12192</v>
      </c>
      <c r="C6531" t="str">
        <f>"706"</f>
        <v>706</v>
      </c>
      <c r="D6531" t="s">
        <v>28</v>
      </c>
      <c r="E6531" t="s">
        <v>52</v>
      </c>
      <c r="F6531" t="s">
        <v>52</v>
      </c>
      <c r="G6531" t="s">
        <v>3338</v>
      </c>
      <c r="H6531" t="str">
        <f>"93110"</f>
        <v>93110</v>
      </c>
      <c r="I6531" t="s">
        <v>92</v>
      </c>
    </row>
    <row r="6532" spans="1:9" x14ac:dyDescent="0.3">
      <c r="A6532" t="str">
        <f>"67728324"</f>
        <v>67728324</v>
      </c>
      <c r="B6532" t="s">
        <v>12193</v>
      </c>
      <c r="C6532" t="str">
        <f>"118"</f>
        <v>118</v>
      </c>
      <c r="D6532" t="s">
        <v>337</v>
      </c>
      <c r="E6532" t="s">
        <v>29</v>
      </c>
      <c r="F6532" t="s">
        <v>195</v>
      </c>
      <c r="G6532" t="s">
        <v>12194</v>
      </c>
      <c r="H6532" t="str">
        <f t="shared" ref="H6532:H6539" si="430">"9499"</f>
        <v>9499</v>
      </c>
      <c r="I6532" t="s">
        <v>31</v>
      </c>
    </row>
    <row r="6533" spans="1:9" x14ac:dyDescent="0.3">
      <c r="A6533" t="str">
        <f>"25837141"</f>
        <v>25837141</v>
      </c>
      <c r="B6533" t="s">
        <v>12195</v>
      </c>
      <c r="C6533" t="str">
        <f>"118"</f>
        <v>118</v>
      </c>
      <c r="D6533" t="s">
        <v>337</v>
      </c>
      <c r="E6533" t="s">
        <v>29</v>
      </c>
      <c r="F6533" t="s">
        <v>195</v>
      </c>
      <c r="G6533" t="s">
        <v>10374</v>
      </c>
      <c r="H6533" t="str">
        <f t="shared" si="430"/>
        <v>9499</v>
      </c>
      <c r="I6533" t="s">
        <v>31</v>
      </c>
    </row>
    <row r="6534" spans="1:9" x14ac:dyDescent="0.3">
      <c r="A6534" t="str">
        <f>"04761367"</f>
        <v>04761367</v>
      </c>
      <c r="B6534" t="s">
        <v>12196</v>
      </c>
      <c r="C6534" t="str">
        <f t="shared" ref="C6534:C6573" si="431">"706"</f>
        <v>706</v>
      </c>
      <c r="D6534" t="s">
        <v>28</v>
      </c>
      <c r="E6534" t="s">
        <v>23</v>
      </c>
      <c r="F6534" t="s">
        <v>23</v>
      </c>
      <c r="G6534" t="s">
        <v>9258</v>
      </c>
      <c r="H6534" t="str">
        <f t="shared" si="430"/>
        <v>9499</v>
      </c>
      <c r="I6534" t="s">
        <v>31</v>
      </c>
    </row>
    <row r="6535" spans="1:9" x14ac:dyDescent="0.3">
      <c r="A6535" t="str">
        <f>"22886681"</f>
        <v>22886681</v>
      </c>
      <c r="B6535" t="s">
        <v>12197</v>
      </c>
      <c r="C6535" t="str">
        <f t="shared" si="431"/>
        <v>706</v>
      </c>
      <c r="D6535" t="s">
        <v>28</v>
      </c>
      <c r="E6535" t="s">
        <v>29</v>
      </c>
      <c r="F6535" t="s">
        <v>2532</v>
      </c>
      <c r="G6535" t="s">
        <v>12198</v>
      </c>
      <c r="H6535" t="str">
        <f t="shared" si="430"/>
        <v>9499</v>
      </c>
      <c r="I6535" t="s">
        <v>31</v>
      </c>
    </row>
    <row r="6536" spans="1:9" x14ac:dyDescent="0.3">
      <c r="A6536" t="str">
        <f>"09752382"</f>
        <v>09752382</v>
      </c>
      <c r="B6536" t="s">
        <v>12199</v>
      </c>
      <c r="C6536" t="str">
        <f t="shared" si="431"/>
        <v>706</v>
      </c>
      <c r="D6536" t="s">
        <v>28</v>
      </c>
      <c r="E6536" t="s">
        <v>29</v>
      </c>
      <c r="F6536" t="s">
        <v>1926</v>
      </c>
      <c r="G6536" t="s">
        <v>12200</v>
      </c>
      <c r="H6536" t="str">
        <f t="shared" si="430"/>
        <v>9499</v>
      </c>
      <c r="I6536" t="s">
        <v>31</v>
      </c>
    </row>
    <row r="6537" spans="1:9" x14ac:dyDescent="0.3">
      <c r="A6537" t="str">
        <f>"22900861"</f>
        <v>22900861</v>
      </c>
      <c r="B6537" t="s">
        <v>12201</v>
      </c>
      <c r="C6537" t="str">
        <f t="shared" si="431"/>
        <v>706</v>
      </c>
      <c r="D6537" t="s">
        <v>28</v>
      </c>
      <c r="E6537" t="s">
        <v>29</v>
      </c>
      <c r="F6537" t="s">
        <v>1004</v>
      </c>
      <c r="G6537" t="s">
        <v>2514</v>
      </c>
      <c r="H6537" t="str">
        <f t="shared" si="430"/>
        <v>9499</v>
      </c>
      <c r="I6537" t="s">
        <v>31</v>
      </c>
    </row>
    <row r="6538" spans="1:9" x14ac:dyDescent="0.3">
      <c r="A6538" t="str">
        <f>"65270274"</f>
        <v>65270274</v>
      </c>
      <c r="B6538" t="s">
        <v>12202</v>
      </c>
      <c r="C6538" t="str">
        <f t="shared" si="431"/>
        <v>706</v>
      </c>
      <c r="D6538" t="s">
        <v>28</v>
      </c>
      <c r="E6538" t="s">
        <v>83</v>
      </c>
      <c r="F6538" t="s">
        <v>183</v>
      </c>
      <c r="G6538" t="s">
        <v>12203</v>
      </c>
      <c r="H6538" t="str">
        <f t="shared" si="430"/>
        <v>9499</v>
      </c>
      <c r="I6538" t="s">
        <v>31</v>
      </c>
    </row>
    <row r="6539" spans="1:9" x14ac:dyDescent="0.3">
      <c r="A6539" t="str">
        <f>"10925091"</f>
        <v>10925091</v>
      </c>
      <c r="B6539" t="s">
        <v>12204</v>
      </c>
      <c r="C6539" t="str">
        <f t="shared" si="431"/>
        <v>706</v>
      </c>
      <c r="D6539" t="s">
        <v>28</v>
      </c>
      <c r="E6539" t="s">
        <v>52</v>
      </c>
      <c r="F6539" t="s">
        <v>2795</v>
      </c>
      <c r="G6539" t="s">
        <v>2796</v>
      </c>
      <c r="H6539" t="str">
        <f t="shared" si="430"/>
        <v>9499</v>
      </c>
      <c r="I6539" t="s">
        <v>31</v>
      </c>
    </row>
    <row r="6540" spans="1:9" x14ac:dyDescent="0.3">
      <c r="A6540" t="str">
        <f>"19413726"</f>
        <v>19413726</v>
      </c>
      <c r="B6540" t="s">
        <v>12205</v>
      </c>
      <c r="C6540" t="str">
        <f t="shared" si="431"/>
        <v>706</v>
      </c>
      <c r="D6540" t="s">
        <v>28</v>
      </c>
      <c r="E6540" t="s">
        <v>29</v>
      </c>
      <c r="F6540" t="s">
        <v>1266</v>
      </c>
      <c r="G6540" t="s">
        <v>12206</v>
      </c>
      <c r="H6540" t="str">
        <f>"90010"</f>
        <v>90010</v>
      </c>
      <c r="I6540" t="s">
        <v>2014</v>
      </c>
    </row>
    <row r="6541" spans="1:9" x14ac:dyDescent="0.3">
      <c r="A6541" t="str">
        <f>"05544866"</f>
        <v>05544866</v>
      </c>
      <c r="B6541" t="s">
        <v>12207</v>
      </c>
      <c r="C6541" t="str">
        <f t="shared" si="431"/>
        <v>706</v>
      </c>
      <c r="D6541" t="s">
        <v>28</v>
      </c>
      <c r="E6541" t="s">
        <v>52</v>
      </c>
      <c r="F6541" t="s">
        <v>73</v>
      </c>
      <c r="G6541" t="s">
        <v>12208</v>
      </c>
      <c r="H6541" t="str">
        <f t="shared" ref="H6541:H6548" si="432">"9499"</f>
        <v>9499</v>
      </c>
      <c r="I6541" t="s">
        <v>31</v>
      </c>
    </row>
    <row r="6542" spans="1:9" x14ac:dyDescent="0.3">
      <c r="A6542" t="str">
        <f>"70800227"</f>
        <v>70800227</v>
      </c>
      <c r="B6542" t="s">
        <v>12209</v>
      </c>
      <c r="C6542" t="str">
        <f t="shared" si="431"/>
        <v>706</v>
      </c>
      <c r="D6542" t="s">
        <v>28</v>
      </c>
      <c r="E6542" t="s">
        <v>23</v>
      </c>
      <c r="F6542" t="s">
        <v>24</v>
      </c>
      <c r="G6542" t="s">
        <v>12210</v>
      </c>
      <c r="H6542" t="str">
        <f t="shared" si="432"/>
        <v>9499</v>
      </c>
      <c r="I6542" t="s">
        <v>31</v>
      </c>
    </row>
    <row r="6543" spans="1:9" x14ac:dyDescent="0.3">
      <c r="A6543" t="str">
        <f>"05497710"</f>
        <v>05497710</v>
      </c>
      <c r="B6543" t="s">
        <v>12211</v>
      </c>
      <c r="C6543" t="str">
        <f t="shared" si="431"/>
        <v>706</v>
      </c>
      <c r="D6543" t="s">
        <v>28</v>
      </c>
      <c r="E6543" t="s">
        <v>52</v>
      </c>
      <c r="F6543" t="s">
        <v>517</v>
      </c>
      <c r="G6543" t="s">
        <v>5477</v>
      </c>
      <c r="H6543" t="str">
        <f t="shared" si="432"/>
        <v>9499</v>
      </c>
      <c r="I6543" t="s">
        <v>31</v>
      </c>
    </row>
    <row r="6544" spans="1:9" x14ac:dyDescent="0.3">
      <c r="A6544" t="str">
        <f>"07114346"</f>
        <v>07114346</v>
      </c>
      <c r="B6544" t="s">
        <v>12212</v>
      </c>
      <c r="C6544" t="str">
        <f t="shared" si="431"/>
        <v>706</v>
      </c>
      <c r="D6544" t="s">
        <v>28</v>
      </c>
      <c r="E6544" t="s">
        <v>52</v>
      </c>
      <c r="F6544" t="s">
        <v>673</v>
      </c>
      <c r="G6544" t="s">
        <v>5261</v>
      </c>
      <c r="H6544" t="str">
        <f t="shared" si="432"/>
        <v>9499</v>
      </c>
      <c r="I6544" t="s">
        <v>31</v>
      </c>
    </row>
    <row r="6545" spans="1:9" x14ac:dyDescent="0.3">
      <c r="A6545" t="str">
        <f>"14250853"</f>
        <v>14250853</v>
      </c>
      <c r="B6545" t="s">
        <v>12213</v>
      </c>
      <c r="C6545" t="str">
        <f t="shared" si="431"/>
        <v>706</v>
      </c>
      <c r="D6545" t="s">
        <v>28</v>
      </c>
      <c r="E6545" t="s">
        <v>29</v>
      </c>
      <c r="F6545" t="s">
        <v>2177</v>
      </c>
      <c r="G6545" t="s">
        <v>12214</v>
      </c>
      <c r="H6545" t="str">
        <f t="shared" si="432"/>
        <v>9499</v>
      </c>
      <c r="I6545" t="s">
        <v>31</v>
      </c>
    </row>
    <row r="6546" spans="1:9" x14ac:dyDescent="0.3">
      <c r="A6546" t="str">
        <f>"26566176"</f>
        <v>26566176</v>
      </c>
      <c r="B6546" t="s">
        <v>12215</v>
      </c>
      <c r="C6546" t="str">
        <f t="shared" si="431"/>
        <v>706</v>
      </c>
      <c r="D6546" t="s">
        <v>28</v>
      </c>
      <c r="E6546" t="s">
        <v>83</v>
      </c>
      <c r="F6546" t="s">
        <v>5378</v>
      </c>
      <c r="G6546" t="s">
        <v>12216</v>
      </c>
      <c r="H6546" t="str">
        <f t="shared" si="432"/>
        <v>9499</v>
      </c>
      <c r="I6546" t="s">
        <v>31</v>
      </c>
    </row>
    <row r="6547" spans="1:9" x14ac:dyDescent="0.3">
      <c r="A6547" t="str">
        <f>"21607591"</f>
        <v>21607591</v>
      </c>
      <c r="B6547" t="s">
        <v>12217</v>
      </c>
      <c r="C6547" t="str">
        <f t="shared" si="431"/>
        <v>706</v>
      </c>
      <c r="D6547" t="s">
        <v>28</v>
      </c>
      <c r="E6547" t="s">
        <v>83</v>
      </c>
      <c r="F6547" t="s">
        <v>2423</v>
      </c>
      <c r="G6547" t="s">
        <v>5512</v>
      </c>
      <c r="H6547" t="str">
        <f t="shared" si="432"/>
        <v>9499</v>
      </c>
      <c r="I6547" t="s">
        <v>31</v>
      </c>
    </row>
    <row r="6548" spans="1:9" x14ac:dyDescent="0.3">
      <c r="A6548" t="str">
        <f>"21605271"</f>
        <v>21605271</v>
      </c>
      <c r="B6548" t="s">
        <v>12218</v>
      </c>
      <c r="C6548" t="str">
        <f t="shared" si="431"/>
        <v>706</v>
      </c>
      <c r="D6548" t="s">
        <v>28</v>
      </c>
      <c r="E6548" t="s">
        <v>83</v>
      </c>
      <c r="F6548" t="s">
        <v>473</v>
      </c>
      <c r="G6548" t="s">
        <v>10078</v>
      </c>
      <c r="H6548" t="str">
        <f t="shared" si="432"/>
        <v>9499</v>
      </c>
      <c r="I6548" t="s">
        <v>31</v>
      </c>
    </row>
    <row r="6549" spans="1:9" x14ac:dyDescent="0.3">
      <c r="A6549" t="str">
        <f>"22844368"</f>
        <v>22844368</v>
      </c>
      <c r="B6549" t="s">
        <v>12219</v>
      </c>
      <c r="C6549" t="str">
        <f t="shared" si="431"/>
        <v>706</v>
      </c>
      <c r="D6549" t="s">
        <v>28</v>
      </c>
      <c r="E6549" t="s">
        <v>29</v>
      </c>
      <c r="F6549" t="s">
        <v>195</v>
      </c>
      <c r="G6549" t="s">
        <v>12220</v>
      </c>
      <c r="H6549" t="str">
        <f>"94995"</f>
        <v>94995</v>
      </c>
      <c r="I6549" t="s">
        <v>232</v>
      </c>
    </row>
    <row r="6550" spans="1:9" x14ac:dyDescent="0.3">
      <c r="A6550" t="str">
        <f>"22893202"</f>
        <v>22893202</v>
      </c>
      <c r="B6550" t="s">
        <v>12221</v>
      </c>
      <c r="C6550" t="str">
        <f t="shared" si="431"/>
        <v>706</v>
      </c>
      <c r="D6550" t="s">
        <v>28</v>
      </c>
      <c r="E6550" t="s">
        <v>29</v>
      </c>
      <c r="F6550" t="s">
        <v>29</v>
      </c>
      <c r="G6550" t="s">
        <v>9858</v>
      </c>
      <c r="H6550" t="str">
        <f>"93190"</f>
        <v>93190</v>
      </c>
      <c r="I6550" t="s">
        <v>59</v>
      </c>
    </row>
    <row r="6551" spans="1:9" x14ac:dyDescent="0.3">
      <c r="A6551" t="str">
        <f>"01364014"</f>
        <v>01364014</v>
      </c>
      <c r="B6551" t="s">
        <v>12222</v>
      </c>
      <c r="C6551" t="str">
        <f t="shared" si="431"/>
        <v>706</v>
      </c>
      <c r="D6551" t="s">
        <v>28</v>
      </c>
      <c r="E6551" t="s">
        <v>23</v>
      </c>
      <c r="F6551" t="s">
        <v>710</v>
      </c>
      <c r="G6551" t="s">
        <v>711</v>
      </c>
      <c r="H6551" t="str">
        <f>"9499"</f>
        <v>9499</v>
      </c>
      <c r="I6551" t="s">
        <v>31</v>
      </c>
    </row>
    <row r="6552" spans="1:9" x14ac:dyDescent="0.3">
      <c r="A6552" t="str">
        <f>"04123905"</f>
        <v>04123905</v>
      </c>
      <c r="B6552" t="s">
        <v>12223</v>
      </c>
      <c r="C6552" t="str">
        <f t="shared" si="431"/>
        <v>706</v>
      </c>
      <c r="D6552" t="s">
        <v>28</v>
      </c>
      <c r="E6552" t="s">
        <v>52</v>
      </c>
      <c r="F6552" t="s">
        <v>1229</v>
      </c>
      <c r="G6552" t="s">
        <v>12224</v>
      </c>
      <c r="H6552" t="str">
        <f>"9499"</f>
        <v>9499</v>
      </c>
      <c r="I6552" t="s">
        <v>31</v>
      </c>
    </row>
    <row r="6553" spans="1:9" x14ac:dyDescent="0.3">
      <c r="A6553" t="str">
        <f>"06623662"</f>
        <v>06623662</v>
      </c>
      <c r="B6553" t="s">
        <v>12225</v>
      </c>
      <c r="C6553" t="str">
        <f t="shared" si="431"/>
        <v>706</v>
      </c>
      <c r="D6553" t="s">
        <v>28</v>
      </c>
      <c r="E6553" t="s">
        <v>23</v>
      </c>
      <c r="F6553" t="s">
        <v>23</v>
      </c>
      <c r="G6553" t="s">
        <v>5730</v>
      </c>
      <c r="H6553" t="str">
        <f>"9499"</f>
        <v>9499</v>
      </c>
      <c r="I6553" t="s">
        <v>31</v>
      </c>
    </row>
    <row r="6554" spans="1:9" x14ac:dyDescent="0.3">
      <c r="A6554" t="str">
        <f>"46276874"</f>
        <v>46276874</v>
      </c>
      <c r="B6554" t="s">
        <v>12226</v>
      </c>
      <c r="C6554" t="str">
        <f t="shared" si="431"/>
        <v>706</v>
      </c>
      <c r="D6554" t="s">
        <v>28</v>
      </c>
      <c r="E6554" t="s">
        <v>23</v>
      </c>
      <c r="F6554" t="s">
        <v>23</v>
      </c>
      <c r="G6554" t="s">
        <v>23</v>
      </c>
      <c r="H6554" t="str">
        <f>"94120"</f>
        <v>94120</v>
      </c>
      <c r="I6554" t="s">
        <v>43</v>
      </c>
    </row>
    <row r="6555" spans="1:9" x14ac:dyDescent="0.3">
      <c r="A6555" t="str">
        <f>"22747087"</f>
        <v>22747087</v>
      </c>
      <c r="B6555" t="s">
        <v>12227</v>
      </c>
      <c r="C6555" t="str">
        <f t="shared" si="431"/>
        <v>706</v>
      </c>
      <c r="D6555" t="s">
        <v>28</v>
      </c>
      <c r="E6555" t="s">
        <v>83</v>
      </c>
      <c r="F6555" t="s">
        <v>473</v>
      </c>
      <c r="G6555" t="s">
        <v>12228</v>
      </c>
      <c r="H6555" t="str">
        <f>"9499"</f>
        <v>9499</v>
      </c>
      <c r="I6555" t="s">
        <v>31</v>
      </c>
    </row>
    <row r="6556" spans="1:9" x14ac:dyDescent="0.3">
      <c r="A6556" t="str">
        <f>"22753567"</f>
        <v>22753567</v>
      </c>
      <c r="B6556" t="s">
        <v>12229</v>
      </c>
      <c r="C6556" t="str">
        <f t="shared" si="431"/>
        <v>706</v>
      </c>
      <c r="D6556" t="s">
        <v>28</v>
      </c>
      <c r="E6556" t="s">
        <v>52</v>
      </c>
      <c r="F6556" t="s">
        <v>234</v>
      </c>
      <c r="G6556" t="s">
        <v>12230</v>
      </c>
      <c r="H6556" t="str">
        <f>"94996"</f>
        <v>94996</v>
      </c>
      <c r="I6556" t="s">
        <v>47</v>
      </c>
    </row>
    <row r="6557" spans="1:9" x14ac:dyDescent="0.3">
      <c r="A6557" t="str">
        <f>"21195439"</f>
        <v>21195439</v>
      </c>
      <c r="B6557" t="s">
        <v>12231</v>
      </c>
      <c r="C6557" t="str">
        <f t="shared" si="431"/>
        <v>706</v>
      </c>
      <c r="D6557" t="s">
        <v>28</v>
      </c>
      <c r="E6557" t="s">
        <v>23</v>
      </c>
      <c r="F6557" t="s">
        <v>245</v>
      </c>
      <c r="G6557" t="s">
        <v>12232</v>
      </c>
      <c r="H6557" t="str">
        <f>"9499"</f>
        <v>9499</v>
      </c>
      <c r="I6557" t="s">
        <v>31</v>
      </c>
    </row>
    <row r="6558" spans="1:9" x14ac:dyDescent="0.3">
      <c r="A6558" t="str">
        <f>"22668403"</f>
        <v>22668403</v>
      </c>
      <c r="B6558" t="s">
        <v>12233</v>
      </c>
      <c r="C6558" t="str">
        <f t="shared" si="431"/>
        <v>706</v>
      </c>
      <c r="D6558" t="s">
        <v>28</v>
      </c>
      <c r="E6558" t="s">
        <v>23</v>
      </c>
      <c r="F6558" t="s">
        <v>23</v>
      </c>
      <c r="G6558" t="s">
        <v>12234</v>
      </c>
      <c r="H6558" t="str">
        <f>"9499"</f>
        <v>9499</v>
      </c>
      <c r="I6558" t="s">
        <v>31</v>
      </c>
    </row>
    <row r="6559" spans="1:9" x14ac:dyDescent="0.3">
      <c r="A6559" t="str">
        <f>"21492727"</f>
        <v>21492727</v>
      </c>
      <c r="B6559" t="s">
        <v>12235</v>
      </c>
      <c r="C6559" t="str">
        <f t="shared" si="431"/>
        <v>706</v>
      </c>
      <c r="D6559" t="s">
        <v>28</v>
      </c>
      <c r="E6559" t="s">
        <v>52</v>
      </c>
      <c r="F6559" t="s">
        <v>52</v>
      </c>
      <c r="G6559" t="s">
        <v>430</v>
      </c>
      <c r="H6559" t="str">
        <f>"93190"</f>
        <v>93190</v>
      </c>
      <c r="I6559" t="s">
        <v>59</v>
      </c>
    </row>
    <row r="6560" spans="1:9" x14ac:dyDescent="0.3">
      <c r="A6560" t="str">
        <f>"07246323"</f>
        <v>07246323</v>
      </c>
      <c r="B6560" t="s">
        <v>12236</v>
      </c>
      <c r="C6560" t="str">
        <f t="shared" si="431"/>
        <v>706</v>
      </c>
      <c r="D6560" t="s">
        <v>28</v>
      </c>
      <c r="E6560" t="s">
        <v>23</v>
      </c>
      <c r="F6560" t="s">
        <v>23</v>
      </c>
      <c r="G6560" t="s">
        <v>279</v>
      </c>
      <c r="H6560" t="str">
        <f>"93190"</f>
        <v>93190</v>
      </c>
      <c r="I6560" t="s">
        <v>59</v>
      </c>
    </row>
    <row r="6561" spans="1:11" x14ac:dyDescent="0.3">
      <c r="A6561" t="str">
        <f>"62832514"</f>
        <v>62832514</v>
      </c>
      <c r="B6561" t="s">
        <v>12237</v>
      </c>
      <c r="C6561" t="str">
        <f t="shared" si="431"/>
        <v>706</v>
      </c>
      <c r="D6561" t="s">
        <v>28</v>
      </c>
      <c r="E6561" t="s">
        <v>52</v>
      </c>
      <c r="F6561" t="s">
        <v>113</v>
      </c>
      <c r="G6561" t="s">
        <v>6387</v>
      </c>
      <c r="H6561" t="str">
        <f>"93110"</f>
        <v>93110</v>
      </c>
      <c r="I6561" t="s">
        <v>92</v>
      </c>
    </row>
    <row r="6562" spans="1:11" x14ac:dyDescent="0.3">
      <c r="A6562" t="str">
        <f>"26593106"</f>
        <v>26593106</v>
      </c>
      <c r="B6562" t="s">
        <v>12238</v>
      </c>
      <c r="C6562" t="str">
        <f t="shared" si="431"/>
        <v>706</v>
      </c>
      <c r="D6562" t="s">
        <v>28</v>
      </c>
      <c r="E6562" t="s">
        <v>29</v>
      </c>
      <c r="F6562" t="s">
        <v>1221</v>
      </c>
      <c r="G6562" t="s">
        <v>12239</v>
      </c>
      <c r="H6562" t="str">
        <f>"93110"</f>
        <v>93110</v>
      </c>
      <c r="I6562" t="s">
        <v>92</v>
      </c>
    </row>
    <row r="6563" spans="1:11" x14ac:dyDescent="0.3">
      <c r="A6563" t="str">
        <f>"68685653"</f>
        <v>68685653</v>
      </c>
      <c r="B6563" t="s">
        <v>12240</v>
      </c>
      <c r="C6563" t="str">
        <f t="shared" si="431"/>
        <v>706</v>
      </c>
      <c r="D6563" t="s">
        <v>28</v>
      </c>
      <c r="E6563" t="s">
        <v>83</v>
      </c>
      <c r="F6563" t="s">
        <v>175</v>
      </c>
      <c r="G6563" t="s">
        <v>1384</v>
      </c>
      <c r="H6563" t="str">
        <f>"931"</f>
        <v>931</v>
      </c>
      <c r="I6563" t="s">
        <v>26</v>
      </c>
      <c r="J6563" t="s">
        <v>498</v>
      </c>
      <c r="K6563" t="s">
        <v>2459</v>
      </c>
    </row>
    <row r="6564" spans="1:11" x14ac:dyDescent="0.3">
      <c r="A6564" t="str">
        <f>"68731558"</f>
        <v>68731558</v>
      </c>
      <c r="B6564" t="s">
        <v>12241</v>
      </c>
      <c r="C6564" t="str">
        <f t="shared" si="431"/>
        <v>706</v>
      </c>
      <c r="D6564" t="s">
        <v>28</v>
      </c>
      <c r="E6564" t="s">
        <v>83</v>
      </c>
      <c r="F6564" t="s">
        <v>83</v>
      </c>
      <c r="G6564" t="s">
        <v>12242</v>
      </c>
      <c r="H6564" t="str">
        <f>"931"</f>
        <v>931</v>
      </c>
      <c r="I6564" t="s">
        <v>26</v>
      </c>
    </row>
    <row r="6565" spans="1:11" x14ac:dyDescent="0.3">
      <c r="A6565" t="str">
        <f>"22662723"</f>
        <v>22662723</v>
      </c>
      <c r="B6565" t="s">
        <v>12243</v>
      </c>
      <c r="C6565" t="str">
        <f t="shared" si="431"/>
        <v>706</v>
      </c>
      <c r="D6565" t="s">
        <v>28</v>
      </c>
      <c r="E6565" t="s">
        <v>29</v>
      </c>
      <c r="F6565" t="s">
        <v>38</v>
      </c>
      <c r="G6565" t="s">
        <v>3993</v>
      </c>
      <c r="H6565" t="str">
        <f>"93120"</f>
        <v>93120</v>
      </c>
      <c r="I6565" t="s">
        <v>54</v>
      </c>
    </row>
    <row r="6566" spans="1:11" x14ac:dyDescent="0.3">
      <c r="A6566" t="str">
        <f>"26625288"</f>
        <v>26625288</v>
      </c>
      <c r="B6566" t="s">
        <v>12244</v>
      </c>
      <c r="C6566" t="str">
        <f t="shared" si="431"/>
        <v>706</v>
      </c>
      <c r="D6566" t="s">
        <v>28</v>
      </c>
      <c r="E6566" t="s">
        <v>29</v>
      </c>
      <c r="F6566" t="s">
        <v>685</v>
      </c>
      <c r="G6566" t="s">
        <v>12245</v>
      </c>
      <c r="H6566" t="str">
        <f>"93110"</f>
        <v>93110</v>
      </c>
      <c r="I6566" t="s">
        <v>92</v>
      </c>
    </row>
    <row r="6567" spans="1:11" x14ac:dyDescent="0.3">
      <c r="A6567" t="str">
        <f>"48473421"</f>
        <v>48473421</v>
      </c>
      <c r="B6567" t="s">
        <v>12246</v>
      </c>
      <c r="C6567" t="str">
        <f t="shared" si="431"/>
        <v>706</v>
      </c>
      <c r="D6567" t="s">
        <v>28</v>
      </c>
      <c r="E6567" t="s">
        <v>23</v>
      </c>
      <c r="F6567" t="s">
        <v>4161</v>
      </c>
      <c r="G6567" t="s">
        <v>4162</v>
      </c>
      <c r="H6567" t="str">
        <f>"93120"</f>
        <v>93120</v>
      </c>
      <c r="I6567" t="s">
        <v>54</v>
      </c>
    </row>
    <row r="6568" spans="1:11" x14ac:dyDescent="0.3">
      <c r="A6568" t="str">
        <f>"60369728"</f>
        <v>60369728</v>
      </c>
      <c r="B6568" t="s">
        <v>12247</v>
      </c>
      <c r="C6568" t="str">
        <f t="shared" si="431"/>
        <v>706</v>
      </c>
      <c r="D6568" t="s">
        <v>28</v>
      </c>
      <c r="E6568" t="s">
        <v>52</v>
      </c>
      <c r="F6568" t="s">
        <v>1679</v>
      </c>
      <c r="G6568" t="s">
        <v>12248</v>
      </c>
      <c r="H6568" t="str">
        <f>"93110"</f>
        <v>93110</v>
      </c>
      <c r="I6568" t="s">
        <v>92</v>
      </c>
    </row>
    <row r="6569" spans="1:11" x14ac:dyDescent="0.3">
      <c r="A6569" t="str">
        <f>"22717145"</f>
        <v>22717145</v>
      </c>
      <c r="B6569" t="s">
        <v>12249</v>
      </c>
      <c r="C6569" t="str">
        <f t="shared" si="431"/>
        <v>706</v>
      </c>
      <c r="D6569" t="s">
        <v>28</v>
      </c>
      <c r="E6569" t="s">
        <v>29</v>
      </c>
      <c r="F6569" t="s">
        <v>195</v>
      </c>
      <c r="G6569" t="s">
        <v>12250</v>
      </c>
      <c r="H6569" t="str">
        <f>"93110"</f>
        <v>93110</v>
      </c>
      <c r="I6569" t="s">
        <v>92</v>
      </c>
    </row>
    <row r="6570" spans="1:11" x14ac:dyDescent="0.3">
      <c r="A6570" t="str">
        <f>"69648794"</f>
        <v>69648794</v>
      </c>
      <c r="B6570" t="s">
        <v>12251</v>
      </c>
      <c r="C6570" t="str">
        <f t="shared" si="431"/>
        <v>706</v>
      </c>
      <c r="D6570" t="s">
        <v>28</v>
      </c>
      <c r="E6570" t="s">
        <v>23</v>
      </c>
      <c r="F6570" t="s">
        <v>6995</v>
      </c>
      <c r="G6570" t="s">
        <v>9889</v>
      </c>
      <c r="H6570" t="str">
        <f>"931"</f>
        <v>931</v>
      </c>
      <c r="I6570" t="s">
        <v>26</v>
      </c>
    </row>
    <row r="6571" spans="1:11" x14ac:dyDescent="0.3">
      <c r="A6571" t="str">
        <f>"05566711"</f>
        <v>05566711</v>
      </c>
      <c r="B6571" t="s">
        <v>12252</v>
      </c>
      <c r="C6571" t="str">
        <f t="shared" si="431"/>
        <v>706</v>
      </c>
      <c r="D6571" t="s">
        <v>28</v>
      </c>
      <c r="E6571" t="s">
        <v>23</v>
      </c>
      <c r="F6571" t="s">
        <v>190</v>
      </c>
      <c r="G6571" t="s">
        <v>12253</v>
      </c>
      <c r="H6571" t="str">
        <f>"93190"</f>
        <v>93190</v>
      </c>
      <c r="I6571" t="s">
        <v>59</v>
      </c>
    </row>
    <row r="6572" spans="1:11" x14ac:dyDescent="0.3">
      <c r="A6572" t="str">
        <f>"22888934"</f>
        <v>22888934</v>
      </c>
      <c r="B6572" t="s">
        <v>12254</v>
      </c>
      <c r="C6572" t="str">
        <f t="shared" si="431"/>
        <v>706</v>
      </c>
      <c r="D6572" t="s">
        <v>28</v>
      </c>
      <c r="E6572" t="s">
        <v>52</v>
      </c>
      <c r="F6572" t="s">
        <v>1229</v>
      </c>
      <c r="G6572" t="s">
        <v>12255</v>
      </c>
      <c r="H6572" t="str">
        <f>"94993"</f>
        <v>94993</v>
      </c>
      <c r="I6572" t="s">
        <v>50</v>
      </c>
    </row>
    <row r="6573" spans="1:11" x14ac:dyDescent="0.3">
      <c r="A6573" t="str">
        <f>"03919218"</f>
        <v>03919218</v>
      </c>
      <c r="B6573" t="s">
        <v>12256</v>
      </c>
      <c r="C6573" t="str">
        <f t="shared" si="431"/>
        <v>706</v>
      </c>
      <c r="D6573" t="s">
        <v>28</v>
      </c>
      <c r="E6573" t="s">
        <v>52</v>
      </c>
      <c r="F6573" t="s">
        <v>80</v>
      </c>
      <c r="G6573" t="s">
        <v>12257</v>
      </c>
      <c r="H6573" t="str">
        <f>"94999"</f>
        <v>94999</v>
      </c>
      <c r="I6573" t="s">
        <v>202</v>
      </c>
    </row>
    <row r="6574" spans="1:11" x14ac:dyDescent="0.3">
      <c r="A6574" t="str">
        <f>"64123693"</f>
        <v>64123693</v>
      </c>
      <c r="B6574" t="s">
        <v>12258</v>
      </c>
      <c r="C6574" t="str">
        <f>"736"</f>
        <v>736</v>
      </c>
      <c r="D6574" t="s">
        <v>22</v>
      </c>
      <c r="E6574" t="s">
        <v>29</v>
      </c>
      <c r="F6574" t="s">
        <v>195</v>
      </c>
      <c r="G6574" t="s">
        <v>6196</v>
      </c>
      <c r="H6574" t="str">
        <f>"94995"</f>
        <v>94995</v>
      </c>
      <c r="I6574" t="s">
        <v>232</v>
      </c>
    </row>
    <row r="6575" spans="1:11" x14ac:dyDescent="0.3">
      <c r="A6575" t="str">
        <f>"06562205"</f>
        <v>06562205</v>
      </c>
      <c r="B6575" t="s">
        <v>12259</v>
      </c>
      <c r="C6575" t="str">
        <f>"706"</f>
        <v>706</v>
      </c>
      <c r="D6575" t="s">
        <v>28</v>
      </c>
      <c r="E6575" t="s">
        <v>52</v>
      </c>
      <c r="F6575" t="s">
        <v>113</v>
      </c>
      <c r="G6575" t="s">
        <v>12260</v>
      </c>
      <c r="H6575" t="str">
        <f>"94996"</f>
        <v>94996</v>
      </c>
      <c r="I6575" t="s">
        <v>47</v>
      </c>
    </row>
    <row r="6576" spans="1:11" x14ac:dyDescent="0.3">
      <c r="A6576" t="str">
        <f>"22727426"</f>
        <v>22727426</v>
      </c>
      <c r="B6576" t="s">
        <v>12261</v>
      </c>
      <c r="C6576" t="str">
        <f>"706"</f>
        <v>706</v>
      </c>
      <c r="D6576" t="s">
        <v>28</v>
      </c>
      <c r="E6576" t="s">
        <v>52</v>
      </c>
      <c r="F6576" t="s">
        <v>52</v>
      </c>
      <c r="G6576" t="s">
        <v>12262</v>
      </c>
      <c r="H6576" t="str">
        <f>"93110"</f>
        <v>93110</v>
      </c>
      <c r="I6576" t="s">
        <v>92</v>
      </c>
    </row>
    <row r="6577" spans="1:9" x14ac:dyDescent="0.3">
      <c r="A6577" t="str">
        <f>"26603047"</f>
        <v>26603047</v>
      </c>
      <c r="B6577" t="s">
        <v>12263</v>
      </c>
      <c r="C6577" t="str">
        <f>"706"</f>
        <v>706</v>
      </c>
      <c r="D6577" t="s">
        <v>28</v>
      </c>
      <c r="E6577" t="s">
        <v>23</v>
      </c>
      <c r="F6577" t="s">
        <v>23</v>
      </c>
      <c r="G6577" t="s">
        <v>12264</v>
      </c>
      <c r="H6577" t="str">
        <f>"9499"</f>
        <v>9499</v>
      </c>
      <c r="I6577" t="s">
        <v>31</v>
      </c>
    </row>
    <row r="6578" spans="1:9" x14ac:dyDescent="0.3">
      <c r="A6578" t="str">
        <f>"27058999"</f>
        <v>27058999</v>
      </c>
      <c r="B6578" t="s">
        <v>12265</v>
      </c>
      <c r="C6578" t="str">
        <f>"706"</f>
        <v>706</v>
      </c>
      <c r="D6578" t="s">
        <v>28</v>
      </c>
      <c r="E6578" t="s">
        <v>52</v>
      </c>
      <c r="F6578" t="s">
        <v>52</v>
      </c>
      <c r="G6578" t="s">
        <v>12266</v>
      </c>
      <c r="H6578" t="str">
        <f>"93110"</f>
        <v>93110</v>
      </c>
      <c r="I6578" t="s">
        <v>92</v>
      </c>
    </row>
    <row r="6579" spans="1:9" x14ac:dyDescent="0.3">
      <c r="A6579" t="str">
        <f>"26676150"</f>
        <v>26676150</v>
      </c>
      <c r="B6579" t="s">
        <v>12267</v>
      </c>
      <c r="C6579" t="str">
        <f>"706"</f>
        <v>706</v>
      </c>
      <c r="D6579" t="s">
        <v>28</v>
      </c>
      <c r="E6579" t="s">
        <v>52</v>
      </c>
      <c r="F6579" t="s">
        <v>80</v>
      </c>
      <c r="G6579" t="s">
        <v>12268</v>
      </c>
      <c r="H6579" t="str">
        <f>"9499"</f>
        <v>9499</v>
      </c>
      <c r="I6579" t="s">
        <v>31</v>
      </c>
    </row>
    <row r="6580" spans="1:9" x14ac:dyDescent="0.3">
      <c r="A6580" t="str">
        <f>"67011209"</f>
        <v>67011209</v>
      </c>
      <c r="B6580" t="s">
        <v>12269</v>
      </c>
      <c r="C6580" t="str">
        <f>"736"</f>
        <v>736</v>
      </c>
      <c r="D6580" t="s">
        <v>22</v>
      </c>
      <c r="E6580" t="s">
        <v>52</v>
      </c>
      <c r="F6580" t="s">
        <v>514</v>
      </c>
      <c r="G6580" t="s">
        <v>12270</v>
      </c>
      <c r="H6580" t="str">
        <f>"94991"</f>
        <v>94991</v>
      </c>
      <c r="I6580" t="s">
        <v>433</v>
      </c>
    </row>
    <row r="6581" spans="1:9" x14ac:dyDescent="0.3">
      <c r="A6581" t="str">
        <f>"06764428"</f>
        <v>06764428</v>
      </c>
      <c r="B6581" t="s">
        <v>12271</v>
      </c>
      <c r="C6581" t="str">
        <f>"706"</f>
        <v>706</v>
      </c>
      <c r="D6581" t="s">
        <v>28</v>
      </c>
      <c r="E6581" t="s">
        <v>83</v>
      </c>
      <c r="F6581" t="s">
        <v>83</v>
      </c>
      <c r="G6581" t="s">
        <v>12272</v>
      </c>
      <c r="H6581" t="str">
        <f>"9499"</f>
        <v>9499</v>
      </c>
      <c r="I6581" t="s">
        <v>31</v>
      </c>
    </row>
    <row r="6582" spans="1:9" x14ac:dyDescent="0.3">
      <c r="A6582" t="str">
        <f>"70283087"</f>
        <v>70283087</v>
      </c>
      <c r="B6582" t="s">
        <v>12273</v>
      </c>
      <c r="C6582" t="str">
        <f>"736"</f>
        <v>736</v>
      </c>
      <c r="D6582" t="s">
        <v>22</v>
      </c>
      <c r="E6582" t="s">
        <v>23</v>
      </c>
      <c r="F6582" t="s">
        <v>23</v>
      </c>
      <c r="G6582" t="s">
        <v>12274</v>
      </c>
      <c r="H6582" t="str">
        <f>"94991"</f>
        <v>94991</v>
      </c>
      <c r="I6582" t="s">
        <v>433</v>
      </c>
    </row>
    <row r="6583" spans="1:9" x14ac:dyDescent="0.3">
      <c r="A6583" t="str">
        <f>"28555708"</f>
        <v>28555708</v>
      </c>
      <c r="B6583" t="s">
        <v>12275</v>
      </c>
      <c r="C6583" t="str">
        <f>"706"</f>
        <v>706</v>
      </c>
      <c r="D6583" t="s">
        <v>28</v>
      </c>
      <c r="E6583" t="s">
        <v>29</v>
      </c>
      <c r="F6583" t="s">
        <v>195</v>
      </c>
      <c r="G6583" t="s">
        <v>9066</v>
      </c>
      <c r="H6583" t="str">
        <f>"9499"</f>
        <v>9499</v>
      </c>
      <c r="I6583" t="s">
        <v>31</v>
      </c>
    </row>
    <row r="6584" spans="1:9" x14ac:dyDescent="0.3">
      <c r="A6584" t="str">
        <f>"68898410"</f>
        <v>68898410</v>
      </c>
      <c r="B6584" t="s">
        <v>12276</v>
      </c>
      <c r="C6584" t="str">
        <f>"736"</f>
        <v>736</v>
      </c>
      <c r="D6584" t="s">
        <v>22</v>
      </c>
      <c r="E6584" t="s">
        <v>29</v>
      </c>
      <c r="F6584" t="s">
        <v>29</v>
      </c>
      <c r="G6584" t="s">
        <v>7172</v>
      </c>
      <c r="H6584" t="str">
        <f>"9499"</f>
        <v>9499</v>
      </c>
      <c r="I6584" t="s">
        <v>31</v>
      </c>
    </row>
    <row r="6585" spans="1:9" x14ac:dyDescent="0.3">
      <c r="A6585" t="str">
        <f>"05449499"</f>
        <v>05449499</v>
      </c>
      <c r="B6585" t="s">
        <v>12277</v>
      </c>
      <c r="C6585" t="str">
        <f>"706"</f>
        <v>706</v>
      </c>
      <c r="D6585" t="s">
        <v>28</v>
      </c>
      <c r="E6585" t="s">
        <v>52</v>
      </c>
      <c r="F6585" t="s">
        <v>3833</v>
      </c>
      <c r="G6585" t="s">
        <v>4499</v>
      </c>
      <c r="H6585" t="str">
        <f>"9499"</f>
        <v>9499</v>
      </c>
      <c r="I6585" t="s">
        <v>31</v>
      </c>
    </row>
    <row r="6586" spans="1:9" x14ac:dyDescent="0.3">
      <c r="A6586" t="str">
        <f>"71737642"</f>
        <v>71737642</v>
      </c>
      <c r="B6586" t="s">
        <v>12278</v>
      </c>
      <c r="C6586" t="str">
        <f>"736"</f>
        <v>736</v>
      </c>
      <c r="D6586" t="s">
        <v>22</v>
      </c>
      <c r="E6586" t="s">
        <v>23</v>
      </c>
      <c r="F6586" t="s">
        <v>4156</v>
      </c>
      <c r="G6586" t="s">
        <v>12279</v>
      </c>
      <c r="H6586" t="str">
        <f>"94991"</f>
        <v>94991</v>
      </c>
      <c r="I6586" t="s">
        <v>433</v>
      </c>
    </row>
    <row r="6587" spans="1:9" x14ac:dyDescent="0.3">
      <c r="A6587" t="str">
        <f>"07968752"</f>
        <v>07968752</v>
      </c>
      <c r="B6587" t="s">
        <v>12280</v>
      </c>
      <c r="C6587" t="str">
        <f>"706"</f>
        <v>706</v>
      </c>
      <c r="D6587" t="s">
        <v>28</v>
      </c>
      <c r="E6587" t="s">
        <v>29</v>
      </c>
      <c r="F6587" t="s">
        <v>250</v>
      </c>
      <c r="G6587" t="s">
        <v>12281</v>
      </c>
      <c r="H6587" t="str">
        <f>"9499"</f>
        <v>9499</v>
      </c>
      <c r="I6587" t="s">
        <v>31</v>
      </c>
    </row>
    <row r="6588" spans="1:9" x14ac:dyDescent="0.3">
      <c r="A6588" t="str">
        <f>"45659567"</f>
        <v>45659567</v>
      </c>
      <c r="B6588" t="s">
        <v>12282</v>
      </c>
      <c r="C6588" t="str">
        <f>"706"</f>
        <v>706</v>
      </c>
      <c r="D6588" t="s">
        <v>28</v>
      </c>
      <c r="E6588" t="s">
        <v>23</v>
      </c>
      <c r="F6588" t="s">
        <v>350</v>
      </c>
      <c r="G6588" t="s">
        <v>350</v>
      </c>
      <c r="H6588" t="str">
        <f>"9499"</f>
        <v>9499</v>
      </c>
      <c r="I6588" t="s">
        <v>31</v>
      </c>
    </row>
    <row r="6589" spans="1:9" x14ac:dyDescent="0.3">
      <c r="A6589" t="str">
        <f>"65766946"</f>
        <v>65766946</v>
      </c>
      <c r="B6589" t="s">
        <v>12283</v>
      </c>
      <c r="C6589" t="str">
        <f>"736"</f>
        <v>736</v>
      </c>
      <c r="D6589" t="s">
        <v>22</v>
      </c>
      <c r="E6589" t="s">
        <v>23</v>
      </c>
      <c r="F6589" t="s">
        <v>793</v>
      </c>
      <c r="G6589" t="s">
        <v>7174</v>
      </c>
      <c r="H6589" t="str">
        <f>"9499"</f>
        <v>9499</v>
      </c>
      <c r="I6589" t="s">
        <v>31</v>
      </c>
    </row>
    <row r="6590" spans="1:9" x14ac:dyDescent="0.3">
      <c r="A6590" t="str">
        <f>"22899006"</f>
        <v>22899006</v>
      </c>
      <c r="B6590" t="s">
        <v>12284</v>
      </c>
      <c r="C6590" t="str">
        <f>"706"</f>
        <v>706</v>
      </c>
      <c r="D6590" t="s">
        <v>28</v>
      </c>
      <c r="E6590" t="s">
        <v>29</v>
      </c>
      <c r="F6590" t="s">
        <v>38</v>
      </c>
      <c r="G6590" t="s">
        <v>12285</v>
      </c>
      <c r="H6590" t="str">
        <f>"94993"</f>
        <v>94993</v>
      </c>
      <c r="I6590" t="s">
        <v>50</v>
      </c>
    </row>
  </sheetData>
  <autoFilter ref="A3:I6590" xr:uid="{032F495B-26ED-4330-9C98-1D5EBA17C606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FB54-F5F8-4ADC-8D16-997191EA2FC0}">
  <dimension ref="A3:B13"/>
  <sheetViews>
    <sheetView workbookViewId="0">
      <selection activeCell="A3" sqref="A3"/>
    </sheetView>
  </sheetViews>
  <sheetFormatPr defaultRowHeight="14.4" x14ac:dyDescent="0.3"/>
  <cols>
    <col min="1" max="1" width="45" bestFit="1" customWidth="1"/>
    <col min="2" max="2" width="19" bestFit="1" customWidth="1"/>
    <col min="3" max="3" width="30.77734375" bestFit="1" customWidth="1"/>
    <col min="4" max="4" width="7.44140625" bestFit="1" customWidth="1"/>
    <col min="5" max="5" width="12" bestFit="1" customWidth="1"/>
    <col min="6" max="6" width="26.33203125" bestFit="1" customWidth="1"/>
    <col min="7" max="7" width="47.109375" bestFit="1" customWidth="1"/>
    <col min="8" max="8" width="14.109375" bestFit="1" customWidth="1"/>
    <col min="9" max="9" width="6.77734375" bestFit="1" customWidth="1"/>
    <col min="10" max="10" width="5.6640625" bestFit="1" customWidth="1"/>
    <col min="11" max="11" width="13.5546875" bestFit="1" customWidth="1"/>
  </cols>
  <sheetData>
    <row r="3" spans="1:2" x14ac:dyDescent="0.3">
      <c r="A3" s="5" t="s">
        <v>12287</v>
      </c>
      <c r="B3" s="5" t="s">
        <v>12292</v>
      </c>
    </row>
    <row r="4" spans="1:2" x14ac:dyDescent="0.3">
      <c r="A4" s="3" t="s">
        <v>11392</v>
      </c>
      <c r="B4" s="4">
        <v>1</v>
      </c>
    </row>
    <row r="5" spans="1:2" x14ac:dyDescent="0.3">
      <c r="A5" s="3" t="s">
        <v>315</v>
      </c>
      <c r="B5" s="4">
        <v>248</v>
      </c>
    </row>
    <row r="6" spans="1:2" x14ac:dyDescent="0.3">
      <c r="A6" s="3" t="s">
        <v>1371</v>
      </c>
      <c r="B6" s="4">
        <v>18</v>
      </c>
    </row>
    <row r="7" spans="1:2" x14ac:dyDescent="0.3">
      <c r="A7" s="3" t="s">
        <v>337</v>
      </c>
      <c r="B7" s="4">
        <v>116</v>
      </c>
    </row>
    <row r="8" spans="1:2" x14ac:dyDescent="0.3">
      <c r="A8" s="3" t="s">
        <v>112</v>
      </c>
      <c r="B8" s="4">
        <v>104</v>
      </c>
    </row>
    <row r="9" spans="1:2" x14ac:dyDescent="0.3">
      <c r="A9" s="3" t="s">
        <v>171</v>
      </c>
      <c r="B9" s="4">
        <v>2</v>
      </c>
    </row>
    <row r="10" spans="1:2" x14ac:dyDescent="0.3">
      <c r="A10" s="3" t="s">
        <v>22</v>
      </c>
      <c r="B10" s="4">
        <v>1456</v>
      </c>
    </row>
    <row r="11" spans="1:2" x14ac:dyDescent="0.3">
      <c r="A11" s="3" t="s">
        <v>28</v>
      </c>
      <c r="B11" s="4">
        <v>4601</v>
      </c>
    </row>
    <row r="12" spans="1:2" x14ac:dyDescent="0.3">
      <c r="A12" s="3" t="s">
        <v>152</v>
      </c>
      <c r="B12" s="4">
        <v>41</v>
      </c>
    </row>
    <row r="13" spans="1:2" x14ac:dyDescent="0.3">
      <c r="A13" s="6" t="s">
        <v>12291</v>
      </c>
      <c r="B13" s="7">
        <v>6587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0617-7D7A-4E9B-B2A6-306B17466E33}">
  <dimension ref="A3:B8"/>
  <sheetViews>
    <sheetView workbookViewId="0">
      <selection activeCell="A17" sqref="A17"/>
    </sheetView>
  </sheetViews>
  <sheetFormatPr defaultRowHeight="14.4" x14ac:dyDescent="0.3"/>
  <cols>
    <col min="1" max="1" width="23" customWidth="1"/>
    <col min="2" max="2" width="13.88671875" customWidth="1"/>
  </cols>
  <sheetData>
    <row r="3" spans="1:2" x14ac:dyDescent="0.3">
      <c r="A3" s="5" t="s">
        <v>12293</v>
      </c>
      <c r="B3" s="5" t="s">
        <v>12292</v>
      </c>
    </row>
    <row r="4" spans="1:2" x14ac:dyDescent="0.3">
      <c r="A4" s="3" t="s">
        <v>83</v>
      </c>
      <c r="B4" s="4">
        <v>1305</v>
      </c>
    </row>
    <row r="5" spans="1:2" x14ac:dyDescent="0.3">
      <c r="A5" s="3" t="s">
        <v>52</v>
      </c>
      <c r="B5" s="4">
        <v>1582</v>
      </c>
    </row>
    <row r="6" spans="1:2" x14ac:dyDescent="0.3">
      <c r="A6" s="3" t="s">
        <v>29</v>
      </c>
      <c r="B6" s="4">
        <v>1481</v>
      </c>
    </row>
    <row r="7" spans="1:2" x14ac:dyDescent="0.3">
      <c r="A7" s="3" t="s">
        <v>23</v>
      </c>
      <c r="B7" s="4">
        <v>2219</v>
      </c>
    </row>
    <row r="8" spans="1:2" x14ac:dyDescent="0.3">
      <c r="A8" s="6" t="s">
        <v>12291</v>
      </c>
      <c r="B8" s="7">
        <v>6587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VŠE</vt:lpstr>
      <vt:lpstr>Právní forma</vt:lpstr>
      <vt:lpstr>Okres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dcterms:created xsi:type="dcterms:W3CDTF">2025-06-20T08:13:13Z</dcterms:created>
  <dcterms:modified xsi:type="dcterms:W3CDTF">2025-06-20T08:58:44Z</dcterms:modified>
</cp:coreProperties>
</file>